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codeName="ThisWorkbook"/>
  <mc:AlternateContent xmlns:mc="http://schemas.openxmlformats.org/markup-compatibility/2006">
    <mc:Choice Requires="x15">
      <x15ac:absPath xmlns:x15ac="http://schemas.microsoft.com/office/spreadsheetml/2010/11/ac" url="\\svr00101\svr11101\04.NPO振興課\700 助成業務\800 助成金管理エクセルファイル\令和7年度\OPENへ移動\WAM\"/>
    </mc:Choice>
  </mc:AlternateContent>
  <xr:revisionPtr revIDLastSave="0" documentId="13_ncr:1_{3FEB11B5-1F9C-4186-B862-31C51D6407BF}" xr6:coauthVersionLast="36" xr6:coauthVersionMax="46" xr10:uidLastSave="{00000000-0000-0000-0000-000000000000}"/>
  <workbookProtection workbookAlgorithmName="SHA-512" workbookHashValue="ozYOT6hDMrllZTx3dWupKQ7ZfeIrCHAGmwATrXvuky2DRuyRXqbP/3+T7KGnX4qeF8d+Yavm49Co+M1/xhNHLA==" workbookSaltValue="h00TYFRZdBM1IYmyLPXVRQ==" workbookSpinCount="100000" lockStructure="1"/>
  <bookViews>
    <workbookView xWindow="0" yWindow="0" windowWidth="20490" windowHeight="6330" xr2:uid="{3A9BCA5F-37EE-410B-8055-1AC5379BBFC8}"/>
  </bookViews>
  <sheets>
    <sheet name="メニュー画面" sheetId="13" r:id="rId1"/>
    <sheet name="団体基本情報入力" sheetId="8" r:id="rId2"/>
    <sheet name="支出入力表" sheetId="1" r:id="rId3"/>
    <sheet name="収入入力表" sheetId="12" r:id="rId4"/>
    <sheet name="精算額計算書" sheetId="6" r:id="rId5"/>
    <sheet name="総事業費の支出額内訳" sheetId="11" state="hidden" r:id="rId6"/>
    <sheet name="事業完了報告書 " sheetId="14" r:id="rId7"/>
    <sheet name="事業完了報告書(修正前)" sheetId="7" state="hidden" r:id="rId8"/>
    <sheet name="プルダウン用リスト" sheetId="4" state="hidden" r:id="rId9"/>
  </sheets>
  <definedNames>
    <definedName name="_xlnm._FilterDatabase" localSheetId="2" hidden="1">支出入力表!$B$5:$O$1005</definedName>
    <definedName name="_xlnm._FilterDatabase" localSheetId="3" hidden="1">収入入力表!$B$5:$E$200</definedName>
    <definedName name="_xlnm._FilterDatabase" localSheetId="5" hidden="1">総事業費の支出額内訳!$B$4:$J$164</definedName>
    <definedName name="_xlnm.Print_Area" localSheetId="0">メニュー画面!$A$1:$M$9</definedName>
    <definedName name="_xlnm.Print_Area" localSheetId="2">支出入力表!$A$1:$O$1005</definedName>
    <definedName name="_xlnm.Print_Area" localSheetId="6">'事業完了報告書 '!$A$1:$U$39</definedName>
    <definedName name="_xlnm.Print_Area" localSheetId="7">'事業完了報告書(修正前)'!$A$1:$U$39</definedName>
    <definedName name="_xlnm.Print_Area" localSheetId="3">収入入力表!$A$1:$E$201</definedName>
    <definedName name="_xlnm.Print_Area" localSheetId="4">精算額計算書!$A$1:$V$53</definedName>
    <definedName name="_xlnm.Print_Area" localSheetId="5">総事業費の支出額内訳!$A$1:$K$166</definedName>
    <definedName name="_xlnm.Print_Area" localSheetId="1">団体基本情報入力!$A$1:$H$25</definedName>
    <definedName name="_xlnm.Print_Titles" localSheetId="2">支出入力表!$2:$5</definedName>
    <definedName name="_xlnm.Print_Titles" localSheetId="3">収入入力表!$1:$5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1" i="1" l="1"/>
  <c r="Z26" i="6" l="1"/>
  <c r="Z25" i="6"/>
  <c r="Y13" i="6"/>
  <c r="S24" i="1" l="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S395" i="1"/>
  <c r="S396" i="1"/>
  <c r="S397" i="1"/>
  <c r="S398" i="1"/>
  <c r="S399" i="1"/>
  <c r="S400" i="1"/>
  <c r="S401" i="1"/>
  <c r="S402" i="1"/>
  <c r="S403" i="1"/>
  <c r="S404" i="1"/>
  <c r="S405" i="1"/>
  <c r="S406" i="1"/>
  <c r="S407" i="1"/>
  <c r="S408" i="1"/>
  <c r="S409" i="1"/>
  <c r="S410" i="1"/>
  <c r="S411" i="1"/>
  <c r="S412" i="1"/>
  <c r="S413" i="1"/>
  <c r="S414" i="1"/>
  <c r="S415" i="1"/>
  <c r="S416" i="1"/>
  <c r="S417" i="1"/>
  <c r="S418" i="1"/>
  <c r="S419" i="1"/>
  <c r="S420" i="1"/>
  <c r="S421" i="1"/>
  <c r="S422" i="1"/>
  <c r="S423" i="1"/>
  <c r="S424" i="1"/>
  <c r="S425" i="1"/>
  <c r="S426" i="1"/>
  <c r="S427" i="1"/>
  <c r="S428" i="1"/>
  <c r="S429" i="1"/>
  <c r="S430" i="1"/>
  <c r="S431" i="1"/>
  <c r="S432" i="1"/>
  <c r="S433" i="1"/>
  <c r="S434" i="1"/>
  <c r="S435" i="1"/>
  <c r="S436" i="1"/>
  <c r="S437" i="1"/>
  <c r="S438" i="1"/>
  <c r="S439" i="1"/>
  <c r="S440" i="1"/>
  <c r="S441" i="1"/>
  <c r="S442" i="1"/>
  <c r="S443" i="1"/>
  <c r="S444" i="1"/>
  <c r="S445" i="1"/>
  <c r="S446" i="1"/>
  <c r="S447" i="1"/>
  <c r="S448" i="1"/>
  <c r="S449" i="1"/>
  <c r="S450" i="1"/>
  <c r="S451" i="1"/>
  <c r="S452" i="1"/>
  <c r="S453" i="1"/>
  <c r="S454" i="1"/>
  <c r="S455" i="1"/>
  <c r="S456" i="1"/>
  <c r="S457" i="1"/>
  <c r="S458" i="1"/>
  <c r="S459" i="1"/>
  <c r="S460" i="1"/>
  <c r="S461" i="1"/>
  <c r="S462" i="1"/>
  <c r="S463" i="1"/>
  <c r="S464" i="1"/>
  <c r="S465" i="1"/>
  <c r="S466" i="1"/>
  <c r="S467" i="1"/>
  <c r="S468" i="1"/>
  <c r="S469" i="1"/>
  <c r="S470" i="1"/>
  <c r="S471" i="1"/>
  <c r="S472" i="1"/>
  <c r="S473" i="1"/>
  <c r="S474" i="1"/>
  <c r="S475" i="1"/>
  <c r="S476" i="1"/>
  <c r="S477" i="1"/>
  <c r="S478" i="1"/>
  <c r="S479" i="1"/>
  <c r="S480" i="1"/>
  <c r="S481" i="1"/>
  <c r="S482" i="1"/>
  <c r="S483" i="1"/>
  <c r="S484" i="1"/>
  <c r="S485" i="1"/>
  <c r="S486" i="1"/>
  <c r="S487" i="1"/>
  <c r="S488" i="1"/>
  <c r="S489" i="1"/>
  <c r="S490" i="1"/>
  <c r="S491" i="1"/>
  <c r="S492" i="1"/>
  <c r="S493" i="1"/>
  <c r="S494" i="1"/>
  <c r="S495" i="1"/>
  <c r="S496" i="1"/>
  <c r="S497" i="1"/>
  <c r="S498" i="1"/>
  <c r="S499" i="1"/>
  <c r="S500" i="1"/>
  <c r="S501" i="1"/>
  <c r="S502" i="1"/>
  <c r="S503" i="1"/>
  <c r="S504" i="1"/>
  <c r="S505" i="1"/>
  <c r="S506" i="1"/>
  <c r="S507" i="1"/>
  <c r="S508" i="1"/>
  <c r="S509" i="1"/>
  <c r="S510" i="1"/>
  <c r="S511" i="1"/>
  <c r="S512" i="1"/>
  <c r="S513" i="1"/>
  <c r="S514" i="1"/>
  <c r="S515" i="1"/>
  <c r="S516" i="1"/>
  <c r="S517" i="1"/>
  <c r="S518" i="1"/>
  <c r="S519" i="1"/>
  <c r="S520" i="1"/>
  <c r="S521" i="1"/>
  <c r="S522" i="1"/>
  <c r="S523" i="1"/>
  <c r="S524" i="1"/>
  <c r="S525" i="1"/>
  <c r="S526" i="1"/>
  <c r="S527" i="1"/>
  <c r="S528" i="1"/>
  <c r="S529" i="1"/>
  <c r="S530" i="1"/>
  <c r="S531" i="1"/>
  <c r="S532" i="1"/>
  <c r="S533" i="1"/>
  <c r="S534" i="1"/>
  <c r="S535" i="1"/>
  <c r="S536" i="1"/>
  <c r="S537" i="1"/>
  <c r="S538" i="1"/>
  <c r="S539" i="1"/>
  <c r="S540" i="1"/>
  <c r="S541" i="1"/>
  <c r="S542" i="1"/>
  <c r="S543" i="1"/>
  <c r="S544" i="1"/>
  <c r="S545" i="1"/>
  <c r="S546" i="1"/>
  <c r="S547" i="1"/>
  <c r="S548" i="1"/>
  <c r="S549" i="1"/>
  <c r="S550" i="1"/>
  <c r="S551" i="1"/>
  <c r="S552" i="1"/>
  <c r="S553" i="1"/>
  <c r="S554" i="1"/>
  <c r="S555" i="1"/>
  <c r="S556" i="1"/>
  <c r="S557" i="1"/>
  <c r="S558" i="1"/>
  <c r="S559" i="1"/>
  <c r="S560" i="1"/>
  <c r="S561" i="1"/>
  <c r="S562" i="1"/>
  <c r="S563" i="1"/>
  <c r="S564" i="1"/>
  <c r="S565" i="1"/>
  <c r="S566" i="1"/>
  <c r="S567" i="1"/>
  <c r="S568" i="1"/>
  <c r="S569" i="1"/>
  <c r="S570" i="1"/>
  <c r="S571" i="1"/>
  <c r="S572" i="1"/>
  <c r="S573" i="1"/>
  <c r="S574" i="1"/>
  <c r="S575" i="1"/>
  <c r="S576" i="1"/>
  <c r="S577" i="1"/>
  <c r="S578" i="1"/>
  <c r="S579" i="1"/>
  <c r="S580" i="1"/>
  <c r="S581" i="1"/>
  <c r="S582" i="1"/>
  <c r="S583" i="1"/>
  <c r="S584" i="1"/>
  <c r="S585" i="1"/>
  <c r="S586" i="1"/>
  <c r="S587" i="1"/>
  <c r="S588" i="1"/>
  <c r="S589" i="1"/>
  <c r="S590" i="1"/>
  <c r="S591" i="1"/>
  <c r="S592" i="1"/>
  <c r="S593" i="1"/>
  <c r="S594" i="1"/>
  <c r="S595" i="1"/>
  <c r="S596" i="1"/>
  <c r="S597" i="1"/>
  <c r="S598" i="1"/>
  <c r="S599" i="1"/>
  <c r="S600" i="1"/>
  <c r="S601" i="1"/>
  <c r="S602" i="1"/>
  <c r="S603" i="1"/>
  <c r="S604" i="1"/>
  <c r="S605" i="1"/>
  <c r="S606" i="1"/>
  <c r="S607" i="1"/>
  <c r="S608" i="1"/>
  <c r="S609" i="1"/>
  <c r="S610" i="1"/>
  <c r="S611" i="1"/>
  <c r="S612" i="1"/>
  <c r="S613" i="1"/>
  <c r="S614" i="1"/>
  <c r="S615" i="1"/>
  <c r="S616" i="1"/>
  <c r="S617" i="1"/>
  <c r="S618" i="1"/>
  <c r="S619" i="1"/>
  <c r="S620" i="1"/>
  <c r="S621" i="1"/>
  <c r="S622" i="1"/>
  <c r="S623" i="1"/>
  <c r="S624" i="1"/>
  <c r="S625" i="1"/>
  <c r="S626" i="1"/>
  <c r="S627" i="1"/>
  <c r="S628" i="1"/>
  <c r="S629" i="1"/>
  <c r="S630" i="1"/>
  <c r="S631" i="1"/>
  <c r="S632" i="1"/>
  <c r="S633" i="1"/>
  <c r="S634" i="1"/>
  <c r="S635" i="1"/>
  <c r="S636" i="1"/>
  <c r="S637" i="1"/>
  <c r="S638" i="1"/>
  <c r="S639" i="1"/>
  <c r="S640" i="1"/>
  <c r="S641" i="1"/>
  <c r="S642" i="1"/>
  <c r="S643" i="1"/>
  <c r="S644" i="1"/>
  <c r="S645" i="1"/>
  <c r="S646" i="1"/>
  <c r="S647" i="1"/>
  <c r="S648" i="1"/>
  <c r="S649" i="1"/>
  <c r="S650" i="1"/>
  <c r="S651" i="1"/>
  <c r="S652" i="1"/>
  <c r="S653" i="1"/>
  <c r="S654" i="1"/>
  <c r="S655" i="1"/>
  <c r="S656" i="1"/>
  <c r="S657" i="1"/>
  <c r="S658" i="1"/>
  <c r="S659" i="1"/>
  <c r="S660" i="1"/>
  <c r="S661" i="1"/>
  <c r="S662" i="1"/>
  <c r="S663" i="1"/>
  <c r="S664" i="1"/>
  <c r="S665" i="1"/>
  <c r="S666" i="1"/>
  <c r="S667" i="1"/>
  <c r="S668" i="1"/>
  <c r="S669" i="1"/>
  <c r="S670" i="1"/>
  <c r="S671" i="1"/>
  <c r="S672" i="1"/>
  <c r="S673" i="1"/>
  <c r="S674" i="1"/>
  <c r="S675" i="1"/>
  <c r="S676" i="1"/>
  <c r="S677" i="1"/>
  <c r="S678" i="1"/>
  <c r="S679" i="1"/>
  <c r="S680" i="1"/>
  <c r="S681" i="1"/>
  <c r="S682" i="1"/>
  <c r="S683" i="1"/>
  <c r="S684" i="1"/>
  <c r="S685" i="1"/>
  <c r="S686" i="1"/>
  <c r="S687" i="1"/>
  <c r="S688" i="1"/>
  <c r="S689" i="1"/>
  <c r="S690" i="1"/>
  <c r="S691" i="1"/>
  <c r="S692" i="1"/>
  <c r="S693" i="1"/>
  <c r="S694" i="1"/>
  <c r="S695" i="1"/>
  <c r="S696" i="1"/>
  <c r="S697" i="1"/>
  <c r="S698" i="1"/>
  <c r="S699" i="1"/>
  <c r="S700" i="1"/>
  <c r="S701" i="1"/>
  <c r="S702" i="1"/>
  <c r="S703" i="1"/>
  <c r="S704" i="1"/>
  <c r="S705" i="1"/>
  <c r="S706" i="1"/>
  <c r="S707" i="1"/>
  <c r="S708" i="1"/>
  <c r="S709" i="1"/>
  <c r="S710" i="1"/>
  <c r="S711" i="1"/>
  <c r="S712" i="1"/>
  <c r="S713" i="1"/>
  <c r="S714" i="1"/>
  <c r="S715" i="1"/>
  <c r="S716" i="1"/>
  <c r="S717" i="1"/>
  <c r="S718" i="1"/>
  <c r="S719" i="1"/>
  <c r="S720" i="1"/>
  <c r="S721" i="1"/>
  <c r="S722" i="1"/>
  <c r="S723" i="1"/>
  <c r="S724" i="1"/>
  <c r="S725" i="1"/>
  <c r="S726" i="1"/>
  <c r="S727" i="1"/>
  <c r="S728" i="1"/>
  <c r="S729" i="1"/>
  <c r="S730" i="1"/>
  <c r="S731" i="1"/>
  <c r="S732" i="1"/>
  <c r="S733" i="1"/>
  <c r="S734" i="1"/>
  <c r="S735" i="1"/>
  <c r="S736" i="1"/>
  <c r="S737" i="1"/>
  <c r="S738" i="1"/>
  <c r="S739" i="1"/>
  <c r="S740" i="1"/>
  <c r="S741" i="1"/>
  <c r="S742" i="1"/>
  <c r="S743" i="1"/>
  <c r="S744" i="1"/>
  <c r="S745" i="1"/>
  <c r="S746" i="1"/>
  <c r="S747" i="1"/>
  <c r="S748" i="1"/>
  <c r="S749" i="1"/>
  <c r="S750" i="1"/>
  <c r="S751" i="1"/>
  <c r="S752" i="1"/>
  <c r="S753" i="1"/>
  <c r="S754" i="1"/>
  <c r="S755" i="1"/>
  <c r="S756" i="1"/>
  <c r="S757" i="1"/>
  <c r="S758" i="1"/>
  <c r="S759" i="1"/>
  <c r="S760" i="1"/>
  <c r="S761" i="1"/>
  <c r="S762" i="1"/>
  <c r="S763" i="1"/>
  <c r="S764" i="1"/>
  <c r="S765" i="1"/>
  <c r="S766" i="1"/>
  <c r="S767" i="1"/>
  <c r="S768" i="1"/>
  <c r="S769" i="1"/>
  <c r="S770" i="1"/>
  <c r="S771" i="1"/>
  <c r="S772" i="1"/>
  <c r="S773" i="1"/>
  <c r="S774" i="1"/>
  <c r="S775" i="1"/>
  <c r="S776" i="1"/>
  <c r="S777" i="1"/>
  <c r="S778" i="1"/>
  <c r="S779" i="1"/>
  <c r="S780" i="1"/>
  <c r="S781" i="1"/>
  <c r="S782" i="1"/>
  <c r="S783" i="1"/>
  <c r="S784" i="1"/>
  <c r="S785" i="1"/>
  <c r="S786" i="1"/>
  <c r="S787" i="1"/>
  <c r="S788" i="1"/>
  <c r="S789" i="1"/>
  <c r="S790" i="1"/>
  <c r="S791" i="1"/>
  <c r="S792" i="1"/>
  <c r="S793" i="1"/>
  <c r="S794" i="1"/>
  <c r="S795" i="1"/>
  <c r="S796" i="1"/>
  <c r="S797" i="1"/>
  <c r="S798" i="1"/>
  <c r="S799" i="1"/>
  <c r="S800" i="1"/>
  <c r="S801" i="1"/>
  <c r="S802" i="1"/>
  <c r="S803" i="1"/>
  <c r="S804" i="1"/>
  <c r="S805" i="1"/>
  <c r="S806" i="1"/>
  <c r="S807" i="1"/>
  <c r="S808" i="1"/>
  <c r="S809" i="1"/>
  <c r="S810" i="1"/>
  <c r="S811" i="1"/>
  <c r="S812" i="1"/>
  <c r="S813" i="1"/>
  <c r="S814" i="1"/>
  <c r="S815" i="1"/>
  <c r="S816" i="1"/>
  <c r="S817" i="1"/>
  <c r="S818" i="1"/>
  <c r="S819" i="1"/>
  <c r="S820" i="1"/>
  <c r="S821" i="1"/>
  <c r="S822" i="1"/>
  <c r="S823" i="1"/>
  <c r="S824" i="1"/>
  <c r="S825" i="1"/>
  <c r="S826" i="1"/>
  <c r="S827" i="1"/>
  <c r="S828" i="1"/>
  <c r="S829" i="1"/>
  <c r="S830" i="1"/>
  <c r="S831" i="1"/>
  <c r="S832" i="1"/>
  <c r="S833" i="1"/>
  <c r="S834" i="1"/>
  <c r="S835" i="1"/>
  <c r="S836" i="1"/>
  <c r="S837" i="1"/>
  <c r="S838" i="1"/>
  <c r="S839" i="1"/>
  <c r="S840" i="1"/>
  <c r="S841" i="1"/>
  <c r="S842" i="1"/>
  <c r="S843" i="1"/>
  <c r="S844" i="1"/>
  <c r="S845" i="1"/>
  <c r="S846" i="1"/>
  <c r="S847" i="1"/>
  <c r="S848" i="1"/>
  <c r="S849" i="1"/>
  <c r="S850" i="1"/>
  <c r="S851" i="1"/>
  <c r="S852" i="1"/>
  <c r="S853" i="1"/>
  <c r="S854" i="1"/>
  <c r="S855" i="1"/>
  <c r="S856" i="1"/>
  <c r="S857" i="1"/>
  <c r="S858" i="1"/>
  <c r="S859" i="1"/>
  <c r="S860" i="1"/>
  <c r="S861" i="1"/>
  <c r="S862" i="1"/>
  <c r="S863" i="1"/>
  <c r="S864" i="1"/>
  <c r="S865" i="1"/>
  <c r="S866" i="1"/>
  <c r="S867" i="1"/>
  <c r="S868" i="1"/>
  <c r="S869" i="1"/>
  <c r="S870" i="1"/>
  <c r="S871" i="1"/>
  <c r="S872" i="1"/>
  <c r="S873" i="1"/>
  <c r="S874" i="1"/>
  <c r="S875" i="1"/>
  <c r="S876" i="1"/>
  <c r="S877" i="1"/>
  <c r="S878" i="1"/>
  <c r="S879" i="1"/>
  <c r="S880" i="1"/>
  <c r="S881" i="1"/>
  <c r="S882" i="1"/>
  <c r="S883" i="1"/>
  <c r="S884" i="1"/>
  <c r="S885" i="1"/>
  <c r="S886" i="1"/>
  <c r="S887" i="1"/>
  <c r="S888" i="1"/>
  <c r="S889" i="1"/>
  <c r="S890" i="1"/>
  <c r="S891" i="1"/>
  <c r="S892" i="1"/>
  <c r="S893" i="1"/>
  <c r="S894" i="1"/>
  <c r="S895" i="1"/>
  <c r="S896" i="1"/>
  <c r="S897" i="1"/>
  <c r="S898" i="1"/>
  <c r="S899" i="1"/>
  <c r="S900" i="1"/>
  <c r="S901" i="1"/>
  <c r="S902" i="1"/>
  <c r="S903" i="1"/>
  <c r="S904" i="1"/>
  <c r="S905" i="1"/>
  <c r="S906" i="1"/>
  <c r="S907" i="1"/>
  <c r="S908" i="1"/>
  <c r="S909" i="1"/>
  <c r="S910" i="1"/>
  <c r="S911" i="1"/>
  <c r="S912" i="1"/>
  <c r="S913" i="1"/>
  <c r="S914" i="1"/>
  <c r="S915" i="1"/>
  <c r="S916" i="1"/>
  <c r="S917" i="1"/>
  <c r="S918" i="1"/>
  <c r="S919" i="1"/>
  <c r="S920" i="1"/>
  <c r="S921" i="1"/>
  <c r="S922" i="1"/>
  <c r="S923" i="1"/>
  <c r="S924" i="1"/>
  <c r="S925" i="1"/>
  <c r="S926" i="1"/>
  <c r="S927" i="1"/>
  <c r="S928" i="1"/>
  <c r="S929" i="1"/>
  <c r="S930" i="1"/>
  <c r="S931" i="1"/>
  <c r="S932" i="1"/>
  <c r="S933" i="1"/>
  <c r="S934" i="1"/>
  <c r="S935" i="1"/>
  <c r="S936" i="1"/>
  <c r="S937" i="1"/>
  <c r="S938" i="1"/>
  <c r="S939" i="1"/>
  <c r="S940" i="1"/>
  <c r="S941" i="1"/>
  <c r="S942" i="1"/>
  <c r="S943" i="1"/>
  <c r="S944" i="1"/>
  <c r="S945" i="1"/>
  <c r="S946" i="1"/>
  <c r="S947" i="1"/>
  <c r="S948" i="1"/>
  <c r="S949" i="1"/>
  <c r="S950" i="1"/>
  <c r="S951" i="1"/>
  <c r="S952" i="1"/>
  <c r="S953" i="1"/>
  <c r="S954" i="1"/>
  <c r="S955" i="1"/>
  <c r="S956" i="1"/>
  <c r="S957" i="1"/>
  <c r="S958" i="1"/>
  <c r="S959" i="1"/>
  <c r="S960" i="1"/>
  <c r="S961" i="1"/>
  <c r="S962" i="1"/>
  <c r="S963" i="1"/>
  <c r="S964" i="1"/>
  <c r="S965" i="1"/>
  <c r="S966" i="1"/>
  <c r="S967" i="1"/>
  <c r="S968" i="1"/>
  <c r="S969" i="1"/>
  <c r="S970" i="1"/>
  <c r="S971" i="1"/>
  <c r="S972" i="1"/>
  <c r="S973" i="1"/>
  <c r="S974" i="1"/>
  <c r="S975" i="1"/>
  <c r="S976" i="1"/>
  <c r="S977" i="1"/>
  <c r="S978" i="1"/>
  <c r="S979" i="1"/>
  <c r="S980" i="1"/>
  <c r="S981" i="1"/>
  <c r="S982" i="1"/>
  <c r="S983" i="1"/>
  <c r="S984" i="1"/>
  <c r="S985" i="1"/>
  <c r="S986" i="1"/>
  <c r="S987" i="1"/>
  <c r="S988" i="1"/>
  <c r="S989" i="1"/>
  <c r="S990" i="1"/>
  <c r="S991" i="1"/>
  <c r="S992" i="1"/>
  <c r="S993" i="1"/>
  <c r="S994" i="1"/>
  <c r="S995" i="1"/>
  <c r="S996" i="1"/>
  <c r="S997" i="1"/>
  <c r="S998" i="1"/>
  <c r="S999" i="1"/>
  <c r="S1000" i="1"/>
  <c r="E6" i="1" l="1"/>
  <c r="D6" i="1" s="1"/>
  <c r="E7" i="1"/>
  <c r="D7" i="1" s="1"/>
  <c r="E8" i="1"/>
  <c r="D8" i="1" s="1"/>
  <c r="E9" i="1"/>
  <c r="D9" i="1" s="1"/>
  <c r="E10" i="1"/>
  <c r="D10" i="1" s="1"/>
  <c r="E11" i="1"/>
  <c r="D11" i="1" s="1"/>
  <c r="E12" i="1"/>
  <c r="D12" i="1" s="1"/>
  <c r="E13" i="1"/>
  <c r="D13" i="1" s="1"/>
  <c r="E14" i="1"/>
  <c r="D14" i="1" s="1"/>
  <c r="E15" i="1"/>
  <c r="D15" i="1" s="1"/>
  <c r="E16" i="1"/>
  <c r="D16" i="1" s="1"/>
  <c r="E17" i="1"/>
  <c r="D17" i="1" s="1"/>
  <c r="E18" i="1"/>
  <c r="D18" i="1" s="1"/>
  <c r="E19" i="1"/>
  <c r="D19" i="1" s="1"/>
  <c r="E20" i="1"/>
  <c r="D20" i="1" s="1"/>
  <c r="E21" i="1"/>
  <c r="D21" i="1" s="1"/>
  <c r="E22" i="1"/>
  <c r="D22" i="1" s="1"/>
  <c r="E23" i="1"/>
  <c r="D23" i="1" s="1"/>
  <c r="E24" i="1"/>
  <c r="E25" i="1"/>
  <c r="D25" i="1" s="1"/>
  <c r="E26" i="1"/>
  <c r="E27" i="1"/>
  <c r="E28" i="1"/>
  <c r="E29" i="1"/>
  <c r="E30" i="1"/>
  <c r="E31" i="1"/>
  <c r="E32" i="1"/>
  <c r="E33" i="1"/>
  <c r="E34" i="1"/>
  <c r="E35" i="1"/>
  <c r="E36" i="1"/>
  <c r="E37" i="1"/>
  <c r="E38" i="1"/>
  <c r="E39" i="1"/>
  <c r="E40" i="1"/>
  <c r="D24" i="1"/>
  <c r="D26" i="1"/>
  <c r="D27" i="1"/>
  <c r="F6" i="1"/>
  <c r="F7" i="1"/>
  <c r="F8" i="1"/>
  <c r="F9" i="1"/>
  <c r="F10" i="1"/>
  <c r="F11" i="1"/>
  <c r="F12" i="1"/>
  <c r="F13" i="1"/>
  <c r="F14" i="1"/>
  <c r="F15" i="1"/>
  <c r="F16" i="1"/>
  <c r="F17" i="1"/>
  <c r="F18" i="1"/>
  <c r="F19" i="1"/>
  <c r="F18" i="14" l="1"/>
  <c r="L8" i="14"/>
  <c r="L12" i="14"/>
  <c r="L11" i="14"/>
  <c r="L10" i="14"/>
  <c r="L9" i="14"/>
  <c r="O2" i="14"/>
  <c r="F18" i="7"/>
  <c r="L11" i="7"/>
  <c r="L10" i="7"/>
  <c r="L9" i="7"/>
  <c r="L8" i="7"/>
  <c r="O2" i="7"/>
  <c r="P6" i="1" l="1"/>
  <c r="P8" i="1" l="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7" i="1"/>
  <c r="Q10" i="1" l="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9" i="1"/>
  <c r="Q8" i="1"/>
  <c r="Q7" i="1"/>
  <c r="Q6" i="1"/>
  <c r="D3" i="6"/>
  <c r="C2" i="12"/>
  <c r="F2" i="1"/>
  <c r="F200" i="12" l="1"/>
  <c r="G200" i="12" s="1"/>
  <c r="F199" i="12"/>
  <c r="G199" i="12" s="1"/>
  <c r="F198" i="12"/>
  <c r="G198" i="12" s="1"/>
  <c r="F197" i="12"/>
  <c r="G197" i="12" s="1"/>
  <c r="F196" i="12"/>
  <c r="G196" i="12" s="1"/>
  <c r="F195" i="12"/>
  <c r="G195" i="12" s="1"/>
  <c r="F194" i="12"/>
  <c r="G194" i="12" s="1"/>
  <c r="F193" i="12"/>
  <c r="G193" i="12" s="1"/>
  <c r="F192" i="12"/>
  <c r="G192" i="12" s="1"/>
  <c r="F191" i="12"/>
  <c r="G191" i="12" s="1"/>
  <c r="F190" i="12"/>
  <c r="G190" i="12" s="1"/>
  <c r="F189" i="12"/>
  <c r="G189" i="12" s="1"/>
  <c r="F188" i="12"/>
  <c r="G188" i="12" s="1"/>
  <c r="F187" i="12"/>
  <c r="G187" i="12" s="1"/>
  <c r="F186" i="12"/>
  <c r="G186" i="12" s="1"/>
  <c r="F185" i="12"/>
  <c r="G185" i="12" s="1"/>
  <c r="F184" i="12"/>
  <c r="G184" i="12" s="1"/>
  <c r="F183" i="12"/>
  <c r="G183" i="12" s="1"/>
  <c r="F182" i="12"/>
  <c r="G182" i="12" s="1"/>
  <c r="F181" i="12"/>
  <c r="G181" i="12" s="1"/>
  <c r="F180" i="12"/>
  <c r="G180" i="12" s="1"/>
  <c r="F179" i="12"/>
  <c r="G179" i="12" s="1"/>
  <c r="F178" i="12"/>
  <c r="G178" i="12" s="1"/>
  <c r="F177" i="12"/>
  <c r="G177" i="12" s="1"/>
  <c r="F176" i="12"/>
  <c r="G176" i="12" s="1"/>
  <c r="F175" i="12"/>
  <c r="G175" i="12" s="1"/>
  <c r="F174" i="12"/>
  <c r="G174" i="12" s="1"/>
  <c r="F173" i="12"/>
  <c r="G173" i="12" s="1"/>
  <c r="F172" i="12"/>
  <c r="G172" i="12" s="1"/>
  <c r="F171" i="12"/>
  <c r="G171" i="12" s="1"/>
  <c r="F170" i="12"/>
  <c r="G170" i="12" s="1"/>
  <c r="F169" i="12"/>
  <c r="G169" i="12" s="1"/>
  <c r="F168" i="12"/>
  <c r="G168" i="12" s="1"/>
  <c r="F167" i="12"/>
  <c r="G167" i="12" s="1"/>
  <c r="F166" i="12"/>
  <c r="G166" i="12" s="1"/>
  <c r="F165" i="12"/>
  <c r="G165" i="12" s="1"/>
  <c r="F164" i="12"/>
  <c r="G164" i="12" s="1"/>
  <c r="F163" i="12"/>
  <c r="G163" i="12" s="1"/>
  <c r="F162" i="12"/>
  <c r="G162" i="12" s="1"/>
  <c r="F161" i="12"/>
  <c r="G161" i="12" s="1"/>
  <c r="F160" i="12"/>
  <c r="G160" i="12" s="1"/>
  <c r="F159" i="12"/>
  <c r="G159" i="12" s="1"/>
  <c r="F158" i="12"/>
  <c r="G158" i="12" s="1"/>
  <c r="F157" i="12"/>
  <c r="G157" i="12" s="1"/>
  <c r="F156" i="12"/>
  <c r="G156" i="12" s="1"/>
  <c r="F155" i="12"/>
  <c r="G155" i="12" s="1"/>
  <c r="F154" i="12"/>
  <c r="G154" i="12" s="1"/>
  <c r="F153" i="12"/>
  <c r="G153" i="12" s="1"/>
  <c r="F152" i="12"/>
  <c r="G152" i="12" s="1"/>
  <c r="F151" i="12"/>
  <c r="G151" i="12" s="1"/>
  <c r="F150" i="12"/>
  <c r="G150" i="12" s="1"/>
  <c r="F149" i="12"/>
  <c r="G149" i="12" s="1"/>
  <c r="F148" i="12"/>
  <c r="G148" i="12" s="1"/>
  <c r="F147" i="12"/>
  <c r="G147" i="12" s="1"/>
  <c r="F146" i="12"/>
  <c r="G146" i="12" s="1"/>
  <c r="F145" i="12"/>
  <c r="G145" i="12" s="1"/>
  <c r="F144" i="12"/>
  <c r="G144" i="12" s="1"/>
  <c r="F143" i="12"/>
  <c r="G143" i="12" s="1"/>
  <c r="F142" i="12"/>
  <c r="G142" i="12" s="1"/>
  <c r="F141" i="12"/>
  <c r="G141" i="12" s="1"/>
  <c r="F140" i="12"/>
  <c r="G140" i="12" s="1"/>
  <c r="F139" i="12"/>
  <c r="G139" i="12" s="1"/>
  <c r="F138" i="12"/>
  <c r="G138" i="12" s="1"/>
  <c r="F137" i="12"/>
  <c r="G137" i="12" s="1"/>
  <c r="F136" i="12"/>
  <c r="G136" i="12" s="1"/>
  <c r="F135" i="12"/>
  <c r="G135" i="12" s="1"/>
  <c r="F134" i="12"/>
  <c r="G134" i="12" s="1"/>
  <c r="F133" i="12"/>
  <c r="G133" i="12" s="1"/>
  <c r="F132" i="12"/>
  <c r="G132" i="12" s="1"/>
  <c r="F131" i="12"/>
  <c r="G131" i="12" s="1"/>
  <c r="F130" i="12"/>
  <c r="G130" i="12" s="1"/>
  <c r="F129" i="12"/>
  <c r="G129" i="12" s="1"/>
  <c r="F128" i="12"/>
  <c r="G128" i="12" s="1"/>
  <c r="F127" i="12"/>
  <c r="G127" i="12" s="1"/>
  <c r="F126" i="12"/>
  <c r="G126" i="12" s="1"/>
  <c r="F125" i="12"/>
  <c r="G125" i="12" s="1"/>
  <c r="F124" i="12"/>
  <c r="G124" i="12" s="1"/>
  <c r="F123" i="12"/>
  <c r="G123" i="12" s="1"/>
  <c r="F122" i="12"/>
  <c r="G122" i="12" s="1"/>
  <c r="F121" i="12"/>
  <c r="G121" i="12" s="1"/>
  <c r="F120" i="12"/>
  <c r="G120" i="12" s="1"/>
  <c r="F119" i="12"/>
  <c r="G119" i="12" s="1"/>
  <c r="F118" i="12"/>
  <c r="G118" i="12" s="1"/>
  <c r="F117" i="12"/>
  <c r="G117" i="12" s="1"/>
  <c r="F116" i="12"/>
  <c r="G116" i="12" s="1"/>
  <c r="F115" i="12"/>
  <c r="G115" i="12" s="1"/>
  <c r="F114" i="12"/>
  <c r="G114" i="12" s="1"/>
  <c r="F113" i="12"/>
  <c r="G113" i="12" s="1"/>
  <c r="F112" i="12"/>
  <c r="G112" i="12" s="1"/>
  <c r="F111" i="12"/>
  <c r="G111" i="12" s="1"/>
  <c r="F110" i="12"/>
  <c r="G110" i="12" s="1"/>
  <c r="F109" i="12"/>
  <c r="G109" i="12" s="1"/>
  <c r="F108" i="12"/>
  <c r="G108" i="12" s="1"/>
  <c r="F107" i="12"/>
  <c r="G107" i="12" s="1"/>
  <c r="F106" i="12"/>
  <c r="G106" i="12" s="1"/>
  <c r="F105" i="12"/>
  <c r="G105" i="12" s="1"/>
  <c r="F104" i="12"/>
  <c r="G104" i="12" s="1"/>
  <c r="F103" i="12"/>
  <c r="G103" i="12" s="1"/>
  <c r="F102" i="12"/>
  <c r="G102" i="12" s="1"/>
  <c r="F101" i="12"/>
  <c r="G101" i="12" s="1"/>
  <c r="F100" i="12"/>
  <c r="G100" i="12" s="1"/>
  <c r="F99" i="12"/>
  <c r="G99" i="12" s="1"/>
  <c r="F98" i="12"/>
  <c r="G98" i="12" s="1"/>
  <c r="F97" i="12"/>
  <c r="G97" i="12" s="1"/>
  <c r="F96" i="12"/>
  <c r="G96" i="12" s="1"/>
  <c r="F95" i="12"/>
  <c r="G95" i="12" s="1"/>
  <c r="F94" i="12"/>
  <c r="G94" i="12" s="1"/>
  <c r="F93" i="12"/>
  <c r="G93" i="12" s="1"/>
  <c r="F92" i="12"/>
  <c r="G92" i="12" s="1"/>
  <c r="F91" i="12"/>
  <c r="G91" i="12" s="1"/>
  <c r="F90" i="12"/>
  <c r="G90" i="12" s="1"/>
  <c r="F89" i="12"/>
  <c r="G89" i="12" s="1"/>
  <c r="F88" i="12"/>
  <c r="G88" i="12" s="1"/>
  <c r="F87" i="12"/>
  <c r="G87" i="12" s="1"/>
  <c r="F86" i="12"/>
  <c r="G86" i="12" s="1"/>
  <c r="F85" i="12"/>
  <c r="G85" i="12" s="1"/>
  <c r="F84" i="12"/>
  <c r="G84" i="12" s="1"/>
  <c r="F83" i="12"/>
  <c r="G83" i="12" s="1"/>
  <c r="F82" i="12"/>
  <c r="G82" i="12" s="1"/>
  <c r="F81" i="12"/>
  <c r="G81" i="12" s="1"/>
  <c r="F80" i="12"/>
  <c r="G80" i="12" s="1"/>
  <c r="F79" i="12"/>
  <c r="G79" i="12" s="1"/>
  <c r="F78" i="12"/>
  <c r="G78" i="12" s="1"/>
  <c r="F77" i="12"/>
  <c r="G77" i="12" s="1"/>
  <c r="F76" i="12"/>
  <c r="G76" i="12" s="1"/>
  <c r="F75" i="12"/>
  <c r="G75" i="12" s="1"/>
  <c r="F74" i="12"/>
  <c r="G74" i="12" s="1"/>
  <c r="F73" i="12"/>
  <c r="G73" i="12" s="1"/>
  <c r="F72" i="12"/>
  <c r="G72" i="12" s="1"/>
  <c r="F71" i="12"/>
  <c r="G71" i="12" s="1"/>
  <c r="F70" i="12"/>
  <c r="G70" i="12" s="1"/>
  <c r="F69" i="12"/>
  <c r="G69" i="12" s="1"/>
  <c r="F68" i="12"/>
  <c r="G68" i="12" s="1"/>
  <c r="F67" i="12"/>
  <c r="G67" i="12" s="1"/>
  <c r="F66" i="12"/>
  <c r="G66" i="12" s="1"/>
  <c r="F65" i="12"/>
  <c r="G65" i="12" s="1"/>
  <c r="F64" i="12"/>
  <c r="G64" i="12" s="1"/>
  <c r="F63" i="12"/>
  <c r="G63" i="12" s="1"/>
  <c r="F62" i="12"/>
  <c r="G62" i="12" s="1"/>
  <c r="F61" i="12"/>
  <c r="G61" i="12" s="1"/>
  <c r="F60" i="12"/>
  <c r="G60" i="12" s="1"/>
  <c r="F59" i="12"/>
  <c r="G59" i="12" s="1"/>
  <c r="F58" i="12"/>
  <c r="G58" i="12" s="1"/>
  <c r="F57" i="12"/>
  <c r="G57" i="12" s="1"/>
  <c r="F56" i="12"/>
  <c r="G56" i="12" s="1"/>
  <c r="F55" i="12"/>
  <c r="G55" i="12" s="1"/>
  <c r="F54" i="12"/>
  <c r="G54" i="12" s="1"/>
  <c r="F53" i="12"/>
  <c r="G53" i="12" s="1"/>
  <c r="F52" i="12"/>
  <c r="G52" i="12" s="1"/>
  <c r="F51" i="12"/>
  <c r="G51" i="12" s="1"/>
  <c r="F50" i="12"/>
  <c r="G50" i="12" s="1"/>
  <c r="F49" i="12"/>
  <c r="G49" i="12" s="1"/>
  <c r="F48" i="12"/>
  <c r="G48" i="12" s="1"/>
  <c r="F47" i="12"/>
  <c r="G47" i="12" s="1"/>
  <c r="F46" i="12"/>
  <c r="G46" i="12" s="1"/>
  <c r="F45" i="12"/>
  <c r="G45" i="12" s="1"/>
  <c r="F44" i="12"/>
  <c r="G44" i="12" s="1"/>
  <c r="F43" i="12"/>
  <c r="G43" i="12" s="1"/>
  <c r="F42" i="12"/>
  <c r="G42" i="12" s="1"/>
  <c r="F41" i="12"/>
  <c r="G41" i="12" s="1"/>
  <c r="F40" i="12"/>
  <c r="G40" i="12" s="1"/>
  <c r="F39" i="12"/>
  <c r="G39" i="12" s="1"/>
  <c r="F38" i="12"/>
  <c r="G38" i="12" s="1"/>
  <c r="F37" i="12"/>
  <c r="G37" i="12" s="1"/>
  <c r="F36" i="12"/>
  <c r="G36" i="12" s="1"/>
  <c r="F35" i="12"/>
  <c r="G35" i="12" s="1"/>
  <c r="F34" i="12"/>
  <c r="G34" i="12" s="1"/>
  <c r="F33" i="12"/>
  <c r="G33" i="12" s="1"/>
  <c r="F32" i="12"/>
  <c r="G32" i="12" s="1"/>
  <c r="F31" i="12"/>
  <c r="G31" i="12" s="1"/>
  <c r="F30" i="12"/>
  <c r="G30" i="12" s="1"/>
  <c r="F29" i="12"/>
  <c r="G29" i="12" s="1"/>
  <c r="F28" i="12"/>
  <c r="G28" i="12" s="1"/>
  <c r="F27" i="12"/>
  <c r="G27" i="12" s="1"/>
  <c r="F26" i="12"/>
  <c r="G26" i="12" s="1"/>
  <c r="F25" i="12"/>
  <c r="G25" i="12" s="1"/>
  <c r="F24" i="12"/>
  <c r="G24" i="12" s="1"/>
  <c r="F23" i="12"/>
  <c r="G23" i="12" s="1"/>
  <c r="F22" i="12"/>
  <c r="G22" i="12" s="1"/>
  <c r="F21" i="12"/>
  <c r="G21" i="12" s="1"/>
  <c r="F20" i="12"/>
  <c r="G20" i="12" s="1"/>
  <c r="F19" i="12"/>
  <c r="G19" i="12" s="1"/>
  <c r="F18" i="12"/>
  <c r="G18" i="12" s="1"/>
  <c r="F17" i="12"/>
  <c r="G17" i="12" s="1"/>
  <c r="F16" i="12"/>
  <c r="G16" i="12" s="1"/>
  <c r="F15" i="12"/>
  <c r="G15" i="12" s="1"/>
  <c r="F14" i="12"/>
  <c r="G14" i="12" s="1"/>
  <c r="F13" i="12"/>
  <c r="G13" i="12" s="1"/>
  <c r="F12" i="12"/>
  <c r="G12" i="12" s="1"/>
  <c r="F11" i="12"/>
  <c r="G11" i="12" s="1"/>
  <c r="F10" i="12"/>
  <c r="G10" i="12" s="1"/>
  <c r="F9" i="12"/>
  <c r="G9" i="12" s="1"/>
  <c r="F8" i="12"/>
  <c r="G8" i="12" s="1"/>
  <c r="F7" i="12"/>
  <c r="G7" i="12" s="1"/>
  <c r="F6" i="12"/>
  <c r="G6" i="12" s="1"/>
  <c r="R6" i="1" l="1"/>
  <c r="S6" i="1" s="1"/>
  <c r="R7" i="1" l="1"/>
  <c r="S7" i="1" s="1"/>
  <c r="R8" i="1"/>
  <c r="S8" i="1" s="1"/>
  <c r="R9" i="1"/>
  <c r="S9" i="1" s="1"/>
  <c r="R10" i="1"/>
  <c r="S10" i="1" s="1"/>
  <c r="R11" i="1"/>
  <c r="S11" i="1" s="1"/>
  <c r="R12" i="1"/>
  <c r="S12" i="1" s="1"/>
  <c r="R13" i="1"/>
  <c r="S13" i="1" s="1"/>
  <c r="R14" i="1"/>
  <c r="S14" i="1" s="1"/>
  <c r="R15" i="1"/>
  <c r="S15" i="1" s="1"/>
  <c r="R16" i="1"/>
  <c r="S16" i="1" s="1"/>
  <c r="R17" i="1"/>
  <c r="S17" i="1" s="1"/>
  <c r="R18" i="1"/>
  <c r="S18" i="1" s="1"/>
  <c r="R19" i="1"/>
  <c r="S19" i="1" s="1"/>
  <c r="R20" i="1"/>
  <c r="S20" i="1" s="1"/>
  <c r="R21" i="1"/>
  <c r="S21" i="1" s="1"/>
  <c r="R22" i="1"/>
  <c r="S22" i="1" s="1"/>
  <c r="R23" i="1"/>
  <c r="S23" i="1" s="1"/>
  <c r="R24" i="1"/>
  <c r="R25" i="1"/>
  <c r="R26" i="1"/>
  <c r="R27" i="1"/>
  <c r="R28" i="1"/>
  <c r="R29" i="1"/>
  <c r="R30" i="1"/>
  <c r="R31" i="1"/>
  <c r="R32" i="1"/>
  <c r="R33" i="1"/>
  <c r="R34" i="1"/>
  <c r="R35" i="1"/>
  <c r="R36" i="1"/>
  <c r="R37" i="1"/>
  <c r="R38" i="1"/>
  <c r="R39" i="1"/>
  <c r="R40" i="1"/>
  <c r="E41" i="1"/>
  <c r="R41" i="1" s="1"/>
  <c r="E42" i="1"/>
  <c r="R42" i="1" s="1"/>
  <c r="E43" i="1"/>
  <c r="R43" i="1" s="1"/>
  <c r="E44" i="1"/>
  <c r="R44" i="1" s="1"/>
  <c r="E45" i="1"/>
  <c r="R45" i="1" s="1"/>
  <c r="E46" i="1"/>
  <c r="R46" i="1" s="1"/>
  <c r="E47" i="1"/>
  <c r="R47" i="1" s="1"/>
  <c r="E48" i="1"/>
  <c r="R48" i="1" s="1"/>
  <c r="E49" i="1"/>
  <c r="R49" i="1" s="1"/>
  <c r="E50" i="1"/>
  <c r="R50" i="1" s="1"/>
  <c r="E51" i="1"/>
  <c r="R51" i="1" s="1"/>
  <c r="E52" i="1"/>
  <c r="R52" i="1" s="1"/>
  <c r="E53" i="1"/>
  <c r="R53" i="1" s="1"/>
  <c r="E54" i="1"/>
  <c r="R54" i="1" s="1"/>
  <c r="E55" i="1"/>
  <c r="R55" i="1" s="1"/>
  <c r="E56" i="1"/>
  <c r="R56" i="1" s="1"/>
  <c r="E57" i="1"/>
  <c r="R57" i="1" s="1"/>
  <c r="E58" i="1"/>
  <c r="R58" i="1" s="1"/>
  <c r="E59" i="1"/>
  <c r="R59" i="1" s="1"/>
  <c r="E60" i="1"/>
  <c r="R60" i="1" s="1"/>
  <c r="E61" i="1"/>
  <c r="R61" i="1" s="1"/>
  <c r="E62" i="1"/>
  <c r="R62" i="1" s="1"/>
  <c r="E63" i="1"/>
  <c r="R63" i="1" s="1"/>
  <c r="E64" i="1"/>
  <c r="R64" i="1" s="1"/>
  <c r="E65" i="1"/>
  <c r="R65" i="1" s="1"/>
  <c r="E66" i="1"/>
  <c r="R66" i="1" s="1"/>
  <c r="E67" i="1"/>
  <c r="R67" i="1" s="1"/>
  <c r="E68" i="1"/>
  <c r="R68" i="1" s="1"/>
  <c r="E69" i="1"/>
  <c r="R69" i="1" s="1"/>
  <c r="E70" i="1"/>
  <c r="R70" i="1" s="1"/>
  <c r="E71" i="1"/>
  <c r="R71" i="1" s="1"/>
  <c r="E72" i="1"/>
  <c r="R72" i="1" s="1"/>
  <c r="E73" i="1"/>
  <c r="R73" i="1" s="1"/>
  <c r="E74" i="1"/>
  <c r="R74" i="1" s="1"/>
  <c r="E75" i="1"/>
  <c r="R75" i="1" s="1"/>
  <c r="E76" i="1"/>
  <c r="R76" i="1" s="1"/>
  <c r="E77" i="1"/>
  <c r="R77" i="1" s="1"/>
  <c r="E78" i="1"/>
  <c r="R78" i="1" s="1"/>
  <c r="E79" i="1"/>
  <c r="R79" i="1" s="1"/>
  <c r="E80" i="1"/>
  <c r="R80" i="1" s="1"/>
  <c r="E81" i="1"/>
  <c r="R81" i="1" s="1"/>
  <c r="E82" i="1"/>
  <c r="R82" i="1" s="1"/>
  <c r="E83" i="1"/>
  <c r="R83" i="1" s="1"/>
  <c r="E84" i="1"/>
  <c r="R84" i="1" s="1"/>
  <c r="E85" i="1"/>
  <c r="R85" i="1" s="1"/>
  <c r="E86" i="1"/>
  <c r="R86" i="1" s="1"/>
  <c r="E87" i="1"/>
  <c r="R87" i="1" s="1"/>
  <c r="E88" i="1"/>
  <c r="R88" i="1" s="1"/>
  <c r="E89" i="1"/>
  <c r="R89" i="1" s="1"/>
  <c r="E90" i="1"/>
  <c r="R90" i="1" s="1"/>
  <c r="E91" i="1"/>
  <c r="R91" i="1" s="1"/>
  <c r="E92" i="1"/>
  <c r="R92" i="1" s="1"/>
  <c r="E93" i="1"/>
  <c r="R93" i="1" s="1"/>
  <c r="E94" i="1"/>
  <c r="R94" i="1" s="1"/>
  <c r="E95" i="1"/>
  <c r="R95" i="1" s="1"/>
  <c r="E96" i="1"/>
  <c r="R96" i="1" s="1"/>
  <c r="E97" i="1"/>
  <c r="R97" i="1" s="1"/>
  <c r="E98" i="1"/>
  <c r="R98" i="1" s="1"/>
  <c r="E99" i="1"/>
  <c r="R99" i="1" s="1"/>
  <c r="E100" i="1"/>
  <c r="R100" i="1" s="1"/>
  <c r="E101" i="1"/>
  <c r="R101" i="1" s="1"/>
  <c r="E102" i="1"/>
  <c r="R102" i="1" s="1"/>
  <c r="E103" i="1"/>
  <c r="R103" i="1" s="1"/>
  <c r="E104" i="1"/>
  <c r="R104" i="1" s="1"/>
  <c r="E105" i="1"/>
  <c r="R105" i="1" s="1"/>
  <c r="E106" i="1"/>
  <c r="R106" i="1" s="1"/>
  <c r="E107" i="1"/>
  <c r="R107" i="1" s="1"/>
  <c r="E108" i="1"/>
  <c r="R108" i="1" s="1"/>
  <c r="E109" i="1"/>
  <c r="R109" i="1" s="1"/>
  <c r="E110" i="1"/>
  <c r="R110" i="1" s="1"/>
  <c r="E111" i="1"/>
  <c r="R111" i="1" s="1"/>
  <c r="E112" i="1"/>
  <c r="R112" i="1" s="1"/>
  <c r="E113" i="1"/>
  <c r="R113" i="1" s="1"/>
  <c r="E114" i="1"/>
  <c r="R114" i="1" s="1"/>
  <c r="E115" i="1"/>
  <c r="R115" i="1" s="1"/>
  <c r="E116" i="1"/>
  <c r="R116" i="1" s="1"/>
  <c r="E117" i="1"/>
  <c r="R117" i="1" s="1"/>
  <c r="E118" i="1"/>
  <c r="R118" i="1" s="1"/>
  <c r="E119" i="1"/>
  <c r="R119" i="1" s="1"/>
  <c r="E120" i="1"/>
  <c r="R120" i="1" s="1"/>
  <c r="E121" i="1"/>
  <c r="R121" i="1" s="1"/>
  <c r="E122" i="1"/>
  <c r="R122" i="1" s="1"/>
  <c r="E123" i="1"/>
  <c r="R123" i="1" s="1"/>
  <c r="E124" i="1"/>
  <c r="R124" i="1" s="1"/>
  <c r="E125" i="1"/>
  <c r="R125" i="1" s="1"/>
  <c r="E126" i="1"/>
  <c r="R126" i="1" s="1"/>
  <c r="E127" i="1"/>
  <c r="R127" i="1" s="1"/>
  <c r="E128" i="1"/>
  <c r="R128" i="1" s="1"/>
  <c r="E129" i="1"/>
  <c r="R129" i="1" s="1"/>
  <c r="E130" i="1"/>
  <c r="R130" i="1" s="1"/>
  <c r="E131" i="1"/>
  <c r="R131" i="1" s="1"/>
  <c r="E132" i="1"/>
  <c r="R132" i="1" s="1"/>
  <c r="E133" i="1"/>
  <c r="R133" i="1" s="1"/>
  <c r="E134" i="1"/>
  <c r="R134" i="1" s="1"/>
  <c r="E135" i="1"/>
  <c r="R135" i="1" s="1"/>
  <c r="E136" i="1"/>
  <c r="R136" i="1" s="1"/>
  <c r="E137" i="1"/>
  <c r="R137" i="1" s="1"/>
  <c r="E138" i="1"/>
  <c r="R138" i="1" s="1"/>
  <c r="E139" i="1"/>
  <c r="R139" i="1" s="1"/>
  <c r="E140" i="1"/>
  <c r="R140" i="1" s="1"/>
  <c r="E141" i="1"/>
  <c r="R141" i="1" s="1"/>
  <c r="E142" i="1"/>
  <c r="R142" i="1" s="1"/>
  <c r="E143" i="1"/>
  <c r="R143" i="1" s="1"/>
  <c r="E144" i="1"/>
  <c r="R144" i="1" s="1"/>
  <c r="E145" i="1"/>
  <c r="R145" i="1" s="1"/>
  <c r="E146" i="1"/>
  <c r="R146" i="1" s="1"/>
  <c r="E147" i="1"/>
  <c r="R147" i="1" s="1"/>
  <c r="E148" i="1"/>
  <c r="R148" i="1" s="1"/>
  <c r="E149" i="1"/>
  <c r="R149" i="1" s="1"/>
  <c r="E150" i="1"/>
  <c r="R150" i="1" s="1"/>
  <c r="E151" i="1"/>
  <c r="R151" i="1" s="1"/>
  <c r="E152" i="1"/>
  <c r="R152" i="1" s="1"/>
  <c r="E153" i="1"/>
  <c r="R153" i="1" s="1"/>
  <c r="E154" i="1"/>
  <c r="R154" i="1" s="1"/>
  <c r="E155" i="1"/>
  <c r="R155" i="1" s="1"/>
  <c r="E156" i="1"/>
  <c r="R156" i="1" s="1"/>
  <c r="E157" i="1"/>
  <c r="R157" i="1" s="1"/>
  <c r="E158" i="1"/>
  <c r="R158" i="1" s="1"/>
  <c r="E159" i="1"/>
  <c r="R159" i="1" s="1"/>
  <c r="E160" i="1"/>
  <c r="R160" i="1" s="1"/>
  <c r="E161" i="1"/>
  <c r="R161" i="1" s="1"/>
  <c r="E162" i="1"/>
  <c r="R162" i="1" s="1"/>
  <c r="E163" i="1"/>
  <c r="R163" i="1" s="1"/>
  <c r="E164" i="1"/>
  <c r="R164" i="1" s="1"/>
  <c r="E165" i="1"/>
  <c r="R165" i="1" s="1"/>
  <c r="E166" i="1"/>
  <c r="R166" i="1" s="1"/>
  <c r="E167" i="1"/>
  <c r="R167" i="1" s="1"/>
  <c r="E168" i="1"/>
  <c r="R168" i="1" s="1"/>
  <c r="E169" i="1"/>
  <c r="R169" i="1" s="1"/>
  <c r="E170" i="1"/>
  <c r="R170" i="1" s="1"/>
  <c r="E171" i="1"/>
  <c r="R171" i="1" s="1"/>
  <c r="E172" i="1"/>
  <c r="R172" i="1" s="1"/>
  <c r="E173" i="1"/>
  <c r="R173" i="1" s="1"/>
  <c r="E174" i="1"/>
  <c r="R174" i="1" s="1"/>
  <c r="E175" i="1"/>
  <c r="R175" i="1" s="1"/>
  <c r="E176" i="1"/>
  <c r="R176" i="1" s="1"/>
  <c r="E177" i="1"/>
  <c r="R177" i="1" s="1"/>
  <c r="E178" i="1"/>
  <c r="R178" i="1" s="1"/>
  <c r="E179" i="1"/>
  <c r="R179" i="1" s="1"/>
  <c r="E180" i="1"/>
  <c r="R180" i="1" s="1"/>
  <c r="E181" i="1"/>
  <c r="R181" i="1" s="1"/>
  <c r="E182" i="1"/>
  <c r="R182" i="1" s="1"/>
  <c r="E183" i="1"/>
  <c r="R183" i="1" s="1"/>
  <c r="E184" i="1"/>
  <c r="R184" i="1" s="1"/>
  <c r="E185" i="1"/>
  <c r="R185" i="1" s="1"/>
  <c r="E186" i="1"/>
  <c r="R186" i="1" s="1"/>
  <c r="E187" i="1"/>
  <c r="R187" i="1" s="1"/>
  <c r="E188" i="1"/>
  <c r="R188" i="1" s="1"/>
  <c r="E189" i="1"/>
  <c r="R189" i="1" s="1"/>
  <c r="E190" i="1"/>
  <c r="R190" i="1" s="1"/>
  <c r="E191" i="1"/>
  <c r="R191" i="1" s="1"/>
  <c r="E192" i="1"/>
  <c r="R192" i="1" s="1"/>
  <c r="E193" i="1"/>
  <c r="R193" i="1" s="1"/>
  <c r="E194" i="1"/>
  <c r="R194" i="1" s="1"/>
  <c r="E195" i="1"/>
  <c r="R195" i="1" s="1"/>
  <c r="E196" i="1"/>
  <c r="R196" i="1" s="1"/>
  <c r="E197" i="1"/>
  <c r="R197" i="1" s="1"/>
  <c r="E198" i="1"/>
  <c r="R198" i="1" s="1"/>
  <c r="E199" i="1"/>
  <c r="R199" i="1" s="1"/>
  <c r="E200" i="1"/>
  <c r="R200" i="1" s="1"/>
  <c r="E201" i="1"/>
  <c r="R201" i="1" s="1"/>
  <c r="E202" i="1"/>
  <c r="R202" i="1" s="1"/>
  <c r="E203" i="1"/>
  <c r="R203" i="1" s="1"/>
  <c r="E204" i="1"/>
  <c r="R204" i="1" s="1"/>
  <c r="E205" i="1"/>
  <c r="R205" i="1" s="1"/>
  <c r="E206" i="1"/>
  <c r="R206" i="1" s="1"/>
  <c r="E207" i="1"/>
  <c r="R207" i="1" s="1"/>
  <c r="E208" i="1"/>
  <c r="R208" i="1" s="1"/>
  <c r="E209" i="1"/>
  <c r="R209" i="1" s="1"/>
  <c r="E210" i="1"/>
  <c r="R210" i="1" s="1"/>
  <c r="E211" i="1"/>
  <c r="R211" i="1" s="1"/>
  <c r="E212" i="1"/>
  <c r="R212" i="1" s="1"/>
  <c r="E213" i="1"/>
  <c r="R213" i="1" s="1"/>
  <c r="E214" i="1"/>
  <c r="R214" i="1" s="1"/>
  <c r="E215" i="1"/>
  <c r="R215" i="1" s="1"/>
  <c r="E216" i="1"/>
  <c r="R216" i="1" s="1"/>
  <c r="E217" i="1"/>
  <c r="R217" i="1" s="1"/>
  <c r="E218" i="1"/>
  <c r="R218" i="1" s="1"/>
  <c r="E219" i="1"/>
  <c r="R219" i="1" s="1"/>
  <c r="E220" i="1"/>
  <c r="R220" i="1" s="1"/>
  <c r="E221" i="1"/>
  <c r="R221" i="1" s="1"/>
  <c r="E222" i="1"/>
  <c r="R222" i="1" s="1"/>
  <c r="E223" i="1"/>
  <c r="R223" i="1" s="1"/>
  <c r="E224" i="1"/>
  <c r="R224" i="1" s="1"/>
  <c r="E225" i="1"/>
  <c r="R225" i="1" s="1"/>
  <c r="E226" i="1"/>
  <c r="R226" i="1" s="1"/>
  <c r="E227" i="1"/>
  <c r="R227" i="1" s="1"/>
  <c r="E228" i="1"/>
  <c r="R228" i="1" s="1"/>
  <c r="E229" i="1"/>
  <c r="R229" i="1" s="1"/>
  <c r="E230" i="1"/>
  <c r="R230" i="1" s="1"/>
  <c r="E231" i="1"/>
  <c r="R231" i="1" s="1"/>
  <c r="E232" i="1"/>
  <c r="R232" i="1" s="1"/>
  <c r="E233" i="1"/>
  <c r="R233" i="1" s="1"/>
  <c r="E234" i="1"/>
  <c r="R234" i="1" s="1"/>
  <c r="E235" i="1"/>
  <c r="R235" i="1" s="1"/>
  <c r="E236" i="1"/>
  <c r="R236" i="1" s="1"/>
  <c r="E237" i="1"/>
  <c r="R237" i="1" s="1"/>
  <c r="E238" i="1"/>
  <c r="R238" i="1" s="1"/>
  <c r="E239" i="1"/>
  <c r="R239" i="1" s="1"/>
  <c r="E240" i="1"/>
  <c r="R240" i="1" s="1"/>
  <c r="E241" i="1"/>
  <c r="R241" i="1" s="1"/>
  <c r="E242" i="1"/>
  <c r="R242" i="1" s="1"/>
  <c r="E243" i="1"/>
  <c r="R243" i="1" s="1"/>
  <c r="E244" i="1"/>
  <c r="R244" i="1" s="1"/>
  <c r="E245" i="1"/>
  <c r="R245" i="1" s="1"/>
  <c r="E246" i="1"/>
  <c r="R246" i="1" s="1"/>
  <c r="E247" i="1"/>
  <c r="R247" i="1" s="1"/>
  <c r="E248" i="1"/>
  <c r="R248" i="1" s="1"/>
  <c r="E249" i="1"/>
  <c r="R249" i="1" s="1"/>
  <c r="E250" i="1"/>
  <c r="R250" i="1" s="1"/>
  <c r="E251" i="1"/>
  <c r="R251" i="1" s="1"/>
  <c r="E252" i="1"/>
  <c r="R252" i="1" s="1"/>
  <c r="E253" i="1"/>
  <c r="R253" i="1" s="1"/>
  <c r="E254" i="1"/>
  <c r="R254" i="1" s="1"/>
  <c r="E255" i="1"/>
  <c r="R255" i="1" s="1"/>
  <c r="E256" i="1"/>
  <c r="R256" i="1" s="1"/>
  <c r="E257" i="1"/>
  <c r="R257" i="1" s="1"/>
  <c r="E258" i="1"/>
  <c r="R258" i="1" s="1"/>
  <c r="E259" i="1"/>
  <c r="R259" i="1" s="1"/>
  <c r="E260" i="1"/>
  <c r="R260" i="1" s="1"/>
  <c r="E261" i="1"/>
  <c r="R261" i="1" s="1"/>
  <c r="E262" i="1"/>
  <c r="R262" i="1" s="1"/>
  <c r="E263" i="1"/>
  <c r="R263" i="1" s="1"/>
  <c r="E264" i="1"/>
  <c r="R264" i="1" s="1"/>
  <c r="E265" i="1"/>
  <c r="R265" i="1" s="1"/>
  <c r="E266" i="1"/>
  <c r="R266" i="1" s="1"/>
  <c r="E267" i="1"/>
  <c r="R267" i="1" s="1"/>
  <c r="E268" i="1"/>
  <c r="R268" i="1" s="1"/>
  <c r="E269" i="1"/>
  <c r="R269" i="1" s="1"/>
  <c r="E270" i="1"/>
  <c r="R270" i="1" s="1"/>
  <c r="E271" i="1"/>
  <c r="R271" i="1" s="1"/>
  <c r="E272" i="1"/>
  <c r="R272" i="1" s="1"/>
  <c r="E273" i="1"/>
  <c r="R273" i="1" s="1"/>
  <c r="E274" i="1"/>
  <c r="R274" i="1" s="1"/>
  <c r="E275" i="1"/>
  <c r="R275" i="1" s="1"/>
  <c r="E276" i="1"/>
  <c r="R276" i="1" s="1"/>
  <c r="E277" i="1"/>
  <c r="R277" i="1" s="1"/>
  <c r="E278" i="1"/>
  <c r="R278" i="1" s="1"/>
  <c r="E279" i="1"/>
  <c r="R279" i="1" s="1"/>
  <c r="E280" i="1"/>
  <c r="R280" i="1" s="1"/>
  <c r="E281" i="1"/>
  <c r="R281" i="1" s="1"/>
  <c r="E282" i="1"/>
  <c r="R282" i="1" s="1"/>
  <c r="E283" i="1"/>
  <c r="R283" i="1" s="1"/>
  <c r="E284" i="1"/>
  <c r="R284" i="1" s="1"/>
  <c r="E285" i="1"/>
  <c r="R285" i="1" s="1"/>
  <c r="E286" i="1"/>
  <c r="R286" i="1" s="1"/>
  <c r="E287" i="1"/>
  <c r="R287" i="1" s="1"/>
  <c r="E288" i="1"/>
  <c r="R288" i="1" s="1"/>
  <c r="E289" i="1"/>
  <c r="R289" i="1" s="1"/>
  <c r="E290" i="1"/>
  <c r="R290" i="1" s="1"/>
  <c r="E291" i="1"/>
  <c r="R291" i="1" s="1"/>
  <c r="E292" i="1"/>
  <c r="R292" i="1" s="1"/>
  <c r="E293" i="1"/>
  <c r="R293" i="1" s="1"/>
  <c r="E294" i="1"/>
  <c r="R294" i="1" s="1"/>
  <c r="E295" i="1"/>
  <c r="R295" i="1" s="1"/>
  <c r="E296" i="1"/>
  <c r="R296" i="1" s="1"/>
  <c r="E297" i="1"/>
  <c r="R297" i="1" s="1"/>
  <c r="E298" i="1"/>
  <c r="R298" i="1" s="1"/>
  <c r="E299" i="1"/>
  <c r="R299" i="1" s="1"/>
  <c r="E300" i="1"/>
  <c r="R300" i="1" s="1"/>
  <c r="E301" i="1"/>
  <c r="R301" i="1" s="1"/>
  <c r="E302" i="1"/>
  <c r="R302" i="1" s="1"/>
  <c r="E303" i="1"/>
  <c r="R303" i="1" s="1"/>
  <c r="E304" i="1"/>
  <c r="R304" i="1" s="1"/>
  <c r="E305" i="1"/>
  <c r="R305" i="1" s="1"/>
  <c r="E306" i="1"/>
  <c r="R306" i="1" s="1"/>
  <c r="E307" i="1"/>
  <c r="R307" i="1" s="1"/>
  <c r="E308" i="1"/>
  <c r="R308" i="1" s="1"/>
  <c r="E309" i="1"/>
  <c r="R309" i="1" s="1"/>
  <c r="E310" i="1"/>
  <c r="R310" i="1" s="1"/>
  <c r="E311" i="1"/>
  <c r="R311" i="1" s="1"/>
  <c r="E312" i="1"/>
  <c r="R312" i="1" s="1"/>
  <c r="E313" i="1"/>
  <c r="R313" i="1" s="1"/>
  <c r="E314" i="1"/>
  <c r="R314" i="1" s="1"/>
  <c r="E315" i="1"/>
  <c r="R315" i="1" s="1"/>
  <c r="E316" i="1"/>
  <c r="R316" i="1" s="1"/>
  <c r="E317" i="1"/>
  <c r="R317" i="1" s="1"/>
  <c r="E318" i="1"/>
  <c r="R318" i="1" s="1"/>
  <c r="E319" i="1"/>
  <c r="R319" i="1" s="1"/>
  <c r="E320" i="1"/>
  <c r="R320" i="1" s="1"/>
  <c r="E321" i="1"/>
  <c r="R321" i="1" s="1"/>
  <c r="E322" i="1"/>
  <c r="R322" i="1" s="1"/>
  <c r="E323" i="1"/>
  <c r="R323" i="1" s="1"/>
  <c r="E324" i="1"/>
  <c r="R324" i="1" s="1"/>
  <c r="E325" i="1"/>
  <c r="R325" i="1" s="1"/>
  <c r="E326" i="1"/>
  <c r="R326" i="1" s="1"/>
  <c r="E327" i="1"/>
  <c r="R327" i="1" s="1"/>
  <c r="E328" i="1"/>
  <c r="R328" i="1" s="1"/>
  <c r="E329" i="1"/>
  <c r="R329" i="1" s="1"/>
  <c r="E330" i="1"/>
  <c r="R330" i="1" s="1"/>
  <c r="E331" i="1"/>
  <c r="R331" i="1" s="1"/>
  <c r="E332" i="1"/>
  <c r="R332" i="1" s="1"/>
  <c r="E333" i="1"/>
  <c r="R333" i="1" s="1"/>
  <c r="E334" i="1"/>
  <c r="R334" i="1" s="1"/>
  <c r="E335" i="1"/>
  <c r="R335" i="1" s="1"/>
  <c r="E336" i="1"/>
  <c r="R336" i="1" s="1"/>
  <c r="E337" i="1"/>
  <c r="R337" i="1" s="1"/>
  <c r="E338" i="1"/>
  <c r="R338" i="1" s="1"/>
  <c r="E339" i="1"/>
  <c r="R339" i="1" s="1"/>
  <c r="E340" i="1"/>
  <c r="R340" i="1" s="1"/>
  <c r="E341" i="1"/>
  <c r="R341" i="1" s="1"/>
  <c r="E342" i="1"/>
  <c r="R342" i="1" s="1"/>
  <c r="E343" i="1"/>
  <c r="R343" i="1" s="1"/>
  <c r="E344" i="1"/>
  <c r="R344" i="1" s="1"/>
  <c r="E345" i="1"/>
  <c r="R345" i="1" s="1"/>
  <c r="E346" i="1"/>
  <c r="R346" i="1" s="1"/>
  <c r="E347" i="1"/>
  <c r="R347" i="1" s="1"/>
  <c r="E348" i="1"/>
  <c r="R348" i="1" s="1"/>
  <c r="E349" i="1"/>
  <c r="R349" i="1" s="1"/>
  <c r="E350" i="1"/>
  <c r="R350" i="1" s="1"/>
  <c r="E351" i="1"/>
  <c r="R351" i="1" s="1"/>
  <c r="E352" i="1"/>
  <c r="R352" i="1" s="1"/>
  <c r="E353" i="1"/>
  <c r="R353" i="1" s="1"/>
  <c r="E354" i="1"/>
  <c r="R354" i="1" s="1"/>
  <c r="E355" i="1"/>
  <c r="R355" i="1" s="1"/>
  <c r="E356" i="1"/>
  <c r="R356" i="1" s="1"/>
  <c r="E357" i="1"/>
  <c r="R357" i="1" s="1"/>
  <c r="E358" i="1"/>
  <c r="R358" i="1" s="1"/>
  <c r="E359" i="1"/>
  <c r="R359" i="1" s="1"/>
  <c r="E360" i="1"/>
  <c r="R360" i="1" s="1"/>
  <c r="E361" i="1"/>
  <c r="R361" i="1" s="1"/>
  <c r="E362" i="1"/>
  <c r="R362" i="1" s="1"/>
  <c r="E363" i="1"/>
  <c r="R363" i="1" s="1"/>
  <c r="E364" i="1"/>
  <c r="R364" i="1" s="1"/>
  <c r="E365" i="1"/>
  <c r="R365" i="1" s="1"/>
  <c r="E366" i="1"/>
  <c r="R366" i="1" s="1"/>
  <c r="E367" i="1"/>
  <c r="R367" i="1" s="1"/>
  <c r="E368" i="1"/>
  <c r="R368" i="1" s="1"/>
  <c r="E369" i="1"/>
  <c r="R369" i="1" s="1"/>
  <c r="E370" i="1"/>
  <c r="R370" i="1" s="1"/>
  <c r="E371" i="1"/>
  <c r="R371" i="1" s="1"/>
  <c r="E372" i="1"/>
  <c r="R372" i="1" s="1"/>
  <c r="E373" i="1"/>
  <c r="R373" i="1" s="1"/>
  <c r="E374" i="1"/>
  <c r="R374" i="1" s="1"/>
  <c r="E375" i="1"/>
  <c r="R375" i="1" s="1"/>
  <c r="E376" i="1"/>
  <c r="R376" i="1" s="1"/>
  <c r="E377" i="1"/>
  <c r="R377" i="1" s="1"/>
  <c r="E378" i="1"/>
  <c r="R378" i="1" s="1"/>
  <c r="E379" i="1"/>
  <c r="R379" i="1" s="1"/>
  <c r="E380" i="1"/>
  <c r="R380" i="1" s="1"/>
  <c r="E381" i="1"/>
  <c r="R381" i="1" s="1"/>
  <c r="E382" i="1"/>
  <c r="R382" i="1" s="1"/>
  <c r="E383" i="1"/>
  <c r="R383" i="1" s="1"/>
  <c r="E384" i="1"/>
  <c r="R384" i="1" s="1"/>
  <c r="E385" i="1"/>
  <c r="R385" i="1" s="1"/>
  <c r="E386" i="1"/>
  <c r="R386" i="1" s="1"/>
  <c r="E387" i="1"/>
  <c r="R387" i="1" s="1"/>
  <c r="E388" i="1"/>
  <c r="R388" i="1" s="1"/>
  <c r="E389" i="1"/>
  <c r="R389" i="1" s="1"/>
  <c r="E390" i="1"/>
  <c r="R390" i="1" s="1"/>
  <c r="E391" i="1"/>
  <c r="R391" i="1" s="1"/>
  <c r="E392" i="1"/>
  <c r="R392" i="1" s="1"/>
  <c r="E393" i="1"/>
  <c r="R393" i="1" s="1"/>
  <c r="E394" i="1"/>
  <c r="R394" i="1" s="1"/>
  <c r="E395" i="1"/>
  <c r="R395" i="1" s="1"/>
  <c r="E396" i="1"/>
  <c r="R396" i="1" s="1"/>
  <c r="E397" i="1"/>
  <c r="R397" i="1" s="1"/>
  <c r="E398" i="1"/>
  <c r="R398" i="1" s="1"/>
  <c r="E399" i="1"/>
  <c r="R399" i="1" s="1"/>
  <c r="E400" i="1"/>
  <c r="R400" i="1" s="1"/>
  <c r="E401" i="1"/>
  <c r="R401" i="1" s="1"/>
  <c r="E402" i="1"/>
  <c r="R402" i="1" s="1"/>
  <c r="E403" i="1"/>
  <c r="R403" i="1" s="1"/>
  <c r="E404" i="1"/>
  <c r="R404" i="1" s="1"/>
  <c r="E405" i="1"/>
  <c r="R405" i="1" s="1"/>
  <c r="E406" i="1"/>
  <c r="R406" i="1" s="1"/>
  <c r="E407" i="1"/>
  <c r="R407" i="1" s="1"/>
  <c r="E408" i="1"/>
  <c r="R408" i="1" s="1"/>
  <c r="E409" i="1"/>
  <c r="R409" i="1" s="1"/>
  <c r="E410" i="1"/>
  <c r="R410" i="1" s="1"/>
  <c r="E411" i="1"/>
  <c r="R411" i="1" s="1"/>
  <c r="E412" i="1"/>
  <c r="R412" i="1" s="1"/>
  <c r="E413" i="1"/>
  <c r="R413" i="1" s="1"/>
  <c r="E414" i="1"/>
  <c r="R414" i="1" s="1"/>
  <c r="E415" i="1"/>
  <c r="R415" i="1" s="1"/>
  <c r="E416" i="1"/>
  <c r="R416" i="1" s="1"/>
  <c r="E417" i="1"/>
  <c r="R417" i="1" s="1"/>
  <c r="E418" i="1"/>
  <c r="R418" i="1" s="1"/>
  <c r="E419" i="1"/>
  <c r="R419" i="1" s="1"/>
  <c r="E420" i="1"/>
  <c r="R420" i="1" s="1"/>
  <c r="E421" i="1"/>
  <c r="R421" i="1" s="1"/>
  <c r="E422" i="1"/>
  <c r="R422" i="1" s="1"/>
  <c r="E423" i="1"/>
  <c r="R423" i="1" s="1"/>
  <c r="E424" i="1"/>
  <c r="R424" i="1" s="1"/>
  <c r="E425" i="1"/>
  <c r="R425" i="1" s="1"/>
  <c r="E426" i="1"/>
  <c r="R426" i="1" s="1"/>
  <c r="E427" i="1"/>
  <c r="R427" i="1" s="1"/>
  <c r="E428" i="1"/>
  <c r="R428" i="1" s="1"/>
  <c r="E429" i="1"/>
  <c r="R429" i="1" s="1"/>
  <c r="E430" i="1"/>
  <c r="R430" i="1" s="1"/>
  <c r="E431" i="1"/>
  <c r="R431" i="1" s="1"/>
  <c r="E432" i="1"/>
  <c r="R432" i="1" s="1"/>
  <c r="E433" i="1"/>
  <c r="R433" i="1" s="1"/>
  <c r="E434" i="1"/>
  <c r="R434" i="1" s="1"/>
  <c r="E435" i="1"/>
  <c r="R435" i="1" s="1"/>
  <c r="E436" i="1"/>
  <c r="R436" i="1" s="1"/>
  <c r="E437" i="1"/>
  <c r="R437" i="1" s="1"/>
  <c r="E438" i="1"/>
  <c r="R438" i="1" s="1"/>
  <c r="E439" i="1"/>
  <c r="R439" i="1" s="1"/>
  <c r="E440" i="1"/>
  <c r="R440" i="1" s="1"/>
  <c r="E441" i="1"/>
  <c r="R441" i="1" s="1"/>
  <c r="E442" i="1"/>
  <c r="R442" i="1" s="1"/>
  <c r="E443" i="1"/>
  <c r="R443" i="1" s="1"/>
  <c r="E444" i="1"/>
  <c r="R444" i="1" s="1"/>
  <c r="E445" i="1"/>
  <c r="R445" i="1" s="1"/>
  <c r="E446" i="1"/>
  <c r="R446" i="1" s="1"/>
  <c r="E447" i="1"/>
  <c r="R447" i="1" s="1"/>
  <c r="E448" i="1"/>
  <c r="R448" i="1" s="1"/>
  <c r="E449" i="1"/>
  <c r="R449" i="1" s="1"/>
  <c r="E450" i="1"/>
  <c r="R450" i="1" s="1"/>
  <c r="E451" i="1"/>
  <c r="R451" i="1" s="1"/>
  <c r="E452" i="1"/>
  <c r="R452" i="1" s="1"/>
  <c r="E453" i="1"/>
  <c r="R453" i="1" s="1"/>
  <c r="E454" i="1"/>
  <c r="R454" i="1" s="1"/>
  <c r="E455" i="1"/>
  <c r="R455" i="1" s="1"/>
  <c r="E456" i="1"/>
  <c r="R456" i="1" s="1"/>
  <c r="E457" i="1"/>
  <c r="R457" i="1" s="1"/>
  <c r="E458" i="1"/>
  <c r="R458" i="1" s="1"/>
  <c r="E459" i="1"/>
  <c r="R459" i="1" s="1"/>
  <c r="E460" i="1"/>
  <c r="R460" i="1" s="1"/>
  <c r="E461" i="1"/>
  <c r="R461" i="1" s="1"/>
  <c r="E462" i="1"/>
  <c r="R462" i="1" s="1"/>
  <c r="E463" i="1"/>
  <c r="R463" i="1" s="1"/>
  <c r="E464" i="1"/>
  <c r="R464" i="1" s="1"/>
  <c r="E465" i="1"/>
  <c r="R465" i="1" s="1"/>
  <c r="E466" i="1"/>
  <c r="R466" i="1" s="1"/>
  <c r="E467" i="1"/>
  <c r="R467" i="1" s="1"/>
  <c r="E468" i="1"/>
  <c r="R468" i="1" s="1"/>
  <c r="E469" i="1"/>
  <c r="R469" i="1" s="1"/>
  <c r="E470" i="1"/>
  <c r="R470" i="1" s="1"/>
  <c r="E471" i="1"/>
  <c r="R471" i="1" s="1"/>
  <c r="E472" i="1"/>
  <c r="R472" i="1" s="1"/>
  <c r="E473" i="1"/>
  <c r="R473" i="1" s="1"/>
  <c r="E474" i="1"/>
  <c r="R474" i="1" s="1"/>
  <c r="E475" i="1"/>
  <c r="R475" i="1" s="1"/>
  <c r="E476" i="1"/>
  <c r="R476" i="1" s="1"/>
  <c r="E477" i="1"/>
  <c r="R477" i="1" s="1"/>
  <c r="E478" i="1"/>
  <c r="R478" i="1" s="1"/>
  <c r="E479" i="1"/>
  <c r="R479" i="1" s="1"/>
  <c r="E480" i="1"/>
  <c r="R480" i="1" s="1"/>
  <c r="E481" i="1"/>
  <c r="R481" i="1" s="1"/>
  <c r="E482" i="1"/>
  <c r="R482" i="1" s="1"/>
  <c r="E483" i="1"/>
  <c r="R483" i="1" s="1"/>
  <c r="E484" i="1"/>
  <c r="R484" i="1" s="1"/>
  <c r="E485" i="1"/>
  <c r="R485" i="1" s="1"/>
  <c r="E486" i="1"/>
  <c r="R486" i="1" s="1"/>
  <c r="E487" i="1"/>
  <c r="R487" i="1" s="1"/>
  <c r="E488" i="1"/>
  <c r="R488" i="1" s="1"/>
  <c r="E489" i="1"/>
  <c r="R489" i="1" s="1"/>
  <c r="E490" i="1"/>
  <c r="R490" i="1" s="1"/>
  <c r="E491" i="1"/>
  <c r="R491" i="1" s="1"/>
  <c r="E492" i="1"/>
  <c r="R492" i="1" s="1"/>
  <c r="E493" i="1"/>
  <c r="R493" i="1" s="1"/>
  <c r="E494" i="1"/>
  <c r="R494" i="1" s="1"/>
  <c r="E495" i="1"/>
  <c r="R495" i="1" s="1"/>
  <c r="E496" i="1"/>
  <c r="R496" i="1" s="1"/>
  <c r="E497" i="1"/>
  <c r="R497" i="1" s="1"/>
  <c r="E498" i="1"/>
  <c r="R498" i="1" s="1"/>
  <c r="E499" i="1"/>
  <c r="R499" i="1" s="1"/>
  <c r="E500" i="1"/>
  <c r="R500" i="1" s="1"/>
  <c r="E501" i="1"/>
  <c r="R501" i="1" s="1"/>
  <c r="E502" i="1"/>
  <c r="R502" i="1" s="1"/>
  <c r="E503" i="1"/>
  <c r="R503" i="1" s="1"/>
  <c r="E504" i="1"/>
  <c r="R504" i="1" s="1"/>
  <c r="E505" i="1"/>
  <c r="R505" i="1" s="1"/>
  <c r="E506" i="1"/>
  <c r="R506" i="1" s="1"/>
  <c r="E507" i="1"/>
  <c r="R507" i="1" s="1"/>
  <c r="E508" i="1"/>
  <c r="R508" i="1" s="1"/>
  <c r="E509" i="1"/>
  <c r="R509" i="1" s="1"/>
  <c r="E510" i="1"/>
  <c r="R510" i="1" s="1"/>
  <c r="E511" i="1"/>
  <c r="R511" i="1" s="1"/>
  <c r="E512" i="1"/>
  <c r="R512" i="1" s="1"/>
  <c r="E513" i="1"/>
  <c r="R513" i="1" s="1"/>
  <c r="E514" i="1"/>
  <c r="R514" i="1" s="1"/>
  <c r="E515" i="1"/>
  <c r="R515" i="1" s="1"/>
  <c r="E516" i="1"/>
  <c r="R516" i="1" s="1"/>
  <c r="E517" i="1"/>
  <c r="R517" i="1" s="1"/>
  <c r="E518" i="1"/>
  <c r="R518" i="1" s="1"/>
  <c r="E519" i="1"/>
  <c r="R519" i="1" s="1"/>
  <c r="E520" i="1"/>
  <c r="R520" i="1" s="1"/>
  <c r="E521" i="1"/>
  <c r="R521" i="1" s="1"/>
  <c r="E522" i="1"/>
  <c r="R522" i="1" s="1"/>
  <c r="E523" i="1"/>
  <c r="R523" i="1" s="1"/>
  <c r="E524" i="1"/>
  <c r="R524" i="1" s="1"/>
  <c r="E525" i="1"/>
  <c r="R525" i="1" s="1"/>
  <c r="E526" i="1"/>
  <c r="R526" i="1" s="1"/>
  <c r="E527" i="1"/>
  <c r="R527" i="1" s="1"/>
  <c r="E528" i="1"/>
  <c r="R528" i="1" s="1"/>
  <c r="E529" i="1"/>
  <c r="R529" i="1" s="1"/>
  <c r="E530" i="1"/>
  <c r="R530" i="1" s="1"/>
  <c r="E531" i="1"/>
  <c r="R531" i="1" s="1"/>
  <c r="E532" i="1"/>
  <c r="R532" i="1" s="1"/>
  <c r="E533" i="1"/>
  <c r="R533" i="1" s="1"/>
  <c r="E534" i="1"/>
  <c r="R534" i="1" s="1"/>
  <c r="E535" i="1"/>
  <c r="R535" i="1" s="1"/>
  <c r="E536" i="1"/>
  <c r="R536" i="1" s="1"/>
  <c r="E537" i="1"/>
  <c r="R537" i="1" s="1"/>
  <c r="E538" i="1"/>
  <c r="R538" i="1" s="1"/>
  <c r="E539" i="1"/>
  <c r="R539" i="1" s="1"/>
  <c r="E540" i="1"/>
  <c r="R540" i="1" s="1"/>
  <c r="E541" i="1"/>
  <c r="R541" i="1" s="1"/>
  <c r="E542" i="1"/>
  <c r="R542" i="1" s="1"/>
  <c r="E543" i="1"/>
  <c r="R543" i="1" s="1"/>
  <c r="E544" i="1"/>
  <c r="R544" i="1" s="1"/>
  <c r="E545" i="1"/>
  <c r="R545" i="1" s="1"/>
  <c r="E546" i="1"/>
  <c r="R546" i="1" s="1"/>
  <c r="E547" i="1"/>
  <c r="R547" i="1" s="1"/>
  <c r="E548" i="1"/>
  <c r="R548" i="1" s="1"/>
  <c r="E549" i="1"/>
  <c r="R549" i="1" s="1"/>
  <c r="E550" i="1"/>
  <c r="R550" i="1" s="1"/>
  <c r="E551" i="1"/>
  <c r="R551" i="1" s="1"/>
  <c r="E552" i="1"/>
  <c r="R552" i="1" s="1"/>
  <c r="E553" i="1"/>
  <c r="R553" i="1" s="1"/>
  <c r="E554" i="1"/>
  <c r="R554" i="1" s="1"/>
  <c r="E555" i="1"/>
  <c r="R555" i="1" s="1"/>
  <c r="E556" i="1"/>
  <c r="R556" i="1" s="1"/>
  <c r="E557" i="1"/>
  <c r="R557" i="1" s="1"/>
  <c r="E558" i="1"/>
  <c r="R558" i="1" s="1"/>
  <c r="E559" i="1"/>
  <c r="R559" i="1" s="1"/>
  <c r="E560" i="1"/>
  <c r="R560" i="1" s="1"/>
  <c r="E561" i="1"/>
  <c r="R561" i="1" s="1"/>
  <c r="E562" i="1"/>
  <c r="R562" i="1" s="1"/>
  <c r="E563" i="1"/>
  <c r="R563" i="1" s="1"/>
  <c r="E564" i="1"/>
  <c r="R564" i="1" s="1"/>
  <c r="E565" i="1"/>
  <c r="R565" i="1" s="1"/>
  <c r="E566" i="1"/>
  <c r="R566" i="1" s="1"/>
  <c r="E567" i="1"/>
  <c r="R567" i="1" s="1"/>
  <c r="E568" i="1"/>
  <c r="R568" i="1" s="1"/>
  <c r="E569" i="1"/>
  <c r="R569" i="1" s="1"/>
  <c r="E570" i="1"/>
  <c r="R570" i="1" s="1"/>
  <c r="E571" i="1"/>
  <c r="R571" i="1" s="1"/>
  <c r="E572" i="1"/>
  <c r="R572" i="1" s="1"/>
  <c r="E573" i="1"/>
  <c r="R573" i="1" s="1"/>
  <c r="E574" i="1"/>
  <c r="R574" i="1" s="1"/>
  <c r="E575" i="1"/>
  <c r="R575" i="1" s="1"/>
  <c r="E576" i="1"/>
  <c r="R576" i="1" s="1"/>
  <c r="E577" i="1"/>
  <c r="R577" i="1" s="1"/>
  <c r="E578" i="1"/>
  <c r="R578" i="1" s="1"/>
  <c r="E579" i="1"/>
  <c r="R579" i="1" s="1"/>
  <c r="E580" i="1"/>
  <c r="R580" i="1" s="1"/>
  <c r="E581" i="1"/>
  <c r="R581" i="1" s="1"/>
  <c r="E582" i="1"/>
  <c r="R582" i="1" s="1"/>
  <c r="E583" i="1"/>
  <c r="R583" i="1" s="1"/>
  <c r="E584" i="1"/>
  <c r="R584" i="1" s="1"/>
  <c r="E585" i="1"/>
  <c r="R585" i="1" s="1"/>
  <c r="E586" i="1"/>
  <c r="R586" i="1" s="1"/>
  <c r="E587" i="1"/>
  <c r="R587" i="1" s="1"/>
  <c r="E588" i="1"/>
  <c r="R588" i="1" s="1"/>
  <c r="E589" i="1"/>
  <c r="R589" i="1" s="1"/>
  <c r="E590" i="1"/>
  <c r="R590" i="1" s="1"/>
  <c r="E591" i="1"/>
  <c r="R591" i="1" s="1"/>
  <c r="E592" i="1"/>
  <c r="R592" i="1" s="1"/>
  <c r="E593" i="1"/>
  <c r="R593" i="1" s="1"/>
  <c r="E594" i="1"/>
  <c r="R594" i="1" s="1"/>
  <c r="E595" i="1"/>
  <c r="R595" i="1" s="1"/>
  <c r="E596" i="1"/>
  <c r="R596" i="1" s="1"/>
  <c r="E597" i="1"/>
  <c r="R597" i="1" s="1"/>
  <c r="E598" i="1"/>
  <c r="R598" i="1" s="1"/>
  <c r="E599" i="1"/>
  <c r="R599" i="1" s="1"/>
  <c r="E600" i="1"/>
  <c r="R600" i="1" s="1"/>
  <c r="E601" i="1"/>
  <c r="R601" i="1" s="1"/>
  <c r="E602" i="1"/>
  <c r="R602" i="1" s="1"/>
  <c r="E603" i="1"/>
  <c r="R603" i="1" s="1"/>
  <c r="E604" i="1"/>
  <c r="R604" i="1" s="1"/>
  <c r="E605" i="1"/>
  <c r="R605" i="1" s="1"/>
  <c r="E606" i="1"/>
  <c r="R606" i="1" s="1"/>
  <c r="E607" i="1"/>
  <c r="R607" i="1" s="1"/>
  <c r="E608" i="1"/>
  <c r="R608" i="1" s="1"/>
  <c r="E609" i="1"/>
  <c r="R609" i="1" s="1"/>
  <c r="E610" i="1"/>
  <c r="R610" i="1" s="1"/>
  <c r="E611" i="1"/>
  <c r="R611" i="1" s="1"/>
  <c r="E612" i="1"/>
  <c r="R612" i="1" s="1"/>
  <c r="E613" i="1"/>
  <c r="R613" i="1" s="1"/>
  <c r="E614" i="1"/>
  <c r="R614" i="1" s="1"/>
  <c r="E615" i="1"/>
  <c r="R615" i="1" s="1"/>
  <c r="E616" i="1"/>
  <c r="R616" i="1" s="1"/>
  <c r="E617" i="1"/>
  <c r="R617" i="1" s="1"/>
  <c r="E618" i="1"/>
  <c r="R618" i="1" s="1"/>
  <c r="E619" i="1"/>
  <c r="R619" i="1" s="1"/>
  <c r="E620" i="1"/>
  <c r="R620" i="1" s="1"/>
  <c r="E621" i="1"/>
  <c r="R621" i="1" s="1"/>
  <c r="E622" i="1"/>
  <c r="R622" i="1" s="1"/>
  <c r="E623" i="1"/>
  <c r="R623" i="1" s="1"/>
  <c r="E624" i="1"/>
  <c r="R624" i="1" s="1"/>
  <c r="E625" i="1"/>
  <c r="R625" i="1" s="1"/>
  <c r="E626" i="1"/>
  <c r="R626" i="1" s="1"/>
  <c r="E627" i="1"/>
  <c r="R627" i="1" s="1"/>
  <c r="E628" i="1"/>
  <c r="R628" i="1" s="1"/>
  <c r="E629" i="1"/>
  <c r="R629" i="1" s="1"/>
  <c r="E630" i="1"/>
  <c r="R630" i="1" s="1"/>
  <c r="E631" i="1"/>
  <c r="R631" i="1" s="1"/>
  <c r="E632" i="1"/>
  <c r="R632" i="1" s="1"/>
  <c r="E633" i="1"/>
  <c r="R633" i="1" s="1"/>
  <c r="E634" i="1"/>
  <c r="R634" i="1" s="1"/>
  <c r="E635" i="1"/>
  <c r="R635" i="1" s="1"/>
  <c r="E636" i="1"/>
  <c r="R636" i="1" s="1"/>
  <c r="E637" i="1"/>
  <c r="R637" i="1" s="1"/>
  <c r="E638" i="1"/>
  <c r="R638" i="1" s="1"/>
  <c r="E639" i="1"/>
  <c r="R639" i="1" s="1"/>
  <c r="E640" i="1"/>
  <c r="R640" i="1" s="1"/>
  <c r="E641" i="1"/>
  <c r="R641" i="1" s="1"/>
  <c r="E642" i="1"/>
  <c r="R642" i="1" s="1"/>
  <c r="E643" i="1"/>
  <c r="R643" i="1" s="1"/>
  <c r="E644" i="1"/>
  <c r="R644" i="1" s="1"/>
  <c r="E645" i="1"/>
  <c r="R645" i="1" s="1"/>
  <c r="E646" i="1"/>
  <c r="R646" i="1" s="1"/>
  <c r="E647" i="1"/>
  <c r="R647" i="1" s="1"/>
  <c r="E648" i="1"/>
  <c r="R648" i="1" s="1"/>
  <c r="E649" i="1"/>
  <c r="R649" i="1" s="1"/>
  <c r="E650" i="1"/>
  <c r="R650" i="1" s="1"/>
  <c r="E651" i="1"/>
  <c r="R651" i="1" s="1"/>
  <c r="E652" i="1"/>
  <c r="R652" i="1" s="1"/>
  <c r="E653" i="1"/>
  <c r="R653" i="1" s="1"/>
  <c r="E654" i="1"/>
  <c r="R654" i="1" s="1"/>
  <c r="E655" i="1"/>
  <c r="R655" i="1" s="1"/>
  <c r="E656" i="1"/>
  <c r="R656" i="1" s="1"/>
  <c r="E657" i="1"/>
  <c r="R657" i="1" s="1"/>
  <c r="E658" i="1"/>
  <c r="R658" i="1" s="1"/>
  <c r="E659" i="1"/>
  <c r="R659" i="1" s="1"/>
  <c r="E660" i="1"/>
  <c r="R660" i="1" s="1"/>
  <c r="E661" i="1"/>
  <c r="R661" i="1" s="1"/>
  <c r="E662" i="1"/>
  <c r="R662" i="1" s="1"/>
  <c r="E663" i="1"/>
  <c r="R663" i="1" s="1"/>
  <c r="E664" i="1"/>
  <c r="R664" i="1" s="1"/>
  <c r="E665" i="1"/>
  <c r="R665" i="1" s="1"/>
  <c r="E666" i="1"/>
  <c r="R666" i="1" s="1"/>
  <c r="E667" i="1"/>
  <c r="R667" i="1" s="1"/>
  <c r="E668" i="1"/>
  <c r="R668" i="1" s="1"/>
  <c r="E669" i="1"/>
  <c r="R669" i="1" s="1"/>
  <c r="E670" i="1"/>
  <c r="R670" i="1" s="1"/>
  <c r="E671" i="1"/>
  <c r="R671" i="1" s="1"/>
  <c r="E672" i="1"/>
  <c r="R672" i="1" s="1"/>
  <c r="E673" i="1"/>
  <c r="R673" i="1" s="1"/>
  <c r="E674" i="1"/>
  <c r="R674" i="1" s="1"/>
  <c r="E675" i="1"/>
  <c r="R675" i="1" s="1"/>
  <c r="E676" i="1"/>
  <c r="R676" i="1" s="1"/>
  <c r="E677" i="1"/>
  <c r="R677" i="1" s="1"/>
  <c r="E678" i="1"/>
  <c r="R678" i="1" s="1"/>
  <c r="E679" i="1"/>
  <c r="R679" i="1" s="1"/>
  <c r="E680" i="1"/>
  <c r="R680" i="1" s="1"/>
  <c r="E681" i="1"/>
  <c r="R681" i="1" s="1"/>
  <c r="E682" i="1"/>
  <c r="R682" i="1" s="1"/>
  <c r="E683" i="1"/>
  <c r="R683" i="1" s="1"/>
  <c r="E684" i="1"/>
  <c r="R684" i="1" s="1"/>
  <c r="E685" i="1"/>
  <c r="R685" i="1" s="1"/>
  <c r="E686" i="1"/>
  <c r="R686" i="1" s="1"/>
  <c r="E687" i="1"/>
  <c r="R687" i="1" s="1"/>
  <c r="E688" i="1"/>
  <c r="R688" i="1" s="1"/>
  <c r="E689" i="1"/>
  <c r="R689" i="1" s="1"/>
  <c r="E690" i="1"/>
  <c r="R690" i="1" s="1"/>
  <c r="E691" i="1"/>
  <c r="R691" i="1" s="1"/>
  <c r="E692" i="1"/>
  <c r="R692" i="1" s="1"/>
  <c r="E693" i="1"/>
  <c r="R693" i="1" s="1"/>
  <c r="E694" i="1"/>
  <c r="R694" i="1" s="1"/>
  <c r="E695" i="1"/>
  <c r="R695" i="1" s="1"/>
  <c r="E696" i="1"/>
  <c r="R696" i="1" s="1"/>
  <c r="E697" i="1"/>
  <c r="R697" i="1" s="1"/>
  <c r="E698" i="1"/>
  <c r="R698" i="1" s="1"/>
  <c r="E699" i="1"/>
  <c r="R699" i="1" s="1"/>
  <c r="E700" i="1"/>
  <c r="R700" i="1" s="1"/>
  <c r="E701" i="1"/>
  <c r="R701" i="1" s="1"/>
  <c r="E702" i="1"/>
  <c r="R702" i="1" s="1"/>
  <c r="E703" i="1"/>
  <c r="R703" i="1" s="1"/>
  <c r="E704" i="1"/>
  <c r="R704" i="1" s="1"/>
  <c r="E705" i="1"/>
  <c r="R705" i="1" s="1"/>
  <c r="E706" i="1"/>
  <c r="R706" i="1" s="1"/>
  <c r="E707" i="1"/>
  <c r="R707" i="1" s="1"/>
  <c r="E708" i="1"/>
  <c r="R708" i="1" s="1"/>
  <c r="E709" i="1"/>
  <c r="R709" i="1" s="1"/>
  <c r="E710" i="1"/>
  <c r="R710" i="1" s="1"/>
  <c r="E711" i="1"/>
  <c r="R711" i="1" s="1"/>
  <c r="E712" i="1"/>
  <c r="R712" i="1" s="1"/>
  <c r="E713" i="1"/>
  <c r="R713" i="1" s="1"/>
  <c r="E714" i="1"/>
  <c r="R714" i="1" s="1"/>
  <c r="E715" i="1"/>
  <c r="R715" i="1" s="1"/>
  <c r="E716" i="1"/>
  <c r="R716" i="1" s="1"/>
  <c r="E717" i="1"/>
  <c r="R717" i="1" s="1"/>
  <c r="E718" i="1"/>
  <c r="R718" i="1" s="1"/>
  <c r="E719" i="1"/>
  <c r="R719" i="1" s="1"/>
  <c r="E720" i="1"/>
  <c r="R720" i="1" s="1"/>
  <c r="E721" i="1"/>
  <c r="R721" i="1" s="1"/>
  <c r="E722" i="1"/>
  <c r="R722" i="1" s="1"/>
  <c r="E723" i="1"/>
  <c r="R723" i="1" s="1"/>
  <c r="E724" i="1"/>
  <c r="R724" i="1" s="1"/>
  <c r="E725" i="1"/>
  <c r="R725" i="1" s="1"/>
  <c r="E726" i="1"/>
  <c r="R726" i="1" s="1"/>
  <c r="E727" i="1"/>
  <c r="R727" i="1" s="1"/>
  <c r="E728" i="1"/>
  <c r="R728" i="1" s="1"/>
  <c r="E729" i="1"/>
  <c r="R729" i="1" s="1"/>
  <c r="E730" i="1"/>
  <c r="R730" i="1" s="1"/>
  <c r="E731" i="1"/>
  <c r="R731" i="1" s="1"/>
  <c r="E732" i="1"/>
  <c r="R732" i="1" s="1"/>
  <c r="E733" i="1"/>
  <c r="R733" i="1" s="1"/>
  <c r="E734" i="1"/>
  <c r="R734" i="1" s="1"/>
  <c r="E735" i="1"/>
  <c r="R735" i="1" s="1"/>
  <c r="E736" i="1"/>
  <c r="R736" i="1" s="1"/>
  <c r="E737" i="1"/>
  <c r="R737" i="1" s="1"/>
  <c r="E738" i="1"/>
  <c r="R738" i="1" s="1"/>
  <c r="E739" i="1"/>
  <c r="R739" i="1" s="1"/>
  <c r="E740" i="1"/>
  <c r="R740" i="1" s="1"/>
  <c r="E741" i="1"/>
  <c r="R741" i="1" s="1"/>
  <c r="E742" i="1"/>
  <c r="R742" i="1" s="1"/>
  <c r="E743" i="1"/>
  <c r="R743" i="1" s="1"/>
  <c r="E744" i="1"/>
  <c r="R744" i="1" s="1"/>
  <c r="E745" i="1"/>
  <c r="R745" i="1" s="1"/>
  <c r="E746" i="1"/>
  <c r="R746" i="1" s="1"/>
  <c r="E747" i="1"/>
  <c r="R747" i="1" s="1"/>
  <c r="E748" i="1"/>
  <c r="R748" i="1" s="1"/>
  <c r="E749" i="1"/>
  <c r="R749" i="1" s="1"/>
  <c r="E750" i="1"/>
  <c r="R750" i="1" s="1"/>
  <c r="E751" i="1"/>
  <c r="R751" i="1" s="1"/>
  <c r="E752" i="1"/>
  <c r="R752" i="1" s="1"/>
  <c r="E753" i="1"/>
  <c r="R753" i="1" s="1"/>
  <c r="E754" i="1"/>
  <c r="R754" i="1" s="1"/>
  <c r="E755" i="1"/>
  <c r="R755" i="1" s="1"/>
  <c r="E756" i="1"/>
  <c r="R756" i="1" s="1"/>
  <c r="E757" i="1"/>
  <c r="R757" i="1" s="1"/>
  <c r="E758" i="1"/>
  <c r="R758" i="1" s="1"/>
  <c r="E759" i="1"/>
  <c r="R759" i="1" s="1"/>
  <c r="E760" i="1"/>
  <c r="R760" i="1" s="1"/>
  <c r="E761" i="1"/>
  <c r="R761" i="1" s="1"/>
  <c r="E762" i="1"/>
  <c r="R762" i="1" s="1"/>
  <c r="E763" i="1"/>
  <c r="R763" i="1" s="1"/>
  <c r="E764" i="1"/>
  <c r="R764" i="1" s="1"/>
  <c r="E765" i="1"/>
  <c r="R765" i="1" s="1"/>
  <c r="E766" i="1"/>
  <c r="R766" i="1" s="1"/>
  <c r="E767" i="1"/>
  <c r="R767" i="1" s="1"/>
  <c r="E768" i="1"/>
  <c r="R768" i="1" s="1"/>
  <c r="E769" i="1"/>
  <c r="R769" i="1" s="1"/>
  <c r="E770" i="1"/>
  <c r="R770" i="1" s="1"/>
  <c r="E771" i="1"/>
  <c r="R771" i="1" s="1"/>
  <c r="E772" i="1"/>
  <c r="R772" i="1" s="1"/>
  <c r="E773" i="1"/>
  <c r="R773" i="1" s="1"/>
  <c r="E774" i="1"/>
  <c r="R774" i="1" s="1"/>
  <c r="E775" i="1"/>
  <c r="R775" i="1" s="1"/>
  <c r="E776" i="1"/>
  <c r="R776" i="1" s="1"/>
  <c r="E777" i="1"/>
  <c r="R777" i="1" s="1"/>
  <c r="E778" i="1"/>
  <c r="R778" i="1" s="1"/>
  <c r="E779" i="1"/>
  <c r="R779" i="1" s="1"/>
  <c r="E780" i="1"/>
  <c r="R780" i="1" s="1"/>
  <c r="E781" i="1"/>
  <c r="R781" i="1" s="1"/>
  <c r="E782" i="1"/>
  <c r="R782" i="1" s="1"/>
  <c r="E783" i="1"/>
  <c r="R783" i="1" s="1"/>
  <c r="E784" i="1"/>
  <c r="R784" i="1" s="1"/>
  <c r="E785" i="1"/>
  <c r="R785" i="1" s="1"/>
  <c r="E786" i="1"/>
  <c r="R786" i="1" s="1"/>
  <c r="E787" i="1"/>
  <c r="R787" i="1" s="1"/>
  <c r="E788" i="1"/>
  <c r="R788" i="1" s="1"/>
  <c r="E789" i="1"/>
  <c r="R789" i="1" s="1"/>
  <c r="E790" i="1"/>
  <c r="R790" i="1" s="1"/>
  <c r="E791" i="1"/>
  <c r="R791" i="1" s="1"/>
  <c r="E792" i="1"/>
  <c r="R792" i="1" s="1"/>
  <c r="E793" i="1"/>
  <c r="R793" i="1" s="1"/>
  <c r="E794" i="1"/>
  <c r="R794" i="1" s="1"/>
  <c r="E795" i="1"/>
  <c r="R795" i="1" s="1"/>
  <c r="E796" i="1"/>
  <c r="R796" i="1" s="1"/>
  <c r="E797" i="1"/>
  <c r="R797" i="1" s="1"/>
  <c r="E798" i="1"/>
  <c r="R798" i="1" s="1"/>
  <c r="E799" i="1"/>
  <c r="R799" i="1" s="1"/>
  <c r="E800" i="1"/>
  <c r="R800" i="1" s="1"/>
  <c r="E801" i="1"/>
  <c r="R801" i="1" s="1"/>
  <c r="E802" i="1"/>
  <c r="R802" i="1" s="1"/>
  <c r="E803" i="1"/>
  <c r="R803" i="1" s="1"/>
  <c r="E804" i="1"/>
  <c r="R804" i="1" s="1"/>
  <c r="E805" i="1"/>
  <c r="R805" i="1" s="1"/>
  <c r="E806" i="1"/>
  <c r="R806" i="1" s="1"/>
  <c r="E807" i="1"/>
  <c r="R807" i="1" s="1"/>
  <c r="E808" i="1"/>
  <c r="R808" i="1" s="1"/>
  <c r="E809" i="1"/>
  <c r="R809" i="1" s="1"/>
  <c r="E810" i="1"/>
  <c r="R810" i="1" s="1"/>
  <c r="E811" i="1"/>
  <c r="R811" i="1" s="1"/>
  <c r="E812" i="1"/>
  <c r="R812" i="1" s="1"/>
  <c r="E813" i="1"/>
  <c r="R813" i="1" s="1"/>
  <c r="E814" i="1"/>
  <c r="R814" i="1" s="1"/>
  <c r="E815" i="1"/>
  <c r="R815" i="1" s="1"/>
  <c r="E816" i="1"/>
  <c r="R816" i="1" s="1"/>
  <c r="E817" i="1"/>
  <c r="R817" i="1" s="1"/>
  <c r="E818" i="1"/>
  <c r="R818" i="1" s="1"/>
  <c r="E819" i="1"/>
  <c r="R819" i="1" s="1"/>
  <c r="E820" i="1"/>
  <c r="R820" i="1" s="1"/>
  <c r="E821" i="1"/>
  <c r="R821" i="1" s="1"/>
  <c r="E822" i="1"/>
  <c r="R822" i="1" s="1"/>
  <c r="E823" i="1"/>
  <c r="R823" i="1" s="1"/>
  <c r="E824" i="1"/>
  <c r="R824" i="1" s="1"/>
  <c r="E825" i="1"/>
  <c r="R825" i="1" s="1"/>
  <c r="E826" i="1"/>
  <c r="R826" i="1" s="1"/>
  <c r="E827" i="1"/>
  <c r="R827" i="1" s="1"/>
  <c r="E828" i="1"/>
  <c r="R828" i="1" s="1"/>
  <c r="E829" i="1"/>
  <c r="R829" i="1" s="1"/>
  <c r="E830" i="1"/>
  <c r="R830" i="1" s="1"/>
  <c r="E831" i="1"/>
  <c r="R831" i="1" s="1"/>
  <c r="E832" i="1"/>
  <c r="R832" i="1" s="1"/>
  <c r="E833" i="1"/>
  <c r="R833" i="1" s="1"/>
  <c r="E834" i="1"/>
  <c r="R834" i="1" s="1"/>
  <c r="E835" i="1"/>
  <c r="R835" i="1" s="1"/>
  <c r="E836" i="1"/>
  <c r="R836" i="1" s="1"/>
  <c r="E837" i="1"/>
  <c r="R837" i="1" s="1"/>
  <c r="E838" i="1"/>
  <c r="R838" i="1" s="1"/>
  <c r="E839" i="1"/>
  <c r="R839" i="1" s="1"/>
  <c r="E840" i="1"/>
  <c r="R840" i="1" s="1"/>
  <c r="E841" i="1"/>
  <c r="R841" i="1" s="1"/>
  <c r="E842" i="1"/>
  <c r="R842" i="1" s="1"/>
  <c r="E843" i="1"/>
  <c r="R843" i="1" s="1"/>
  <c r="E844" i="1"/>
  <c r="R844" i="1" s="1"/>
  <c r="E845" i="1"/>
  <c r="R845" i="1" s="1"/>
  <c r="E846" i="1"/>
  <c r="R846" i="1" s="1"/>
  <c r="E847" i="1"/>
  <c r="R847" i="1" s="1"/>
  <c r="E848" i="1"/>
  <c r="R848" i="1" s="1"/>
  <c r="E849" i="1"/>
  <c r="R849" i="1" s="1"/>
  <c r="E850" i="1"/>
  <c r="R850" i="1" s="1"/>
  <c r="E851" i="1"/>
  <c r="R851" i="1" s="1"/>
  <c r="E852" i="1"/>
  <c r="R852" i="1" s="1"/>
  <c r="E853" i="1"/>
  <c r="R853" i="1" s="1"/>
  <c r="E854" i="1"/>
  <c r="R854" i="1" s="1"/>
  <c r="E855" i="1"/>
  <c r="R855" i="1" s="1"/>
  <c r="E856" i="1"/>
  <c r="R856" i="1" s="1"/>
  <c r="E857" i="1"/>
  <c r="R857" i="1" s="1"/>
  <c r="E858" i="1"/>
  <c r="R858" i="1" s="1"/>
  <c r="E859" i="1"/>
  <c r="R859" i="1" s="1"/>
  <c r="E860" i="1"/>
  <c r="R860" i="1" s="1"/>
  <c r="E861" i="1"/>
  <c r="R861" i="1" s="1"/>
  <c r="E862" i="1"/>
  <c r="R862" i="1" s="1"/>
  <c r="E863" i="1"/>
  <c r="R863" i="1" s="1"/>
  <c r="E864" i="1"/>
  <c r="R864" i="1" s="1"/>
  <c r="E865" i="1"/>
  <c r="R865" i="1" s="1"/>
  <c r="E866" i="1"/>
  <c r="R866" i="1" s="1"/>
  <c r="E867" i="1"/>
  <c r="R867" i="1" s="1"/>
  <c r="E868" i="1"/>
  <c r="R868" i="1" s="1"/>
  <c r="E869" i="1"/>
  <c r="R869" i="1" s="1"/>
  <c r="E870" i="1"/>
  <c r="R870" i="1" s="1"/>
  <c r="E871" i="1"/>
  <c r="R871" i="1" s="1"/>
  <c r="E872" i="1"/>
  <c r="R872" i="1" s="1"/>
  <c r="E873" i="1"/>
  <c r="R873" i="1" s="1"/>
  <c r="E874" i="1"/>
  <c r="R874" i="1" s="1"/>
  <c r="E875" i="1"/>
  <c r="R875" i="1" s="1"/>
  <c r="E876" i="1"/>
  <c r="R876" i="1" s="1"/>
  <c r="E877" i="1"/>
  <c r="R877" i="1" s="1"/>
  <c r="E878" i="1"/>
  <c r="R878" i="1" s="1"/>
  <c r="E879" i="1"/>
  <c r="R879" i="1" s="1"/>
  <c r="E880" i="1"/>
  <c r="R880" i="1" s="1"/>
  <c r="E881" i="1"/>
  <c r="R881" i="1" s="1"/>
  <c r="E882" i="1"/>
  <c r="R882" i="1" s="1"/>
  <c r="E883" i="1"/>
  <c r="R883" i="1" s="1"/>
  <c r="E884" i="1"/>
  <c r="R884" i="1" s="1"/>
  <c r="E885" i="1"/>
  <c r="R885" i="1" s="1"/>
  <c r="E886" i="1"/>
  <c r="R886" i="1" s="1"/>
  <c r="E887" i="1"/>
  <c r="R887" i="1" s="1"/>
  <c r="E888" i="1"/>
  <c r="R888" i="1" s="1"/>
  <c r="E889" i="1"/>
  <c r="R889" i="1" s="1"/>
  <c r="E890" i="1"/>
  <c r="R890" i="1" s="1"/>
  <c r="E891" i="1"/>
  <c r="R891" i="1" s="1"/>
  <c r="E892" i="1"/>
  <c r="R892" i="1" s="1"/>
  <c r="E893" i="1"/>
  <c r="R893" i="1" s="1"/>
  <c r="E894" i="1"/>
  <c r="R894" i="1" s="1"/>
  <c r="E895" i="1"/>
  <c r="R895" i="1" s="1"/>
  <c r="E896" i="1"/>
  <c r="R896" i="1" s="1"/>
  <c r="E897" i="1"/>
  <c r="R897" i="1" s="1"/>
  <c r="E898" i="1"/>
  <c r="R898" i="1" s="1"/>
  <c r="E899" i="1"/>
  <c r="R899" i="1" s="1"/>
  <c r="E900" i="1"/>
  <c r="R900" i="1" s="1"/>
  <c r="E901" i="1"/>
  <c r="R901" i="1" s="1"/>
  <c r="E902" i="1"/>
  <c r="R902" i="1" s="1"/>
  <c r="E903" i="1"/>
  <c r="R903" i="1" s="1"/>
  <c r="E904" i="1"/>
  <c r="R904" i="1" s="1"/>
  <c r="E905" i="1"/>
  <c r="R905" i="1" s="1"/>
  <c r="E906" i="1"/>
  <c r="R906" i="1" s="1"/>
  <c r="E907" i="1"/>
  <c r="R907" i="1" s="1"/>
  <c r="E908" i="1"/>
  <c r="R908" i="1" s="1"/>
  <c r="E909" i="1"/>
  <c r="R909" i="1" s="1"/>
  <c r="E910" i="1"/>
  <c r="R910" i="1" s="1"/>
  <c r="E911" i="1"/>
  <c r="R911" i="1" s="1"/>
  <c r="E912" i="1"/>
  <c r="R912" i="1" s="1"/>
  <c r="E913" i="1"/>
  <c r="R913" i="1" s="1"/>
  <c r="E914" i="1"/>
  <c r="R914" i="1" s="1"/>
  <c r="E915" i="1"/>
  <c r="R915" i="1" s="1"/>
  <c r="E916" i="1"/>
  <c r="R916" i="1" s="1"/>
  <c r="E917" i="1"/>
  <c r="R917" i="1" s="1"/>
  <c r="E918" i="1"/>
  <c r="R918" i="1" s="1"/>
  <c r="E919" i="1"/>
  <c r="R919" i="1" s="1"/>
  <c r="E920" i="1"/>
  <c r="R920" i="1" s="1"/>
  <c r="E921" i="1"/>
  <c r="R921" i="1" s="1"/>
  <c r="E922" i="1"/>
  <c r="R922" i="1" s="1"/>
  <c r="E923" i="1"/>
  <c r="R923" i="1" s="1"/>
  <c r="E924" i="1"/>
  <c r="R924" i="1" s="1"/>
  <c r="E925" i="1"/>
  <c r="R925" i="1" s="1"/>
  <c r="E926" i="1"/>
  <c r="R926" i="1" s="1"/>
  <c r="E927" i="1"/>
  <c r="R927" i="1" s="1"/>
  <c r="E928" i="1"/>
  <c r="R928" i="1" s="1"/>
  <c r="E929" i="1"/>
  <c r="R929" i="1" s="1"/>
  <c r="E930" i="1"/>
  <c r="R930" i="1" s="1"/>
  <c r="E931" i="1"/>
  <c r="R931" i="1" s="1"/>
  <c r="E932" i="1"/>
  <c r="R932" i="1" s="1"/>
  <c r="E933" i="1"/>
  <c r="R933" i="1" s="1"/>
  <c r="E934" i="1"/>
  <c r="R934" i="1" s="1"/>
  <c r="E935" i="1"/>
  <c r="R935" i="1" s="1"/>
  <c r="E936" i="1"/>
  <c r="R936" i="1" s="1"/>
  <c r="E937" i="1"/>
  <c r="R937" i="1" s="1"/>
  <c r="E938" i="1"/>
  <c r="R938" i="1" s="1"/>
  <c r="E939" i="1"/>
  <c r="R939" i="1" s="1"/>
  <c r="E940" i="1"/>
  <c r="R940" i="1" s="1"/>
  <c r="E941" i="1"/>
  <c r="R941" i="1" s="1"/>
  <c r="E942" i="1"/>
  <c r="R942" i="1" s="1"/>
  <c r="E943" i="1"/>
  <c r="R943" i="1" s="1"/>
  <c r="E944" i="1"/>
  <c r="R944" i="1" s="1"/>
  <c r="E945" i="1"/>
  <c r="R945" i="1" s="1"/>
  <c r="E946" i="1"/>
  <c r="R946" i="1" s="1"/>
  <c r="E947" i="1"/>
  <c r="R947" i="1" s="1"/>
  <c r="E948" i="1"/>
  <c r="R948" i="1" s="1"/>
  <c r="E949" i="1"/>
  <c r="R949" i="1" s="1"/>
  <c r="E950" i="1"/>
  <c r="R950" i="1" s="1"/>
  <c r="E951" i="1"/>
  <c r="R951" i="1" s="1"/>
  <c r="E952" i="1"/>
  <c r="R952" i="1" s="1"/>
  <c r="E953" i="1"/>
  <c r="R953" i="1" s="1"/>
  <c r="E954" i="1"/>
  <c r="R954" i="1" s="1"/>
  <c r="E955" i="1"/>
  <c r="R955" i="1" s="1"/>
  <c r="E956" i="1"/>
  <c r="R956" i="1" s="1"/>
  <c r="E957" i="1"/>
  <c r="R957" i="1" s="1"/>
  <c r="E958" i="1"/>
  <c r="R958" i="1" s="1"/>
  <c r="E959" i="1"/>
  <c r="R959" i="1" s="1"/>
  <c r="E960" i="1"/>
  <c r="R960" i="1" s="1"/>
  <c r="E961" i="1"/>
  <c r="R961" i="1" s="1"/>
  <c r="E962" i="1"/>
  <c r="R962" i="1" s="1"/>
  <c r="E963" i="1"/>
  <c r="R963" i="1" s="1"/>
  <c r="E964" i="1"/>
  <c r="R964" i="1" s="1"/>
  <c r="E965" i="1"/>
  <c r="R965" i="1" s="1"/>
  <c r="E966" i="1"/>
  <c r="R966" i="1" s="1"/>
  <c r="E967" i="1"/>
  <c r="R967" i="1" s="1"/>
  <c r="E968" i="1"/>
  <c r="R968" i="1" s="1"/>
  <c r="E969" i="1"/>
  <c r="R969" i="1" s="1"/>
  <c r="E970" i="1"/>
  <c r="R970" i="1" s="1"/>
  <c r="E971" i="1"/>
  <c r="R971" i="1" s="1"/>
  <c r="E972" i="1"/>
  <c r="R972" i="1" s="1"/>
  <c r="E973" i="1"/>
  <c r="R973" i="1" s="1"/>
  <c r="E974" i="1"/>
  <c r="R974" i="1" s="1"/>
  <c r="E975" i="1"/>
  <c r="R975" i="1" s="1"/>
  <c r="E976" i="1"/>
  <c r="R976" i="1" s="1"/>
  <c r="E977" i="1"/>
  <c r="R977" i="1" s="1"/>
  <c r="E978" i="1"/>
  <c r="R978" i="1" s="1"/>
  <c r="E979" i="1"/>
  <c r="R979" i="1" s="1"/>
  <c r="E980" i="1"/>
  <c r="R980" i="1" s="1"/>
  <c r="E981" i="1"/>
  <c r="R981" i="1" s="1"/>
  <c r="E982" i="1"/>
  <c r="R982" i="1" s="1"/>
  <c r="E983" i="1"/>
  <c r="R983" i="1" s="1"/>
  <c r="E984" i="1"/>
  <c r="R984" i="1" s="1"/>
  <c r="E985" i="1"/>
  <c r="R985" i="1" s="1"/>
  <c r="E986" i="1"/>
  <c r="R986" i="1" s="1"/>
  <c r="E987" i="1"/>
  <c r="R987" i="1" s="1"/>
  <c r="E988" i="1"/>
  <c r="R988" i="1" s="1"/>
  <c r="E989" i="1"/>
  <c r="R989" i="1" s="1"/>
  <c r="E990" i="1"/>
  <c r="R990" i="1" s="1"/>
  <c r="E991" i="1"/>
  <c r="R991" i="1" s="1"/>
  <c r="E992" i="1"/>
  <c r="R992" i="1" s="1"/>
  <c r="E993" i="1"/>
  <c r="R993" i="1" s="1"/>
  <c r="E994" i="1"/>
  <c r="R994" i="1" s="1"/>
  <c r="E995" i="1"/>
  <c r="R995" i="1" s="1"/>
  <c r="E996" i="1"/>
  <c r="R996" i="1" s="1"/>
  <c r="E997" i="1"/>
  <c r="R997" i="1" s="1"/>
  <c r="E998" i="1"/>
  <c r="R998" i="1" s="1"/>
  <c r="E999" i="1"/>
  <c r="R999" i="1" s="1"/>
  <c r="E1000" i="1"/>
  <c r="R1000" i="1" s="1"/>
  <c r="B150" i="11" l="1"/>
  <c r="B151" i="11"/>
  <c r="B152" i="11"/>
  <c r="B153" i="11"/>
  <c r="B154" i="11"/>
  <c r="B155" i="11"/>
  <c r="B156" i="11"/>
  <c r="B157" i="11"/>
  <c r="B158" i="11"/>
  <c r="B159" i="11"/>
  <c r="B160" i="11"/>
  <c r="B161" i="11"/>
  <c r="B162" i="11"/>
  <c r="B163" i="11"/>
  <c r="B164" i="11"/>
  <c r="B149" i="11"/>
  <c r="B134" i="11"/>
  <c r="B135" i="11"/>
  <c r="B136" i="11"/>
  <c r="B137" i="11"/>
  <c r="B138" i="11"/>
  <c r="B139" i="11"/>
  <c r="B140" i="11"/>
  <c r="B141" i="11"/>
  <c r="B142" i="11"/>
  <c r="B143" i="11"/>
  <c r="B144" i="11"/>
  <c r="B145" i="11"/>
  <c r="B146" i="11"/>
  <c r="B147" i="11"/>
  <c r="B148" i="11"/>
  <c r="B133" i="11"/>
  <c r="B118" i="11"/>
  <c r="B119" i="11"/>
  <c r="B120" i="11"/>
  <c r="B121" i="11"/>
  <c r="B122" i="11"/>
  <c r="B123" i="11"/>
  <c r="B124" i="11"/>
  <c r="B125" i="11"/>
  <c r="B126" i="11"/>
  <c r="B127" i="11"/>
  <c r="B128" i="11"/>
  <c r="B129" i="11"/>
  <c r="B130" i="11"/>
  <c r="B131" i="11"/>
  <c r="B132" i="11"/>
  <c r="B117" i="11"/>
  <c r="B102" i="11"/>
  <c r="B103" i="11"/>
  <c r="B104" i="11"/>
  <c r="B105" i="11"/>
  <c r="B106" i="11"/>
  <c r="B107" i="11"/>
  <c r="B108" i="11"/>
  <c r="B109" i="11"/>
  <c r="B110" i="11"/>
  <c r="B111" i="11"/>
  <c r="B112" i="11"/>
  <c r="B113" i="11"/>
  <c r="B114" i="11"/>
  <c r="B115" i="11"/>
  <c r="B116" i="11"/>
  <c r="B101" i="11"/>
  <c r="B86" i="11"/>
  <c r="B87" i="11"/>
  <c r="B88" i="11"/>
  <c r="B89" i="11"/>
  <c r="B90" i="11"/>
  <c r="B91" i="11"/>
  <c r="B92" i="11"/>
  <c r="B93" i="11"/>
  <c r="B94" i="11"/>
  <c r="B95" i="11"/>
  <c r="B96" i="11"/>
  <c r="B97" i="11"/>
  <c r="B98" i="11"/>
  <c r="B99" i="11"/>
  <c r="B100" i="11"/>
  <c r="B85" i="11"/>
  <c r="B70" i="11"/>
  <c r="B71" i="11"/>
  <c r="B72" i="11"/>
  <c r="B73" i="11"/>
  <c r="B74" i="11"/>
  <c r="B75" i="11"/>
  <c r="B76" i="11"/>
  <c r="B77" i="11"/>
  <c r="B78" i="11"/>
  <c r="B79" i="11"/>
  <c r="B80" i="11"/>
  <c r="B81" i="11"/>
  <c r="B82" i="11"/>
  <c r="B83" i="11"/>
  <c r="B84" i="11"/>
  <c r="B69" i="11"/>
  <c r="B54" i="11" l="1"/>
  <c r="B55" i="11"/>
  <c r="B56" i="11"/>
  <c r="B57" i="11"/>
  <c r="B58" i="11"/>
  <c r="B59" i="11"/>
  <c r="B60" i="11"/>
  <c r="B61" i="11"/>
  <c r="B62" i="11"/>
  <c r="B63" i="11"/>
  <c r="B64" i="11"/>
  <c r="B65" i="11"/>
  <c r="B66" i="11"/>
  <c r="B67" i="11"/>
  <c r="B68" i="11"/>
  <c r="B53" i="11"/>
  <c r="B38" i="11"/>
  <c r="B39" i="11"/>
  <c r="B40" i="11"/>
  <c r="B41" i="11"/>
  <c r="B42" i="11"/>
  <c r="B43" i="11"/>
  <c r="B44" i="11"/>
  <c r="B45" i="11"/>
  <c r="B46" i="11"/>
  <c r="B47" i="11"/>
  <c r="B48" i="11"/>
  <c r="B49" i="11"/>
  <c r="B50" i="11"/>
  <c r="B51" i="11"/>
  <c r="B52" i="11"/>
  <c r="B37" i="11"/>
  <c r="B22" i="11"/>
  <c r="B23" i="11"/>
  <c r="B24" i="11"/>
  <c r="B25" i="11"/>
  <c r="B26" i="11"/>
  <c r="B27" i="11"/>
  <c r="B28" i="11"/>
  <c r="B29" i="11"/>
  <c r="B30" i="11"/>
  <c r="B31" i="11"/>
  <c r="B32" i="11"/>
  <c r="B33" i="11"/>
  <c r="B34" i="11"/>
  <c r="B35" i="11"/>
  <c r="B36" i="11"/>
  <c r="B21" i="11"/>
  <c r="B20" i="11"/>
  <c r="B6" i="11"/>
  <c r="B7" i="11"/>
  <c r="B8" i="11"/>
  <c r="B9" i="11"/>
  <c r="B10" i="11"/>
  <c r="B11" i="11"/>
  <c r="B12" i="11"/>
  <c r="B13" i="11"/>
  <c r="B14" i="11"/>
  <c r="B15" i="11"/>
  <c r="B16" i="11"/>
  <c r="B17" i="11"/>
  <c r="B18" i="11"/>
  <c r="B19" i="11"/>
  <c r="B5" i="11"/>
  <c r="N32" i="6" l="1"/>
  <c r="N31" i="6"/>
  <c r="O7" i="1" l="1"/>
  <c r="O8" i="1"/>
  <c r="O9" i="1"/>
  <c r="O10" i="1"/>
  <c r="O11" i="1"/>
  <c r="O12" i="1"/>
  <c r="O13" i="1"/>
  <c r="O14" i="1"/>
  <c r="O15" i="1"/>
  <c r="O16" i="1"/>
  <c r="O17" i="1"/>
  <c r="O18" i="1"/>
  <c r="O19" i="1"/>
  <c r="O20"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489" i="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7" i="1"/>
  <c r="O558" i="1"/>
  <c r="O559" i="1"/>
  <c r="O560" i="1"/>
  <c r="O561" i="1"/>
  <c r="O562" i="1"/>
  <c r="O563" i="1"/>
  <c r="O564" i="1"/>
  <c r="O565" i="1"/>
  <c r="O566" i="1"/>
  <c r="O567" i="1"/>
  <c r="O568" i="1"/>
  <c r="O569" i="1"/>
  <c r="O570" i="1"/>
  <c r="O571" i="1"/>
  <c r="O572" i="1"/>
  <c r="O573" i="1"/>
  <c r="O574" i="1"/>
  <c r="O575" i="1"/>
  <c r="O576" i="1"/>
  <c r="O577" i="1"/>
  <c r="O578" i="1"/>
  <c r="O579" i="1"/>
  <c r="O580" i="1"/>
  <c r="O581" i="1"/>
  <c r="O582" i="1"/>
  <c r="O583" i="1"/>
  <c r="O584" i="1"/>
  <c r="O585" i="1"/>
  <c r="O586" i="1"/>
  <c r="O587" i="1"/>
  <c r="O588" i="1"/>
  <c r="O589" i="1"/>
  <c r="O590" i="1"/>
  <c r="O591" i="1"/>
  <c r="O592" i="1"/>
  <c r="O593" i="1"/>
  <c r="O594" i="1"/>
  <c r="O595" i="1"/>
  <c r="O596" i="1"/>
  <c r="O597" i="1"/>
  <c r="O598" i="1"/>
  <c r="O599" i="1"/>
  <c r="O600" i="1"/>
  <c r="O601" i="1"/>
  <c r="O602" i="1"/>
  <c r="O603" i="1"/>
  <c r="O604" i="1"/>
  <c r="O605" i="1"/>
  <c r="O606" i="1"/>
  <c r="O607" i="1"/>
  <c r="O608" i="1"/>
  <c r="O609" i="1"/>
  <c r="O610" i="1"/>
  <c r="O611" i="1"/>
  <c r="O612" i="1"/>
  <c r="O613" i="1"/>
  <c r="O614" i="1"/>
  <c r="O615" i="1"/>
  <c r="O616" i="1"/>
  <c r="O617" i="1"/>
  <c r="O618" i="1"/>
  <c r="O619" i="1"/>
  <c r="O620" i="1"/>
  <c r="O621" i="1"/>
  <c r="O622" i="1"/>
  <c r="O623" i="1"/>
  <c r="O624" i="1"/>
  <c r="O625" i="1"/>
  <c r="O626" i="1"/>
  <c r="O627" i="1"/>
  <c r="O628" i="1"/>
  <c r="O629" i="1"/>
  <c r="O630" i="1"/>
  <c r="O631" i="1"/>
  <c r="O632" i="1"/>
  <c r="O633" i="1"/>
  <c r="O634" i="1"/>
  <c r="O635" i="1"/>
  <c r="O636" i="1"/>
  <c r="O637" i="1"/>
  <c r="O638" i="1"/>
  <c r="O639" i="1"/>
  <c r="O640" i="1"/>
  <c r="O641" i="1"/>
  <c r="O642" i="1"/>
  <c r="O643" i="1"/>
  <c r="O644" i="1"/>
  <c r="O645" i="1"/>
  <c r="O646" i="1"/>
  <c r="O647" i="1"/>
  <c r="O648" i="1"/>
  <c r="O649" i="1"/>
  <c r="O650" i="1"/>
  <c r="O651" i="1"/>
  <c r="O652" i="1"/>
  <c r="O653" i="1"/>
  <c r="O654" i="1"/>
  <c r="O655" i="1"/>
  <c r="O656" i="1"/>
  <c r="O657" i="1"/>
  <c r="O658" i="1"/>
  <c r="O659" i="1"/>
  <c r="O660" i="1"/>
  <c r="O661" i="1"/>
  <c r="O662" i="1"/>
  <c r="O663" i="1"/>
  <c r="O664" i="1"/>
  <c r="O665" i="1"/>
  <c r="O666" i="1"/>
  <c r="O667" i="1"/>
  <c r="O668" i="1"/>
  <c r="O669" i="1"/>
  <c r="O670" i="1"/>
  <c r="O671" i="1"/>
  <c r="O672" i="1"/>
  <c r="O673" i="1"/>
  <c r="O674" i="1"/>
  <c r="O675" i="1"/>
  <c r="O676" i="1"/>
  <c r="O677" i="1"/>
  <c r="O678" i="1"/>
  <c r="O679" i="1"/>
  <c r="O680" i="1"/>
  <c r="O681" i="1"/>
  <c r="O682" i="1"/>
  <c r="O683" i="1"/>
  <c r="O684" i="1"/>
  <c r="O685" i="1"/>
  <c r="O686" i="1"/>
  <c r="O687" i="1"/>
  <c r="O688" i="1"/>
  <c r="O689" i="1"/>
  <c r="O690" i="1"/>
  <c r="O691" i="1"/>
  <c r="O692" i="1"/>
  <c r="O693" i="1"/>
  <c r="O694" i="1"/>
  <c r="O695" i="1"/>
  <c r="O696" i="1"/>
  <c r="O697" i="1"/>
  <c r="O698" i="1"/>
  <c r="O699" i="1"/>
  <c r="O700" i="1"/>
  <c r="O701" i="1"/>
  <c r="O702" i="1"/>
  <c r="O703" i="1"/>
  <c r="O704" i="1"/>
  <c r="O705" i="1"/>
  <c r="O706" i="1"/>
  <c r="O707" i="1"/>
  <c r="O708" i="1"/>
  <c r="O709" i="1"/>
  <c r="O710" i="1"/>
  <c r="O711" i="1"/>
  <c r="O712" i="1"/>
  <c r="O713" i="1"/>
  <c r="O714" i="1"/>
  <c r="O715" i="1"/>
  <c r="O716" i="1"/>
  <c r="O717" i="1"/>
  <c r="O718" i="1"/>
  <c r="O719" i="1"/>
  <c r="O720" i="1"/>
  <c r="O721" i="1"/>
  <c r="O722" i="1"/>
  <c r="O723" i="1"/>
  <c r="O724" i="1"/>
  <c r="O725" i="1"/>
  <c r="O726" i="1"/>
  <c r="O727" i="1"/>
  <c r="O728" i="1"/>
  <c r="O729" i="1"/>
  <c r="O730" i="1"/>
  <c r="O731" i="1"/>
  <c r="O732" i="1"/>
  <c r="O733" i="1"/>
  <c r="O734" i="1"/>
  <c r="O735" i="1"/>
  <c r="O736" i="1"/>
  <c r="O737" i="1"/>
  <c r="O738" i="1"/>
  <c r="O739" i="1"/>
  <c r="O740" i="1"/>
  <c r="O741" i="1"/>
  <c r="O742" i="1"/>
  <c r="O743" i="1"/>
  <c r="O744" i="1"/>
  <c r="O745" i="1"/>
  <c r="O746" i="1"/>
  <c r="O747" i="1"/>
  <c r="O748" i="1"/>
  <c r="O749" i="1"/>
  <c r="O750" i="1"/>
  <c r="O751" i="1"/>
  <c r="O752" i="1"/>
  <c r="O753" i="1"/>
  <c r="O754" i="1"/>
  <c r="O755" i="1"/>
  <c r="O756" i="1"/>
  <c r="O757" i="1"/>
  <c r="O758" i="1"/>
  <c r="O759" i="1"/>
  <c r="O760" i="1"/>
  <c r="O761" i="1"/>
  <c r="O762" i="1"/>
  <c r="O763" i="1"/>
  <c r="O764" i="1"/>
  <c r="O765" i="1"/>
  <c r="O766" i="1"/>
  <c r="O767" i="1"/>
  <c r="O768" i="1"/>
  <c r="O769" i="1"/>
  <c r="O770" i="1"/>
  <c r="O771" i="1"/>
  <c r="O772" i="1"/>
  <c r="O773" i="1"/>
  <c r="O774" i="1"/>
  <c r="O775" i="1"/>
  <c r="O776" i="1"/>
  <c r="O777" i="1"/>
  <c r="O778" i="1"/>
  <c r="O779" i="1"/>
  <c r="O780" i="1"/>
  <c r="O781" i="1"/>
  <c r="O782" i="1"/>
  <c r="O783" i="1"/>
  <c r="O784" i="1"/>
  <c r="O785" i="1"/>
  <c r="O786" i="1"/>
  <c r="O787" i="1"/>
  <c r="O788" i="1"/>
  <c r="O789" i="1"/>
  <c r="O790" i="1"/>
  <c r="O791" i="1"/>
  <c r="O792" i="1"/>
  <c r="O793" i="1"/>
  <c r="O794" i="1"/>
  <c r="O795" i="1"/>
  <c r="O796" i="1"/>
  <c r="O797" i="1"/>
  <c r="O798" i="1"/>
  <c r="O799" i="1"/>
  <c r="O800" i="1"/>
  <c r="O801" i="1"/>
  <c r="O802" i="1"/>
  <c r="O803" i="1"/>
  <c r="O804" i="1"/>
  <c r="O805" i="1"/>
  <c r="O806" i="1"/>
  <c r="O807" i="1"/>
  <c r="O808" i="1"/>
  <c r="O809" i="1"/>
  <c r="O810" i="1"/>
  <c r="O811" i="1"/>
  <c r="O812" i="1"/>
  <c r="O813" i="1"/>
  <c r="O814" i="1"/>
  <c r="O815" i="1"/>
  <c r="O816" i="1"/>
  <c r="O817" i="1"/>
  <c r="O818" i="1"/>
  <c r="O819" i="1"/>
  <c r="O820" i="1"/>
  <c r="O821" i="1"/>
  <c r="O822" i="1"/>
  <c r="O823" i="1"/>
  <c r="O824" i="1"/>
  <c r="O825" i="1"/>
  <c r="O826" i="1"/>
  <c r="O827" i="1"/>
  <c r="O828" i="1"/>
  <c r="O829" i="1"/>
  <c r="O830" i="1"/>
  <c r="O831" i="1"/>
  <c r="O832" i="1"/>
  <c r="O833" i="1"/>
  <c r="O834" i="1"/>
  <c r="O835" i="1"/>
  <c r="O836" i="1"/>
  <c r="O837" i="1"/>
  <c r="O838" i="1"/>
  <c r="O839" i="1"/>
  <c r="O840" i="1"/>
  <c r="O841" i="1"/>
  <c r="O842" i="1"/>
  <c r="O843" i="1"/>
  <c r="O844" i="1"/>
  <c r="O845" i="1"/>
  <c r="O846" i="1"/>
  <c r="O847" i="1"/>
  <c r="O848" i="1"/>
  <c r="O849" i="1"/>
  <c r="O850" i="1"/>
  <c r="O851" i="1"/>
  <c r="O852" i="1"/>
  <c r="O853" i="1"/>
  <c r="O854" i="1"/>
  <c r="O855" i="1"/>
  <c r="O856" i="1"/>
  <c r="O857" i="1"/>
  <c r="O858" i="1"/>
  <c r="O859" i="1"/>
  <c r="O860" i="1"/>
  <c r="O861" i="1"/>
  <c r="O862" i="1"/>
  <c r="O863" i="1"/>
  <c r="O864" i="1"/>
  <c r="O865" i="1"/>
  <c r="O866" i="1"/>
  <c r="O867" i="1"/>
  <c r="O868" i="1"/>
  <c r="O869" i="1"/>
  <c r="O870" i="1"/>
  <c r="O871" i="1"/>
  <c r="O872" i="1"/>
  <c r="O873" i="1"/>
  <c r="O874" i="1"/>
  <c r="O875" i="1"/>
  <c r="O876" i="1"/>
  <c r="O877" i="1"/>
  <c r="O878" i="1"/>
  <c r="O879" i="1"/>
  <c r="O880" i="1"/>
  <c r="O881" i="1"/>
  <c r="O882" i="1"/>
  <c r="O883" i="1"/>
  <c r="O884" i="1"/>
  <c r="O885" i="1"/>
  <c r="O886" i="1"/>
  <c r="O887" i="1"/>
  <c r="O888" i="1"/>
  <c r="O889" i="1"/>
  <c r="O890" i="1"/>
  <c r="O891" i="1"/>
  <c r="O892" i="1"/>
  <c r="O893" i="1"/>
  <c r="O894" i="1"/>
  <c r="O895" i="1"/>
  <c r="O896" i="1"/>
  <c r="O897" i="1"/>
  <c r="O898" i="1"/>
  <c r="O899" i="1"/>
  <c r="O900" i="1"/>
  <c r="O901" i="1"/>
  <c r="O902" i="1"/>
  <c r="O903" i="1"/>
  <c r="O904" i="1"/>
  <c r="O905" i="1"/>
  <c r="O906" i="1"/>
  <c r="O907" i="1"/>
  <c r="O908" i="1"/>
  <c r="O909" i="1"/>
  <c r="O910" i="1"/>
  <c r="O911" i="1"/>
  <c r="O912" i="1"/>
  <c r="O913" i="1"/>
  <c r="O914" i="1"/>
  <c r="O915" i="1"/>
  <c r="O916" i="1"/>
  <c r="O917" i="1"/>
  <c r="O918" i="1"/>
  <c r="O919" i="1"/>
  <c r="O920" i="1"/>
  <c r="O921" i="1"/>
  <c r="O922" i="1"/>
  <c r="O923" i="1"/>
  <c r="O924" i="1"/>
  <c r="O925" i="1"/>
  <c r="O926" i="1"/>
  <c r="O927" i="1"/>
  <c r="O928" i="1"/>
  <c r="O929" i="1"/>
  <c r="O930" i="1"/>
  <c r="O931" i="1"/>
  <c r="O932" i="1"/>
  <c r="O933" i="1"/>
  <c r="O934" i="1"/>
  <c r="O935" i="1"/>
  <c r="O936" i="1"/>
  <c r="O937" i="1"/>
  <c r="O938" i="1"/>
  <c r="O939" i="1"/>
  <c r="O940" i="1"/>
  <c r="O941" i="1"/>
  <c r="O942" i="1"/>
  <c r="O943" i="1"/>
  <c r="O944" i="1"/>
  <c r="O945" i="1"/>
  <c r="O946" i="1"/>
  <c r="O947" i="1"/>
  <c r="O948" i="1"/>
  <c r="O949" i="1"/>
  <c r="O950" i="1"/>
  <c r="O951" i="1"/>
  <c r="O952" i="1"/>
  <c r="O953" i="1"/>
  <c r="O954" i="1"/>
  <c r="O955" i="1"/>
  <c r="O956" i="1"/>
  <c r="O957" i="1"/>
  <c r="O958" i="1"/>
  <c r="O959" i="1"/>
  <c r="O960" i="1"/>
  <c r="O961" i="1"/>
  <c r="O962" i="1"/>
  <c r="O963" i="1"/>
  <c r="O964" i="1"/>
  <c r="O965" i="1"/>
  <c r="O966" i="1"/>
  <c r="O967" i="1"/>
  <c r="O968" i="1"/>
  <c r="O969" i="1"/>
  <c r="O970" i="1"/>
  <c r="O971" i="1"/>
  <c r="O972" i="1"/>
  <c r="O973" i="1"/>
  <c r="O974" i="1"/>
  <c r="O975" i="1"/>
  <c r="O976" i="1"/>
  <c r="O977" i="1"/>
  <c r="O978" i="1"/>
  <c r="O979" i="1"/>
  <c r="O980" i="1"/>
  <c r="O981" i="1"/>
  <c r="O982" i="1"/>
  <c r="O983" i="1"/>
  <c r="O984" i="1"/>
  <c r="O985" i="1"/>
  <c r="O986" i="1"/>
  <c r="O987" i="1"/>
  <c r="O988" i="1"/>
  <c r="O989" i="1"/>
  <c r="O990" i="1"/>
  <c r="O991" i="1"/>
  <c r="O992" i="1"/>
  <c r="O993" i="1"/>
  <c r="O994" i="1"/>
  <c r="O995" i="1"/>
  <c r="O996" i="1"/>
  <c r="O997" i="1"/>
  <c r="O998" i="1"/>
  <c r="O999" i="1"/>
  <c r="O1000" i="1"/>
  <c r="O6" i="1"/>
  <c r="F20"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D30" i="1"/>
  <c r="D31" i="1"/>
  <c r="D32" i="1"/>
  <c r="D33" i="1"/>
  <c r="D34" i="1"/>
  <c r="D35" i="1"/>
  <c r="D37" i="1"/>
  <c r="D38" i="1"/>
  <c r="D39" i="1"/>
  <c r="D40" i="1"/>
  <c r="D41" i="1"/>
  <c r="D42" i="1"/>
  <c r="D43" i="1"/>
  <c r="D45" i="1"/>
  <c r="D46" i="1"/>
  <c r="D47" i="1"/>
  <c r="D48" i="1"/>
  <c r="D49" i="1"/>
  <c r="D50" i="1"/>
  <c r="D51" i="1"/>
  <c r="D53" i="1"/>
  <c r="D54" i="1"/>
  <c r="D55" i="1"/>
  <c r="D56" i="1"/>
  <c r="D57" i="1"/>
  <c r="D58" i="1"/>
  <c r="D59" i="1"/>
  <c r="D61" i="1"/>
  <c r="D62" i="1"/>
  <c r="D63" i="1"/>
  <c r="D64" i="1"/>
  <c r="D65" i="1"/>
  <c r="D66" i="1"/>
  <c r="D67" i="1"/>
  <c r="D69" i="1"/>
  <c r="D70" i="1"/>
  <c r="D71" i="1"/>
  <c r="D72" i="1"/>
  <c r="D73" i="1"/>
  <c r="D74" i="1"/>
  <c r="D75" i="1"/>
  <c r="D76" i="1"/>
  <c r="D77" i="1"/>
  <c r="D78" i="1"/>
  <c r="D79" i="1"/>
  <c r="D80" i="1"/>
  <c r="D81" i="1"/>
  <c r="D82" i="1"/>
  <c r="D83" i="1"/>
  <c r="D85" i="1"/>
  <c r="D86" i="1"/>
  <c r="D87" i="1"/>
  <c r="D88" i="1"/>
  <c r="D89" i="1"/>
  <c r="D90" i="1"/>
  <c r="D91" i="1"/>
  <c r="D93" i="1"/>
  <c r="D94" i="1"/>
  <c r="D95" i="1"/>
  <c r="D96" i="1"/>
  <c r="D97" i="1"/>
  <c r="D98" i="1"/>
  <c r="D99" i="1"/>
  <c r="D101" i="1"/>
  <c r="D102" i="1"/>
  <c r="D103" i="1"/>
  <c r="D104" i="1"/>
  <c r="D105" i="1"/>
  <c r="D106" i="1"/>
  <c r="D107" i="1"/>
  <c r="D108" i="1"/>
  <c r="D109" i="1"/>
  <c r="D110" i="1"/>
  <c r="D111" i="1"/>
  <c r="D112" i="1"/>
  <c r="D113" i="1"/>
  <c r="D114" i="1"/>
  <c r="D115" i="1"/>
  <c r="D117" i="1"/>
  <c r="D118" i="1"/>
  <c r="D119" i="1"/>
  <c r="D120" i="1"/>
  <c r="D121" i="1"/>
  <c r="D122" i="1"/>
  <c r="D123" i="1"/>
  <c r="D125" i="1"/>
  <c r="D126" i="1"/>
  <c r="D127" i="1"/>
  <c r="D128" i="1"/>
  <c r="D129" i="1"/>
  <c r="D130" i="1"/>
  <c r="D131" i="1"/>
  <c r="D133" i="1"/>
  <c r="D134" i="1"/>
  <c r="D135" i="1"/>
  <c r="D136" i="1"/>
  <c r="D137" i="1"/>
  <c r="D138" i="1"/>
  <c r="D139" i="1"/>
  <c r="D140" i="1"/>
  <c r="D141" i="1"/>
  <c r="D142" i="1"/>
  <c r="D143" i="1"/>
  <c r="D144" i="1"/>
  <c r="D146" i="1"/>
  <c r="D147" i="1"/>
  <c r="D148" i="1"/>
  <c r="D149" i="1"/>
  <c r="D150" i="1"/>
  <c r="D151" i="1"/>
  <c r="D153" i="1"/>
  <c r="D154" i="1"/>
  <c r="D155" i="1"/>
  <c r="D156" i="1"/>
  <c r="D157" i="1"/>
  <c r="D158" i="1"/>
  <c r="D159" i="1"/>
  <c r="D161" i="1"/>
  <c r="D162" i="1"/>
  <c r="D163" i="1"/>
  <c r="D164" i="1"/>
  <c r="D165" i="1"/>
  <c r="D166" i="1"/>
  <c r="D167" i="1"/>
  <c r="D169" i="1"/>
  <c r="D170" i="1"/>
  <c r="D171" i="1"/>
  <c r="D172" i="1"/>
  <c r="D173" i="1"/>
  <c r="D174" i="1"/>
  <c r="D175" i="1"/>
  <c r="D176" i="1"/>
  <c r="D177" i="1"/>
  <c r="D178" i="1"/>
  <c r="D179" i="1"/>
  <c r="D180" i="1"/>
  <c r="D181" i="1"/>
  <c r="D182" i="1"/>
  <c r="D183" i="1"/>
  <c r="D185" i="1"/>
  <c r="D186" i="1"/>
  <c r="D187" i="1"/>
  <c r="D188" i="1"/>
  <c r="D189" i="1"/>
  <c r="D190" i="1"/>
  <c r="D191" i="1"/>
  <c r="D193" i="1"/>
  <c r="D194" i="1"/>
  <c r="D195" i="1"/>
  <c r="D196" i="1"/>
  <c r="D197" i="1"/>
  <c r="D198" i="1"/>
  <c r="D199" i="1"/>
  <c r="D201" i="1"/>
  <c r="D202" i="1"/>
  <c r="D203" i="1"/>
  <c r="D204" i="1"/>
  <c r="D205" i="1"/>
  <c r="D206" i="1"/>
  <c r="D207" i="1"/>
  <c r="D208" i="1"/>
  <c r="D209" i="1"/>
  <c r="D210" i="1"/>
  <c r="D211" i="1"/>
  <c r="D212" i="1"/>
  <c r="D213" i="1"/>
  <c r="D214" i="1"/>
  <c r="D215" i="1"/>
  <c r="D217" i="1"/>
  <c r="D218" i="1"/>
  <c r="D219" i="1"/>
  <c r="D220" i="1"/>
  <c r="D221" i="1"/>
  <c r="D222" i="1"/>
  <c r="D223" i="1"/>
  <c r="D225" i="1"/>
  <c r="D226" i="1"/>
  <c r="D227" i="1"/>
  <c r="D228" i="1"/>
  <c r="D229" i="1"/>
  <c r="D230" i="1"/>
  <c r="D231" i="1"/>
  <c r="D233" i="1"/>
  <c r="D234" i="1"/>
  <c r="D235" i="1"/>
  <c r="D236" i="1"/>
  <c r="D237" i="1"/>
  <c r="D238" i="1"/>
  <c r="D239" i="1"/>
  <c r="D240" i="1"/>
  <c r="D241" i="1"/>
  <c r="D242" i="1"/>
  <c r="D243" i="1"/>
  <c r="D244" i="1"/>
  <c r="D245" i="1"/>
  <c r="D246" i="1"/>
  <c r="D247" i="1"/>
  <c r="D249" i="1"/>
  <c r="D250" i="1"/>
  <c r="D251" i="1"/>
  <c r="D252" i="1"/>
  <c r="D253" i="1"/>
  <c r="D254" i="1"/>
  <c r="D255" i="1"/>
  <c r="D257" i="1"/>
  <c r="D258" i="1"/>
  <c r="D259" i="1"/>
  <c r="D260" i="1"/>
  <c r="D261" i="1"/>
  <c r="D262" i="1"/>
  <c r="D263" i="1"/>
  <c r="D265" i="1"/>
  <c r="D266" i="1"/>
  <c r="D267" i="1"/>
  <c r="D268" i="1"/>
  <c r="D269" i="1"/>
  <c r="D270" i="1"/>
  <c r="D271" i="1"/>
  <c r="D272" i="1"/>
  <c r="D273" i="1"/>
  <c r="D274" i="1"/>
  <c r="D275" i="1"/>
  <c r="D277" i="1"/>
  <c r="D278" i="1"/>
  <c r="D279" i="1"/>
  <c r="D280" i="1"/>
  <c r="D281" i="1"/>
  <c r="D282" i="1"/>
  <c r="D285" i="1"/>
  <c r="D286" i="1"/>
  <c r="D287" i="1"/>
  <c r="D288" i="1"/>
  <c r="D289" i="1"/>
  <c r="D290" i="1"/>
  <c r="D291" i="1"/>
  <c r="D293" i="1"/>
  <c r="D294" i="1"/>
  <c r="D295" i="1"/>
  <c r="D296" i="1"/>
  <c r="D297" i="1"/>
  <c r="D298" i="1"/>
  <c r="D299" i="1"/>
  <c r="D300" i="1"/>
  <c r="D301" i="1"/>
  <c r="D302" i="1"/>
  <c r="D303" i="1"/>
  <c r="D304" i="1"/>
  <c r="D305" i="1"/>
  <c r="D306" i="1"/>
  <c r="D307" i="1"/>
  <c r="D309" i="1"/>
  <c r="D310" i="1"/>
  <c r="D311" i="1"/>
  <c r="D312" i="1"/>
  <c r="D313" i="1"/>
  <c r="D314" i="1"/>
  <c r="D315" i="1"/>
  <c r="D317" i="1"/>
  <c r="D318" i="1"/>
  <c r="D319" i="1"/>
  <c r="D320" i="1"/>
  <c r="D321" i="1"/>
  <c r="D322" i="1"/>
  <c r="D323" i="1"/>
  <c r="D325" i="1"/>
  <c r="D326" i="1"/>
  <c r="D327" i="1"/>
  <c r="D328" i="1"/>
  <c r="D329" i="1"/>
  <c r="D330" i="1"/>
  <c r="D331" i="1"/>
  <c r="D332" i="1"/>
  <c r="D333" i="1"/>
  <c r="D334" i="1"/>
  <c r="D335" i="1"/>
  <c r="D336" i="1"/>
  <c r="D337" i="1"/>
  <c r="D338" i="1"/>
  <c r="D339" i="1"/>
  <c r="D341" i="1"/>
  <c r="D342" i="1"/>
  <c r="D343" i="1"/>
  <c r="D344" i="1"/>
  <c r="D345" i="1"/>
  <c r="D346" i="1"/>
  <c r="D347" i="1"/>
  <c r="D349" i="1"/>
  <c r="D350" i="1"/>
  <c r="D351" i="1"/>
  <c r="D352" i="1"/>
  <c r="D353" i="1"/>
  <c r="D354" i="1"/>
  <c r="D355" i="1"/>
  <c r="D357" i="1"/>
  <c r="D358" i="1"/>
  <c r="D359" i="1"/>
  <c r="D360" i="1"/>
  <c r="D361" i="1"/>
  <c r="D362" i="1"/>
  <c r="D363" i="1"/>
  <c r="D364" i="1"/>
  <c r="D365" i="1"/>
  <c r="D366" i="1"/>
  <c r="D367" i="1"/>
  <c r="D368" i="1"/>
  <c r="D369" i="1"/>
  <c r="D370" i="1"/>
  <c r="D371" i="1"/>
  <c r="D373" i="1"/>
  <c r="D374" i="1"/>
  <c r="D375" i="1"/>
  <c r="D376" i="1"/>
  <c r="D377" i="1"/>
  <c r="D378" i="1"/>
  <c r="D379" i="1"/>
  <c r="D381" i="1"/>
  <c r="D382" i="1"/>
  <c r="D383" i="1"/>
  <c r="D384" i="1"/>
  <c r="D385" i="1"/>
  <c r="D386" i="1"/>
  <c r="D387" i="1"/>
  <c r="D389" i="1"/>
  <c r="D390" i="1"/>
  <c r="D391" i="1"/>
  <c r="D392" i="1"/>
  <c r="D393" i="1"/>
  <c r="D394" i="1"/>
  <c r="D395" i="1"/>
  <c r="D396" i="1"/>
  <c r="D397" i="1"/>
  <c r="D398" i="1"/>
  <c r="D399" i="1"/>
  <c r="D400" i="1"/>
  <c r="D401" i="1"/>
  <c r="D402" i="1"/>
  <c r="D403" i="1"/>
  <c r="D405" i="1"/>
  <c r="D406" i="1"/>
  <c r="D407" i="1"/>
  <c r="D409" i="1"/>
  <c r="D410" i="1"/>
  <c r="D411" i="1"/>
  <c r="D413" i="1"/>
  <c r="D414" i="1"/>
  <c r="D415" i="1"/>
  <c r="D417" i="1"/>
  <c r="D418" i="1"/>
  <c r="D419" i="1"/>
  <c r="D420" i="1"/>
  <c r="D421" i="1"/>
  <c r="D422" i="1"/>
  <c r="D423" i="1"/>
  <c r="D424" i="1"/>
  <c r="D425" i="1"/>
  <c r="D426" i="1"/>
  <c r="D427" i="1"/>
  <c r="D428" i="1"/>
  <c r="D429" i="1"/>
  <c r="D430" i="1"/>
  <c r="D431" i="1"/>
  <c r="D433" i="1"/>
  <c r="D434" i="1"/>
  <c r="D435" i="1"/>
  <c r="D436" i="1"/>
  <c r="D437" i="1"/>
  <c r="D438" i="1"/>
  <c r="D439" i="1"/>
  <c r="D441" i="1"/>
  <c r="D442" i="1"/>
  <c r="D443" i="1"/>
  <c r="D444" i="1"/>
  <c r="D445" i="1"/>
  <c r="D446" i="1"/>
  <c r="D447" i="1"/>
  <c r="D449" i="1"/>
  <c r="D450" i="1"/>
  <c r="D451" i="1"/>
  <c r="D452" i="1"/>
  <c r="D453" i="1"/>
  <c r="D454" i="1"/>
  <c r="D455" i="1"/>
  <c r="D456" i="1"/>
  <c r="D457" i="1"/>
  <c r="D458" i="1"/>
  <c r="D459" i="1"/>
  <c r="D460" i="1"/>
  <c r="D461" i="1"/>
  <c r="D462" i="1"/>
  <c r="D463" i="1"/>
  <c r="D465" i="1"/>
  <c r="D466" i="1"/>
  <c r="D467" i="1"/>
  <c r="D468" i="1"/>
  <c r="D469" i="1"/>
  <c r="D470" i="1"/>
  <c r="D471" i="1"/>
  <c r="D473" i="1"/>
  <c r="D474" i="1"/>
  <c r="D475" i="1"/>
  <c r="D476" i="1"/>
  <c r="D477" i="1"/>
  <c r="D478" i="1"/>
  <c r="D479" i="1"/>
  <c r="D480" i="1"/>
  <c r="D481" i="1"/>
  <c r="D482" i="1"/>
  <c r="D483" i="1"/>
  <c r="D484" i="1"/>
  <c r="D485" i="1"/>
  <c r="D486" i="1"/>
  <c r="D487" i="1"/>
  <c r="D489" i="1"/>
  <c r="D490" i="1"/>
  <c r="D491" i="1"/>
  <c r="D492" i="1"/>
  <c r="D493" i="1"/>
  <c r="D494" i="1"/>
  <c r="D495" i="1"/>
  <c r="D497" i="1"/>
  <c r="D498" i="1"/>
  <c r="D499" i="1"/>
  <c r="D500" i="1"/>
  <c r="D501" i="1"/>
  <c r="D502" i="1"/>
  <c r="D503" i="1"/>
  <c r="D505" i="1"/>
  <c r="D506" i="1"/>
  <c r="D507" i="1"/>
  <c r="D508" i="1"/>
  <c r="D509" i="1"/>
  <c r="D510" i="1"/>
  <c r="D511" i="1"/>
  <c r="D512" i="1"/>
  <c r="D513" i="1"/>
  <c r="D514" i="1"/>
  <c r="D515" i="1"/>
  <c r="D516" i="1"/>
  <c r="D517" i="1"/>
  <c r="D518" i="1"/>
  <c r="D519" i="1"/>
  <c r="D521" i="1"/>
  <c r="D522" i="1"/>
  <c r="D523" i="1"/>
  <c r="D524" i="1"/>
  <c r="D525" i="1"/>
  <c r="D526" i="1"/>
  <c r="D527" i="1"/>
  <c r="D530" i="1"/>
  <c r="D532" i="1"/>
  <c r="D533" i="1"/>
  <c r="D534" i="1"/>
  <c r="D535" i="1"/>
  <c r="D537" i="1"/>
  <c r="D538" i="1"/>
  <c r="D539" i="1"/>
  <c r="D540" i="1"/>
  <c r="D541" i="1"/>
  <c r="D542" i="1"/>
  <c r="D543" i="1"/>
  <c r="D544" i="1"/>
  <c r="D545" i="1"/>
  <c r="D546" i="1"/>
  <c r="D547" i="1"/>
  <c r="D549" i="1"/>
  <c r="D550" i="1"/>
  <c r="D551" i="1"/>
  <c r="D552" i="1"/>
  <c r="D553" i="1"/>
  <c r="D554" i="1"/>
  <c r="D555" i="1"/>
  <c r="D556" i="1"/>
  <c r="D557" i="1"/>
  <c r="D558" i="1"/>
  <c r="D559" i="1"/>
  <c r="D560" i="1"/>
  <c r="D561" i="1"/>
  <c r="D562" i="1"/>
  <c r="D563" i="1"/>
  <c r="D564" i="1"/>
  <c r="D565" i="1"/>
  <c r="D566" i="1"/>
  <c r="D567" i="1"/>
  <c r="D568" i="1"/>
  <c r="D569" i="1"/>
  <c r="D570" i="1"/>
  <c r="D571" i="1"/>
  <c r="D573" i="1"/>
  <c r="D574" i="1"/>
  <c r="D575" i="1"/>
  <c r="D576" i="1"/>
  <c r="D577" i="1"/>
  <c r="D578" i="1"/>
  <c r="D579" i="1"/>
  <c r="D581" i="1"/>
  <c r="D582" i="1"/>
  <c r="D583" i="1"/>
  <c r="D584" i="1"/>
  <c r="D585" i="1"/>
  <c r="D586" i="1"/>
  <c r="D587" i="1"/>
  <c r="D588" i="1"/>
  <c r="D589" i="1"/>
  <c r="D590" i="1"/>
  <c r="D591" i="1"/>
  <c r="D592" i="1"/>
  <c r="D593" i="1"/>
  <c r="D594" i="1"/>
  <c r="D595" i="1"/>
  <c r="D597" i="1"/>
  <c r="D598" i="1"/>
  <c r="D599" i="1"/>
  <c r="D600" i="1"/>
  <c r="D601" i="1"/>
  <c r="D602" i="1"/>
  <c r="D603" i="1"/>
  <c r="D605" i="1"/>
  <c r="D606" i="1"/>
  <c r="D607" i="1"/>
  <c r="D608" i="1"/>
  <c r="D609" i="1"/>
  <c r="D610" i="1"/>
  <c r="D611" i="1"/>
  <c r="D613" i="1"/>
  <c r="D614" i="1"/>
  <c r="D615" i="1"/>
  <c r="D616" i="1"/>
  <c r="D617" i="1"/>
  <c r="D618" i="1"/>
  <c r="D619" i="1"/>
  <c r="D620" i="1"/>
  <c r="D621" i="1"/>
  <c r="D622" i="1"/>
  <c r="D623" i="1"/>
  <c r="D624" i="1"/>
  <c r="D625" i="1"/>
  <c r="D626" i="1"/>
  <c r="D627" i="1"/>
  <c r="D629" i="1"/>
  <c r="D630" i="1"/>
  <c r="D631" i="1"/>
  <c r="D632" i="1"/>
  <c r="D633" i="1"/>
  <c r="D634" i="1"/>
  <c r="D635"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5" i="1"/>
  <c r="D666" i="1"/>
  <c r="D667" i="1"/>
  <c r="D668" i="1"/>
  <c r="D669" i="1"/>
  <c r="D670" i="1"/>
  <c r="D673" i="1"/>
  <c r="D674" i="1"/>
  <c r="D675" i="1"/>
  <c r="D676" i="1"/>
  <c r="D677" i="1"/>
  <c r="D678" i="1"/>
  <c r="D679" i="1"/>
  <c r="D680" i="1"/>
  <c r="D681" i="1"/>
  <c r="D682" i="1"/>
  <c r="D683" i="1"/>
  <c r="D684" i="1"/>
  <c r="D685" i="1"/>
  <c r="D686" i="1"/>
  <c r="D687" i="1"/>
  <c r="D689" i="1"/>
  <c r="D690" i="1"/>
  <c r="D691" i="1"/>
  <c r="D692" i="1"/>
  <c r="D693" i="1"/>
  <c r="D694" i="1"/>
  <c r="D695" i="1"/>
  <c r="D696" i="1"/>
  <c r="D697" i="1"/>
  <c r="D698" i="1"/>
  <c r="D699" i="1"/>
  <c r="D700" i="1"/>
  <c r="D701" i="1"/>
  <c r="D702" i="1"/>
  <c r="D703" i="1"/>
  <c r="D705" i="1"/>
  <c r="D706" i="1"/>
  <c r="D707" i="1"/>
  <c r="D708" i="1"/>
  <c r="D709" i="1"/>
  <c r="D710" i="1"/>
  <c r="D711" i="1"/>
  <c r="D713" i="1"/>
  <c r="D714" i="1"/>
  <c r="D715" i="1"/>
  <c r="D716" i="1"/>
  <c r="D717" i="1"/>
  <c r="D718" i="1"/>
  <c r="D719" i="1"/>
  <c r="D721" i="1"/>
  <c r="D722" i="1"/>
  <c r="D723" i="1"/>
  <c r="D724" i="1"/>
  <c r="D725" i="1"/>
  <c r="D726" i="1"/>
  <c r="D727" i="1"/>
  <c r="D728" i="1"/>
  <c r="D729" i="1"/>
  <c r="D730" i="1"/>
  <c r="D731" i="1"/>
  <c r="D732" i="1"/>
  <c r="D733" i="1"/>
  <c r="D734" i="1"/>
  <c r="D735" i="1"/>
  <c r="D737" i="1"/>
  <c r="D738" i="1"/>
  <c r="D739" i="1"/>
  <c r="D741" i="1"/>
  <c r="D742" i="1"/>
  <c r="D743" i="1"/>
  <c r="D744" i="1"/>
  <c r="D745" i="1"/>
  <c r="D746" i="1"/>
  <c r="D747" i="1"/>
  <c r="D748" i="1"/>
  <c r="D749" i="1"/>
  <c r="D750" i="1"/>
  <c r="D751" i="1"/>
  <c r="D752" i="1"/>
  <c r="D753" i="1"/>
  <c r="D754" i="1"/>
  <c r="D755" i="1"/>
  <c r="D757" i="1"/>
  <c r="D758" i="1"/>
  <c r="D759" i="1"/>
  <c r="D760" i="1"/>
  <c r="D761" i="1"/>
  <c r="D762" i="1"/>
  <c r="D763" i="1"/>
  <c r="D764" i="1"/>
  <c r="D765" i="1"/>
  <c r="D766" i="1"/>
  <c r="D767" i="1"/>
  <c r="D768" i="1"/>
  <c r="D769" i="1"/>
  <c r="D770" i="1"/>
  <c r="D771" i="1"/>
  <c r="D773" i="1"/>
  <c r="D774" i="1"/>
  <c r="D775" i="1"/>
  <c r="D777" i="1"/>
  <c r="D778" i="1"/>
  <c r="D779" i="1"/>
  <c r="D781" i="1"/>
  <c r="D782" i="1"/>
  <c r="D783" i="1"/>
  <c r="D785" i="1"/>
  <c r="D786" i="1"/>
  <c r="D787" i="1"/>
  <c r="D789" i="1"/>
  <c r="D790" i="1"/>
  <c r="D791" i="1"/>
  <c r="D793" i="1"/>
  <c r="D794" i="1"/>
  <c r="D795" i="1"/>
  <c r="D797" i="1"/>
  <c r="D798" i="1"/>
  <c r="D799" i="1"/>
  <c r="D801" i="1"/>
  <c r="D802" i="1"/>
  <c r="D803" i="1"/>
  <c r="D804" i="1"/>
  <c r="D805" i="1"/>
  <c r="D806" i="1"/>
  <c r="D807" i="1"/>
  <c r="D808" i="1"/>
  <c r="D809" i="1"/>
  <c r="D810" i="1"/>
  <c r="D811" i="1"/>
  <c r="D813" i="1"/>
  <c r="D814" i="1"/>
  <c r="D815" i="1"/>
  <c r="D816" i="1"/>
  <c r="D817" i="1"/>
  <c r="D818" i="1"/>
  <c r="D819" i="1"/>
  <c r="D821" i="1"/>
  <c r="D822" i="1"/>
  <c r="D823" i="1"/>
  <c r="D824" i="1"/>
  <c r="D825" i="1"/>
  <c r="D826" i="1"/>
  <c r="D827" i="1"/>
  <c r="D829" i="1"/>
  <c r="D830" i="1"/>
  <c r="D831" i="1"/>
  <c r="D832" i="1"/>
  <c r="D833" i="1"/>
  <c r="D834" i="1"/>
  <c r="D835" i="1"/>
  <c r="D836" i="1"/>
  <c r="D837" i="1"/>
  <c r="D838" i="1"/>
  <c r="D839" i="1"/>
  <c r="D840" i="1"/>
  <c r="D841" i="1"/>
  <c r="D842" i="1"/>
  <c r="D843" i="1"/>
  <c r="D845" i="1"/>
  <c r="D846" i="1"/>
  <c r="D847" i="1"/>
  <c r="D848" i="1"/>
  <c r="D849" i="1"/>
  <c r="D850" i="1"/>
  <c r="D851" i="1"/>
  <c r="D852" i="1"/>
  <c r="D853" i="1"/>
  <c r="D854" i="1"/>
  <c r="D855" i="1"/>
  <c r="D856" i="1"/>
  <c r="D857" i="1"/>
  <c r="D858" i="1"/>
  <c r="D859" i="1"/>
  <c r="D861" i="1"/>
  <c r="D862" i="1"/>
  <c r="D863" i="1"/>
  <c r="D864" i="1"/>
  <c r="D865" i="1"/>
  <c r="D866" i="1"/>
  <c r="D867" i="1"/>
  <c r="D868" i="1"/>
  <c r="D869" i="1"/>
  <c r="D870" i="1"/>
  <c r="D871" i="1"/>
  <c r="D873" i="1"/>
  <c r="D874" i="1"/>
  <c r="D875" i="1"/>
  <c r="D876" i="1"/>
  <c r="D877" i="1"/>
  <c r="D878" i="1"/>
  <c r="D879" i="1"/>
  <c r="D880" i="1"/>
  <c r="D881" i="1"/>
  <c r="D882" i="1"/>
  <c r="D883" i="1"/>
  <c r="D885" i="1"/>
  <c r="D886" i="1"/>
  <c r="D887" i="1"/>
  <c r="D888" i="1"/>
  <c r="D889" i="1"/>
  <c r="D890" i="1"/>
  <c r="D891" i="1"/>
  <c r="D892" i="1"/>
  <c r="D893" i="1"/>
  <c r="D894" i="1"/>
  <c r="D895" i="1"/>
  <c r="D896" i="1"/>
  <c r="D897" i="1"/>
  <c r="D898" i="1"/>
  <c r="D899" i="1"/>
  <c r="D900" i="1"/>
  <c r="D901" i="1"/>
  <c r="D902" i="1"/>
  <c r="D903" i="1"/>
  <c r="D905" i="1"/>
  <c r="D906" i="1"/>
  <c r="D907" i="1"/>
  <c r="D908" i="1"/>
  <c r="D909" i="1"/>
  <c r="D910" i="1"/>
  <c r="D911" i="1"/>
  <c r="D912" i="1"/>
  <c r="D913" i="1"/>
  <c r="D914" i="1"/>
  <c r="D915" i="1"/>
  <c r="D916" i="1"/>
  <c r="D917" i="1"/>
  <c r="D918" i="1"/>
  <c r="D919" i="1"/>
  <c r="D920" i="1"/>
  <c r="D921" i="1"/>
  <c r="D922" i="1"/>
  <c r="D923" i="1"/>
  <c r="D925" i="1"/>
  <c r="D926" i="1"/>
  <c r="D927" i="1"/>
  <c r="D928" i="1"/>
  <c r="D929" i="1"/>
  <c r="D930" i="1"/>
  <c r="D931" i="1"/>
  <c r="D932" i="1"/>
  <c r="D933" i="1"/>
  <c r="D934" i="1"/>
  <c r="D935" i="1"/>
  <c r="D936" i="1"/>
  <c r="D937" i="1"/>
  <c r="D938" i="1"/>
  <c r="D939" i="1"/>
  <c r="D941" i="1"/>
  <c r="D942" i="1"/>
  <c r="D943" i="1"/>
  <c r="D944" i="1"/>
  <c r="D945" i="1"/>
  <c r="D946" i="1"/>
  <c r="D947" i="1"/>
  <c r="D949" i="1"/>
  <c r="D950" i="1"/>
  <c r="D951" i="1"/>
  <c r="D952" i="1"/>
  <c r="D953" i="1"/>
  <c r="D954" i="1"/>
  <c r="D955" i="1"/>
  <c r="D956" i="1"/>
  <c r="D957" i="1"/>
  <c r="D958" i="1"/>
  <c r="D959" i="1"/>
  <c r="D960" i="1"/>
  <c r="D961" i="1"/>
  <c r="D962" i="1"/>
  <c r="D963" i="1"/>
  <c r="D965" i="1"/>
  <c r="D966" i="1"/>
  <c r="D967" i="1"/>
  <c r="D968" i="1"/>
  <c r="D969" i="1"/>
  <c r="D970" i="1"/>
  <c r="D971" i="1"/>
  <c r="D972" i="1"/>
  <c r="D973" i="1"/>
  <c r="D974" i="1"/>
  <c r="D975" i="1"/>
  <c r="D976" i="1"/>
  <c r="D977" i="1"/>
  <c r="D978" i="1"/>
  <c r="D979" i="1"/>
  <c r="D980" i="1"/>
  <c r="D981" i="1"/>
  <c r="D982" i="1"/>
  <c r="D983" i="1"/>
  <c r="D984" i="1"/>
  <c r="D985" i="1"/>
  <c r="D986" i="1"/>
  <c r="D987" i="1"/>
  <c r="D989" i="1"/>
  <c r="D990" i="1"/>
  <c r="D991" i="1"/>
  <c r="D992" i="1"/>
  <c r="D993" i="1"/>
  <c r="D994" i="1"/>
  <c r="D995" i="1"/>
  <c r="D996" i="1"/>
  <c r="D997" i="1"/>
  <c r="D998" i="1"/>
  <c r="D999" i="1"/>
  <c r="D1000" i="1"/>
  <c r="D28" i="1"/>
  <c r="D29" i="1"/>
  <c r="D36" i="1"/>
  <c r="D44" i="1"/>
  <c r="D52" i="1"/>
  <c r="D60" i="1"/>
  <c r="D68" i="1"/>
  <c r="D84" i="1"/>
  <c r="D92" i="1"/>
  <c r="D100" i="1"/>
  <c r="D116" i="1"/>
  <c r="D124" i="1"/>
  <c r="D132" i="1"/>
  <c r="D145" i="1"/>
  <c r="D152" i="1"/>
  <c r="D160" i="1"/>
  <c r="D168" i="1"/>
  <c r="D184" i="1"/>
  <c r="D192" i="1"/>
  <c r="D200" i="1"/>
  <c r="D216" i="1"/>
  <c r="D224" i="1"/>
  <c r="D232" i="1"/>
  <c r="D248" i="1"/>
  <c r="D256" i="1"/>
  <c r="D264" i="1"/>
  <c r="D276" i="1"/>
  <c r="D283" i="1"/>
  <c r="D284" i="1"/>
  <c r="D292" i="1"/>
  <c r="D308" i="1"/>
  <c r="D316" i="1"/>
  <c r="D324" i="1"/>
  <c r="D340" i="1"/>
  <c r="D348" i="1"/>
  <c r="D356" i="1"/>
  <c r="D372" i="1"/>
  <c r="D380" i="1"/>
  <c r="D388" i="1"/>
  <c r="D404" i="1"/>
  <c r="D408" i="1"/>
  <c r="D412" i="1"/>
  <c r="D416" i="1"/>
  <c r="D432" i="1"/>
  <c r="D440" i="1"/>
  <c r="D448" i="1"/>
  <c r="D464" i="1"/>
  <c r="D472" i="1"/>
  <c r="D488" i="1"/>
  <c r="D496" i="1"/>
  <c r="D504" i="1"/>
  <c r="D520" i="1"/>
  <c r="D528" i="1"/>
  <c r="D529" i="1"/>
  <c r="D531" i="1"/>
  <c r="D536" i="1"/>
  <c r="D548" i="1"/>
  <c r="D572" i="1"/>
  <c r="D580" i="1"/>
  <c r="D596" i="1"/>
  <c r="D604" i="1"/>
  <c r="D612" i="1"/>
  <c r="D628" i="1"/>
  <c r="D636" i="1"/>
  <c r="D664" i="1"/>
  <c r="D671" i="1"/>
  <c r="D672" i="1"/>
  <c r="D688" i="1"/>
  <c r="D704" i="1"/>
  <c r="D712" i="1"/>
  <c r="D720" i="1"/>
  <c r="D736" i="1"/>
  <c r="D740" i="1"/>
  <c r="D756" i="1"/>
  <c r="D772" i="1"/>
  <c r="D776" i="1"/>
  <c r="D780" i="1"/>
  <c r="D784" i="1"/>
  <c r="D788" i="1"/>
  <c r="D792" i="1"/>
  <c r="D796" i="1"/>
  <c r="D800" i="1"/>
  <c r="D812" i="1"/>
  <c r="D820" i="1"/>
  <c r="D828" i="1"/>
  <c r="D844" i="1"/>
  <c r="D860" i="1"/>
  <c r="D872" i="1"/>
  <c r="D884" i="1"/>
  <c r="D904" i="1"/>
  <c r="D924" i="1"/>
  <c r="D940" i="1"/>
  <c r="D948" i="1"/>
  <c r="D964" i="1"/>
  <c r="D988" i="1"/>
  <c r="N7" i="6" l="1"/>
  <c r="N8" i="6"/>
  <c r="N34" i="6"/>
  <c r="N33" i="6" l="1"/>
  <c r="N35" i="6" s="1"/>
  <c r="I163" i="11" l="1"/>
  <c r="E163" i="11"/>
  <c r="I147" i="11"/>
  <c r="E147" i="11"/>
  <c r="I131" i="11"/>
  <c r="E131" i="11"/>
  <c r="I115" i="11"/>
  <c r="E115" i="11"/>
  <c r="I162" i="11"/>
  <c r="G162" i="11"/>
  <c r="E162" i="11"/>
  <c r="I146" i="11"/>
  <c r="G146" i="11"/>
  <c r="E146" i="11"/>
  <c r="I130" i="11"/>
  <c r="G130" i="11"/>
  <c r="E130" i="11"/>
  <c r="I114" i="11"/>
  <c r="G114" i="11"/>
  <c r="E114" i="11"/>
  <c r="I161" i="11"/>
  <c r="G161" i="11"/>
  <c r="E161" i="11"/>
  <c r="I145" i="11"/>
  <c r="G145" i="11"/>
  <c r="E145" i="11"/>
  <c r="I129" i="11"/>
  <c r="G129" i="11"/>
  <c r="E129" i="11"/>
  <c r="I113" i="11"/>
  <c r="G113" i="11"/>
  <c r="E113" i="11"/>
  <c r="I160" i="11"/>
  <c r="G160" i="11"/>
  <c r="E160" i="11"/>
  <c r="I144" i="11"/>
  <c r="G144" i="11"/>
  <c r="E144" i="11"/>
  <c r="I128" i="11"/>
  <c r="G128" i="11"/>
  <c r="E128" i="11"/>
  <c r="I112" i="11"/>
  <c r="G112" i="11"/>
  <c r="E112" i="11"/>
  <c r="I159" i="11"/>
  <c r="G159" i="11"/>
  <c r="E159" i="11"/>
  <c r="I143" i="11"/>
  <c r="G143" i="11"/>
  <c r="E143" i="11"/>
  <c r="I127" i="11"/>
  <c r="G127" i="11"/>
  <c r="E127" i="11"/>
  <c r="I111" i="11"/>
  <c r="G111" i="11"/>
  <c r="E111" i="11"/>
  <c r="I158" i="11"/>
  <c r="G158" i="11"/>
  <c r="E158" i="11"/>
  <c r="I142" i="11"/>
  <c r="G142" i="11"/>
  <c r="E142" i="11"/>
  <c r="I126" i="11"/>
  <c r="G126" i="11"/>
  <c r="E126" i="11"/>
  <c r="I110" i="11"/>
  <c r="G110" i="11"/>
  <c r="E110" i="11"/>
  <c r="I157" i="11"/>
  <c r="G157" i="11"/>
  <c r="E157" i="11"/>
  <c r="I141" i="11"/>
  <c r="G141" i="11"/>
  <c r="E141" i="11"/>
  <c r="I125" i="11"/>
  <c r="G125" i="11"/>
  <c r="E125" i="11"/>
  <c r="I109" i="11"/>
  <c r="G109" i="11"/>
  <c r="E109" i="11"/>
  <c r="I156" i="11"/>
  <c r="G156" i="11"/>
  <c r="E156" i="11"/>
  <c r="I140" i="11"/>
  <c r="G140" i="11"/>
  <c r="E140" i="11"/>
  <c r="I124" i="11"/>
  <c r="G124" i="11"/>
  <c r="E124" i="11"/>
  <c r="I108" i="11"/>
  <c r="G108" i="11"/>
  <c r="E108" i="11"/>
  <c r="I155" i="11"/>
  <c r="G155" i="11"/>
  <c r="E155" i="11"/>
  <c r="I139" i="11"/>
  <c r="G139" i="11"/>
  <c r="E139" i="11"/>
  <c r="I123" i="11"/>
  <c r="G123" i="11"/>
  <c r="E123" i="11"/>
  <c r="I107" i="11"/>
  <c r="G107" i="11"/>
  <c r="E107" i="11"/>
  <c r="I154" i="11"/>
  <c r="G154" i="11"/>
  <c r="E154" i="11"/>
  <c r="I138" i="11"/>
  <c r="G138" i="11"/>
  <c r="E138" i="11"/>
  <c r="I122" i="11"/>
  <c r="G122" i="11"/>
  <c r="E122" i="11"/>
  <c r="I106" i="11"/>
  <c r="G106" i="11"/>
  <c r="E106" i="11"/>
  <c r="I153" i="11"/>
  <c r="G153" i="11"/>
  <c r="E153" i="11"/>
  <c r="I137" i="11"/>
  <c r="G137" i="11"/>
  <c r="E137" i="11"/>
  <c r="I121" i="11"/>
  <c r="G121" i="11"/>
  <c r="E121" i="11"/>
  <c r="I105" i="11"/>
  <c r="G105" i="11"/>
  <c r="E105" i="11"/>
  <c r="I152" i="11"/>
  <c r="G152" i="11"/>
  <c r="E152" i="11"/>
  <c r="I136" i="11"/>
  <c r="G136" i="11"/>
  <c r="E136" i="11"/>
  <c r="I120" i="11"/>
  <c r="G120" i="11"/>
  <c r="E120" i="11"/>
  <c r="I104" i="11"/>
  <c r="G104" i="11"/>
  <c r="E104" i="11"/>
  <c r="I151" i="11"/>
  <c r="G151" i="11"/>
  <c r="E151" i="11"/>
  <c r="I135" i="11"/>
  <c r="G135" i="11"/>
  <c r="E135" i="11"/>
  <c r="I119" i="11"/>
  <c r="G119" i="11"/>
  <c r="E119" i="11"/>
  <c r="I103" i="11"/>
  <c r="G103" i="11"/>
  <c r="E103" i="11"/>
  <c r="I150" i="11"/>
  <c r="G150" i="11"/>
  <c r="E150" i="11"/>
  <c r="I134" i="11"/>
  <c r="G134" i="11"/>
  <c r="E134" i="11"/>
  <c r="I118" i="11"/>
  <c r="G118" i="11"/>
  <c r="E118" i="11"/>
  <c r="I102" i="11"/>
  <c r="G102" i="11"/>
  <c r="E102" i="11"/>
  <c r="I149" i="11"/>
  <c r="G149" i="11"/>
  <c r="E149" i="11"/>
  <c r="I133" i="11"/>
  <c r="G133" i="11"/>
  <c r="E133" i="11"/>
  <c r="I117" i="11"/>
  <c r="G117" i="11"/>
  <c r="E117" i="11"/>
  <c r="I101" i="11"/>
  <c r="G101" i="11"/>
  <c r="E101" i="11"/>
  <c r="I37" i="11" l="1"/>
  <c r="G86" i="11"/>
  <c r="I53" i="11"/>
  <c r="I50" i="11"/>
  <c r="G37" i="11"/>
  <c r="E85" i="11"/>
  <c r="E86" i="11"/>
  <c r="G85" i="11"/>
  <c r="I99" i="11"/>
  <c r="G82" i="11"/>
  <c r="I67" i="11"/>
  <c r="G10" i="11"/>
  <c r="I87" i="11"/>
  <c r="E89" i="11"/>
  <c r="G90" i="11"/>
  <c r="I91" i="11"/>
  <c r="E93" i="11"/>
  <c r="G94" i="11"/>
  <c r="I95" i="11"/>
  <c r="E97" i="11"/>
  <c r="G98" i="11"/>
  <c r="I86" i="11"/>
  <c r="E88" i="11"/>
  <c r="G89" i="11"/>
  <c r="I90" i="11"/>
  <c r="E92" i="11"/>
  <c r="G93" i="11"/>
  <c r="I94" i="11"/>
  <c r="E96" i="11"/>
  <c r="G97" i="11"/>
  <c r="I98" i="11"/>
  <c r="I85" i="11"/>
  <c r="E87" i="11"/>
  <c r="G88" i="11"/>
  <c r="I89" i="11"/>
  <c r="E91" i="11"/>
  <c r="G92" i="11"/>
  <c r="I93" i="11"/>
  <c r="E95" i="11"/>
  <c r="G96" i="11"/>
  <c r="I97" i="11"/>
  <c r="E99" i="11"/>
  <c r="G87" i="11"/>
  <c r="I88" i="11"/>
  <c r="E90" i="11"/>
  <c r="G91" i="11"/>
  <c r="I92" i="11"/>
  <c r="E94" i="11"/>
  <c r="G95" i="11"/>
  <c r="I96" i="11"/>
  <c r="E98" i="11"/>
  <c r="E69" i="11"/>
  <c r="I70" i="11"/>
  <c r="E71" i="11"/>
  <c r="I72" i="11"/>
  <c r="E73" i="11"/>
  <c r="I74" i="11"/>
  <c r="E75" i="11"/>
  <c r="I76" i="11"/>
  <c r="E77" i="11"/>
  <c r="I78" i="11"/>
  <c r="E79" i="11"/>
  <c r="I80" i="11"/>
  <c r="E81" i="11"/>
  <c r="I82" i="11"/>
  <c r="E83" i="11"/>
  <c r="G71" i="11"/>
  <c r="G73" i="11"/>
  <c r="G75" i="11"/>
  <c r="G77" i="11"/>
  <c r="G79" i="11"/>
  <c r="G81" i="11"/>
  <c r="I83" i="11"/>
  <c r="G69" i="11"/>
  <c r="I69" i="11"/>
  <c r="E70" i="11"/>
  <c r="I71" i="11"/>
  <c r="E72" i="11"/>
  <c r="I73" i="11"/>
  <c r="E74" i="11"/>
  <c r="I75" i="11"/>
  <c r="E76" i="11"/>
  <c r="I77" i="11"/>
  <c r="E78" i="11"/>
  <c r="I79" i="11"/>
  <c r="E80" i="11"/>
  <c r="I81" i="11"/>
  <c r="E82" i="11"/>
  <c r="G70" i="11"/>
  <c r="G72" i="11"/>
  <c r="G74" i="11"/>
  <c r="G76" i="11"/>
  <c r="G78" i="11"/>
  <c r="G80" i="11"/>
  <c r="E53" i="11"/>
  <c r="I55" i="11"/>
  <c r="G56" i="11"/>
  <c r="E57" i="11"/>
  <c r="I59" i="11"/>
  <c r="G60" i="11"/>
  <c r="E61" i="11"/>
  <c r="I63" i="11"/>
  <c r="G64" i="11"/>
  <c r="E65" i="11"/>
  <c r="G53" i="11"/>
  <c r="E54" i="11"/>
  <c r="I56" i="11"/>
  <c r="G57" i="11"/>
  <c r="E58" i="11"/>
  <c r="I60" i="11"/>
  <c r="G61" i="11"/>
  <c r="E62" i="11"/>
  <c r="I64" i="11"/>
  <c r="G65" i="11"/>
  <c r="E66" i="11"/>
  <c r="G54" i="11"/>
  <c r="E55" i="11"/>
  <c r="I57" i="11"/>
  <c r="G58" i="11"/>
  <c r="E59" i="11"/>
  <c r="I61" i="11"/>
  <c r="G62" i="11"/>
  <c r="E63" i="11"/>
  <c r="I65" i="11"/>
  <c r="G66" i="11"/>
  <c r="E67" i="11"/>
  <c r="I54" i="11"/>
  <c r="G55" i="11"/>
  <c r="E56" i="11"/>
  <c r="I58" i="11"/>
  <c r="G59" i="11"/>
  <c r="E60" i="11"/>
  <c r="I62" i="11"/>
  <c r="G63" i="11"/>
  <c r="E64" i="11"/>
  <c r="I66" i="11"/>
  <c r="E37" i="11"/>
  <c r="E38" i="11"/>
  <c r="E39" i="11"/>
  <c r="E40" i="11"/>
  <c r="E41" i="11"/>
  <c r="E42" i="11"/>
  <c r="E43" i="11"/>
  <c r="E44" i="11"/>
  <c r="E45" i="11"/>
  <c r="E46" i="11"/>
  <c r="E47" i="11"/>
  <c r="E48" i="11"/>
  <c r="E49" i="11"/>
  <c r="E50" i="11"/>
  <c r="E51" i="11"/>
  <c r="G38" i="11"/>
  <c r="G39" i="11"/>
  <c r="G40" i="11"/>
  <c r="G41" i="11"/>
  <c r="G42" i="11"/>
  <c r="G43" i="11"/>
  <c r="G44" i="11"/>
  <c r="G45" i="11"/>
  <c r="G46" i="11"/>
  <c r="G47" i="11"/>
  <c r="G48" i="11"/>
  <c r="G49" i="11"/>
  <c r="G50" i="11"/>
  <c r="I38" i="11"/>
  <c r="I40" i="11"/>
  <c r="I41" i="11"/>
  <c r="I42" i="11"/>
  <c r="I43" i="11"/>
  <c r="I44" i="11"/>
  <c r="I45" i="11"/>
  <c r="I46" i="11"/>
  <c r="I47" i="11"/>
  <c r="I48" i="11"/>
  <c r="I49" i="11"/>
  <c r="N1001" i="1"/>
  <c r="E35" i="11"/>
  <c r="M1004" i="1"/>
  <c r="N1004" i="1"/>
  <c r="M1001" i="1"/>
  <c r="N1002" i="1"/>
  <c r="N1003" i="1"/>
  <c r="M1002" i="1"/>
  <c r="M1003" i="1"/>
  <c r="E27" i="11"/>
  <c r="E21" i="11"/>
  <c r="I24" i="11"/>
  <c r="E25" i="11"/>
  <c r="G12" i="11"/>
  <c r="G14" i="11"/>
  <c r="E23" i="11"/>
  <c r="I28" i="11"/>
  <c r="E31" i="11"/>
  <c r="N18" i="6"/>
  <c r="G6" i="11"/>
  <c r="G8" i="11"/>
  <c r="I26" i="11"/>
  <c r="E29" i="11"/>
  <c r="G16" i="11"/>
  <c r="I32" i="11"/>
  <c r="E33" i="11"/>
  <c r="G18" i="11"/>
  <c r="I34" i="11"/>
  <c r="N11" i="6"/>
  <c r="N15" i="6"/>
  <c r="N19" i="6"/>
  <c r="E5" i="11"/>
  <c r="G21" i="11"/>
  <c r="E7" i="11"/>
  <c r="G23" i="11"/>
  <c r="I8" i="11"/>
  <c r="E9" i="11"/>
  <c r="G25" i="11"/>
  <c r="I10" i="11"/>
  <c r="E11" i="11"/>
  <c r="G27" i="11"/>
  <c r="E13" i="11"/>
  <c r="G29" i="11"/>
  <c r="I14" i="11"/>
  <c r="E15" i="11"/>
  <c r="G31" i="11"/>
  <c r="I16" i="11"/>
  <c r="E17" i="11"/>
  <c r="G33" i="11"/>
  <c r="I18" i="11"/>
  <c r="E19" i="11"/>
  <c r="N12" i="6"/>
  <c r="N16" i="6"/>
  <c r="N20" i="6"/>
  <c r="G5" i="11"/>
  <c r="E22" i="11"/>
  <c r="G7" i="11"/>
  <c r="E24" i="11"/>
  <c r="G9" i="11"/>
  <c r="E26" i="11"/>
  <c r="G11" i="11"/>
  <c r="I27" i="11"/>
  <c r="E28" i="11"/>
  <c r="G13" i="11"/>
  <c r="I29" i="11"/>
  <c r="E30" i="11"/>
  <c r="G15" i="11"/>
  <c r="I31" i="11"/>
  <c r="E32" i="11"/>
  <c r="G17" i="11"/>
  <c r="I33" i="11"/>
  <c r="E34" i="11"/>
  <c r="N13" i="6"/>
  <c r="N17" i="6"/>
  <c r="N21" i="6"/>
  <c r="E6" i="11"/>
  <c r="G22" i="11"/>
  <c r="E8" i="11"/>
  <c r="G24" i="11"/>
  <c r="E10" i="11"/>
  <c r="G26" i="11"/>
  <c r="I11" i="11"/>
  <c r="E12" i="11"/>
  <c r="G28" i="11"/>
  <c r="I13" i="11"/>
  <c r="E14" i="11"/>
  <c r="G30" i="11"/>
  <c r="I15" i="11"/>
  <c r="E16" i="11"/>
  <c r="G32" i="11"/>
  <c r="I17" i="11"/>
  <c r="E18" i="11"/>
  <c r="G34" i="11"/>
  <c r="N10" i="6"/>
  <c r="N14" i="6"/>
  <c r="E201" i="12"/>
  <c r="M1005" i="1" l="1"/>
  <c r="N1005" i="1"/>
  <c r="H14" i="7" l="1"/>
  <c r="L40" i="6" l="1"/>
  <c r="L24" i="14" l="1"/>
  <c r="L24" i="7"/>
  <c r="E2" i="11"/>
  <c r="I12" i="11" l="1"/>
  <c r="I9" i="11" l="1"/>
  <c r="O1001" i="1"/>
  <c r="I6" i="11"/>
  <c r="I7" i="11"/>
  <c r="I19" i="11"/>
  <c r="I5" i="11"/>
  <c r="J9" i="6" l="1"/>
  <c r="I39" i="11" l="1"/>
  <c r="I51" i="11"/>
  <c r="O1004" i="1"/>
  <c r="I25" i="11"/>
  <c r="O1003" i="1"/>
  <c r="I30" i="11"/>
  <c r="O1002" i="1"/>
  <c r="I21" i="11"/>
  <c r="I22" i="11"/>
  <c r="I35" i="11"/>
  <c r="I23" i="11"/>
  <c r="J35" i="6"/>
  <c r="O1005" i="1" l="1"/>
  <c r="N23" i="6"/>
  <c r="R21" i="6" l="1"/>
  <c r="R31" i="6" l="1"/>
  <c r="N36" i="6"/>
  <c r="R35" i="6" l="1"/>
  <c r="G132" i="11" l="1"/>
  <c r="E148" i="11"/>
  <c r="I148" i="11"/>
  <c r="G164" i="11"/>
  <c r="E164" i="11"/>
  <c r="I164" i="11"/>
  <c r="G148" i="11"/>
  <c r="I132" i="11"/>
  <c r="E132" i="11" l="1"/>
  <c r="G100" i="11"/>
  <c r="E116" i="11"/>
  <c r="I116" i="11"/>
  <c r="G116" i="11"/>
  <c r="G84" i="11"/>
  <c r="E100" i="11"/>
  <c r="I100" i="11"/>
  <c r="E68" i="11"/>
  <c r="E52" i="11"/>
  <c r="E84" i="11"/>
  <c r="I84" i="11"/>
  <c r="G68" i="11"/>
  <c r="I68" i="11"/>
  <c r="G52" i="11"/>
  <c r="I52" i="11"/>
  <c r="I36" i="11" l="1"/>
  <c r="G36" i="11"/>
  <c r="L12" i="7" l="1"/>
  <c r="E40" i="6" l="1"/>
  <c r="F24" i="14" s="1"/>
  <c r="J22" i="6"/>
  <c r="J24" i="6" s="1"/>
  <c r="F24" i="7" l="1"/>
  <c r="R32" i="6" l="1"/>
  <c r="R33" i="6"/>
  <c r="R34" i="6"/>
  <c r="E36" i="11" l="1"/>
  <c r="R14" i="6"/>
  <c r="R8" i="6"/>
  <c r="R17" i="6"/>
  <c r="R13" i="6"/>
  <c r="R20" i="6"/>
  <c r="R16" i="6"/>
  <c r="R12" i="6"/>
  <c r="R7" i="6"/>
  <c r="R19" i="6"/>
  <c r="R15" i="6"/>
  <c r="R11" i="6"/>
  <c r="R18" i="6" l="1"/>
  <c r="N9" i="6"/>
  <c r="N22" i="6" s="1"/>
  <c r="G20" i="11"/>
  <c r="G165" i="11" s="1"/>
  <c r="R10" i="6"/>
  <c r="R9" i="6" l="1"/>
  <c r="E20" i="11" l="1"/>
  <c r="E165" i="11" s="1"/>
  <c r="I20" i="11"/>
  <c r="R22" i="6"/>
  <c r="I165" i="11" l="1"/>
  <c r="N24" i="6" l="1"/>
  <c r="H19" i="6" s="1"/>
  <c r="X19" i="6" l="1"/>
  <c r="B26" i="6"/>
  <c r="R23" i="6"/>
  <c r="B40" i="6"/>
  <c r="R24" i="6"/>
  <c r="H40" i="6" l="1"/>
  <c r="C24" i="14"/>
  <c r="H24" i="14" s="1"/>
  <c r="J24" i="14" s="1"/>
  <c r="Q24" i="14" s="1"/>
  <c r="V24" i="14" s="1"/>
  <c r="C24" i="7"/>
  <c r="J40" i="6" l="1"/>
  <c r="P40" i="6" s="1"/>
  <c r="H24" i="7"/>
  <c r="J24" i="7" s="1"/>
  <c r="R40" i="6" l="1"/>
  <c r="X43" i="6" s="1"/>
  <c r="AA10" i="6"/>
  <c r="AB10" i="6" s="1"/>
  <c r="N24" i="14"/>
  <c r="F20" i="14" s="1"/>
  <c r="N24" i="7"/>
  <c r="F20" i="7" s="1"/>
  <c r="AC10" i="6" l="1"/>
  <c r="AE10" i="6"/>
  <c r="AD10" i="6"/>
  <c r="H10" i="6"/>
  <c r="Q24" i="7"/>
  <c r="V24" i="7" s="1"/>
  <c r="AF10" i="6" l="1"/>
  <c r="B25" i="6" s="1"/>
  <c r="X1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B10" authorId="0" shapeId="0" xr:uid="{ACC6E4F1-A410-4A76-B050-F42B746B9D90}">
      <text>
        <r>
          <rPr>
            <b/>
            <sz val="9"/>
            <color indexed="81"/>
            <rFont val="MS P ゴシック"/>
            <family val="3"/>
            <charset val="128"/>
          </rPr>
          <t>賃金（職員）
／精算額</t>
        </r>
      </text>
    </comment>
    <comment ref="Z25" authorId="0" shapeId="0" xr:uid="{D1FC3D63-5D09-442A-A524-429D4ECEEF60}">
      <text>
        <r>
          <rPr>
            <sz val="9"/>
            <color indexed="81"/>
            <rFont val="MS P ゴシック"/>
            <family val="3"/>
            <charset val="128"/>
          </rPr>
          <t xml:space="preserve">上限超過の場合B26に表示するよう設定しています。
</t>
        </r>
      </text>
    </comment>
  </commentList>
</comments>
</file>

<file path=xl/sharedStrings.xml><?xml version="1.0" encoding="utf-8"?>
<sst xmlns="http://schemas.openxmlformats.org/spreadsheetml/2006/main" count="1150" uniqueCount="294">
  <si>
    <t>謝金</t>
    <rPh sb="0" eb="2">
      <t>シャキン</t>
    </rPh>
    <phoneticPr fontId="4"/>
  </si>
  <si>
    <t>消耗品費</t>
    <rPh sb="0" eb="3">
      <t>ショウモウヒン</t>
    </rPh>
    <rPh sb="3" eb="4">
      <t>ヒ</t>
    </rPh>
    <phoneticPr fontId="4"/>
  </si>
  <si>
    <t>旅費</t>
    <rPh sb="0" eb="2">
      <t>リョヒ</t>
    </rPh>
    <phoneticPr fontId="4"/>
  </si>
  <si>
    <t>光熱水費</t>
    <rPh sb="0" eb="3">
      <t>コウネツスイ</t>
    </rPh>
    <rPh sb="3" eb="4">
      <t>ヒ</t>
    </rPh>
    <phoneticPr fontId="4"/>
  </si>
  <si>
    <t>借料損料</t>
    <rPh sb="0" eb="2">
      <t>シャクリョウ</t>
    </rPh>
    <rPh sb="2" eb="4">
      <t>ソンリョウ</t>
    </rPh>
    <phoneticPr fontId="4"/>
  </si>
  <si>
    <t>保険料</t>
    <rPh sb="0" eb="3">
      <t>ホケンリョウ</t>
    </rPh>
    <phoneticPr fontId="4"/>
  </si>
  <si>
    <t>その他</t>
    <rPh sb="2" eb="3">
      <t>タ</t>
    </rPh>
    <phoneticPr fontId="4"/>
  </si>
  <si>
    <t>備品購入費</t>
    <rPh sb="0" eb="2">
      <t>ビヒン</t>
    </rPh>
    <rPh sb="2" eb="4">
      <t>コウニュウ</t>
    </rPh>
    <rPh sb="4" eb="5">
      <t>ヒ</t>
    </rPh>
    <phoneticPr fontId="4"/>
  </si>
  <si>
    <t>印刷製本費</t>
    <rPh sb="0" eb="2">
      <t>インサツ</t>
    </rPh>
    <rPh sb="2" eb="4">
      <t>セイホン</t>
    </rPh>
    <rPh sb="4" eb="5">
      <t>ヒ</t>
    </rPh>
    <phoneticPr fontId="4"/>
  </si>
  <si>
    <t>雑役務費</t>
    <rPh sb="0" eb="1">
      <t>ザツ</t>
    </rPh>
    <rPh sb="1" eb="3">
      <t>エキム</t>
    </rPh>
    <rPh sb="3" eb="4">
      <t>ヒ</t>
    </rPh>
    <phoneticPr fontId="4"/>
  </si>
  <si>
    <t>家賃</t>
    <rPh sb="0" eb="2">
      <t>ヤチン</t>
    </rPh>
    <phoneticPr fontId="4"/>
  </si>
  <si>
    <t>通信運搬費</t>
    <rPh sb="0" eb="2">
      <t>ツウシン</t>
    </rPh>
    <rPh sb="2" eb="4">
      <t>ウンパン</t>
    </rPh>
    <rPh sb="4" eb="5">
      <t>ヒ</t>
    </rPh>
    <phoneticPr fontId="4"/>
  </si>
  <si>
    <t>委託費</t>
    <rPh sb="0" eb="2">
      <t>イタク</t>
    </rPh>
    <rPh sb="2" eb="3">
      <t>ヒ</t>
    </rPh>
    <phoneticPr fontId="4"/>
  </si>
  <si>
    <t>団体名</t>
    <rPh sb="0" eb="2">
      <t>ダンタイ</t>
    </rPh>
    <rPh sb="2" eb="3">
      <t>メイ</t>
    </rPh>
    <phoneticPr fontId="4"/>
  </si>
  <si>
    <t>団体住所</t>
    <rPh sb="0" eb="2">
      <t>ダンタイ</t>
    </rPh>
    <rPh sb="2" eb="4">
      <t>ジュウショ</t>
    </rPh>
    <phoneticPr fontId="4"/>
  </si>
  <si>
    <t>代表者職名</t>
    <rPh sb="0" eb="3">
      <t>ダイヒョウシャ</t>
    </rPh>
    <rPh sb="3" eb="5">
      <t>ショクメイ</t>
    </rPh>
    <phoneticPr fontId="4"/>
  </si>
  <si>
    <t>代表者名</t>
    <rPh sb="0" eb="3">
      <t>ダイヒョウシャ</t>
    </rPh>
    <rPh sb="3" eb="4">
      <t>メイ</t>
    </rPh>
    <phoneticPr fontId="4"/>
  </si>
  <si>
    <t>受付番号</t>
    <rPh sb="0" eb="4">
      <t>ウケツケバンゴウ</t>
    </rPh>
    <phoneticPr fontId="4"/>
  </si>
  <si>
    <t>年</t>
    <rPh sb="0" eb="1">
      <t>ネン</t>
    </rPh>
    <phoneticPr fontId="4"/>
  </si>
  <si>
    <t>月</t>
    <rPh sb="0" eb="1">
      <t>ツキ</t>
    </rPh>
    <phoneticPr fontId="4"/>
  </si>
  <si>
    <t>日</t>
    <rPh sb="0" eb="1">
      <t>ニチ</t>
    </rPh>
    <phoneticPr fontId="4"/>
  </si>
  <si>
    <t>独立行政法人福祉医療機構　理事長　様</t>
    <rPh sb="0" eb="2">
      <t>ドクリツ</t>
    </rPh>
    <rPh sb="2" eb="4">
      <t>ギョウセイ</t>
    </rPh>
    <rPh sb="4" eb="6">
      <t>ホウジン</t>
    </rPh>
    <rPh sb="6" eb="8">
      <t>フクシ</t>
    </rPh>
    <rPh sb="8" eb="10">
      <t>イリョウ</t>
    </rPh>
    <rPh sb="10" eb="12">
      <t>キコウ</t>
    </rPh>
    <rPh sb="13" eb="16">
      <t>リジチョウ</t>
    </rPh>
    <rPh sb="17" eb="18">
      <t>サマ</t>
    </rPh>
    <phoneticPr fontId="4"/>
  </si>
  <si>
    <t>千円</t>
    <rPh sb="0" eb="2">
      <t>センエン</t>
    </rPh>
    <phoneticPr fontId="4"/>
  </si>
  <si>
    <t>事業</t>
    <rPh sb="0" eb="2">
      <t>ジギョウ</t>
    </rPh>
    <phoneticPr fontId="4"/>
  </si>
  <si>
    <t>円</t>
    <rPh sb="0" eb="1">
      <t>エン</t>
    </rPh>
    <phoneticPr fontId="4"/>
  </si>
  <si>
    <t>メールアドレス</t>
    <phoneticPr fontId="4"/>
  </si>
  <si>
    <t>　精 算 額 計 算 書</t>
    <rPh sb="1" eb="2">
      <t>セイ</t>
    </rPh>
    <rPh sb="3" eb="4">
      <t>サン</t>
    </rPh>
    <rPh sb="5" eb="6">
      <t>ガク</t>
    </rPh>
    <rPh sb="7" eb="8">
      <t>ケイ</t>
    </rPh>
    <rPh sb="9" eb="10">
      <t>サン</t>
    </rPh>
    <rPh sb="11" eb="12">
      <t>ショ</t>
    </rPh>
    <phoneticPr fontId="4"/>
  </si>
  <si>
    <t>　　団体名：</t>
    <rPh sb="2" eb="4">
      <t>ダンタイ</t>
    </rPh>
    <rPh sb="4" eb="5">
      <t>メイ</t>
    </rPh>
    <phoneticPr fontId="4"/>
  </si>
  <si>
    <t>科目</t>
    <rPh sb="0" eb="2">
      <t>カモク</t>
    </rPh>
    <phoneticPr fontId="4"/>
  </si>
  <si>
    <t>金額（円）</t>
    <rPh sb="0" eb="2">
      <t>キンガク</t>
    </rPh>
    <rPh sb="3" eb="4">
      <t>エン</t>
    </rPh>
    <phoneticPr fontId="4"/>
  </si>
  <si>
    <t>02.旅費</t>
    <rPh sb="3" eb="5">
      <t>リョヒ</t>
    </rPh>
    <phoneticPr fontId="4"/>
  </si>
  <si>
    <t>03．所費合計</t>
    <rPh sb="3" eb="4">
      <t>トコロ</t>
    </rPh>
    <rPh sb="4" eb="5">
      <t>ヒ</t>
    </rPh>
    <rPh sb="5" eb="7">
      <t>ゴウケイ</t>
    </rPh>
    <phoneticPr fontId="4"/>
  </si>
  <si>
    <t>03.所費</t>
    <rPh sb="3" eb="4">
      <t>トコロ</t>
    </rPh>
    <rPh sb="4" eb="5">
      <t>ヒ</t>
    </rPh>
    <phoneticPr fontId="4"/>
  </si>
  <si>
    <t>寄付金・協賛金収入</t>
    <rPh sb="0" eb="3">
      <t>キフキン</t>
    </rPh>
    <rPh sb="4" eb="7">
      <t>キョウサンキン</t>
    </rPh>
    <rPh sb="7" eb="9">
      <t>シュウニュウ</t>
    </rPh>
    <phoneticPr fontId="4"/>
  </si>
  <si>
    <t>千円</t>
    <rPh sb="0" eb="1">
      <t>セン</t>
    </rPh>
    <rPh sb="1" eb="2">
      <t>エン</t>
    </rPh>
    <phoneticPr fontId="4"/>
  </si>
  <si>
    <t>01.謝金</t>
    <rPh sb="3" eb="5">
      <t>シャキン</t>
    </rPh>
    <phoneticPr fontId="4"/>
  </si>
  <si>
    <t>〇</t>
    <phoneticPr fontId="4"/>
  </si>
  <si>
    <t>04.その他</t>
    <rPh sb="5" eb="6">
      <t>タ</t>
    </rPh>
    <phoneticPr fontId="4"/>
  </si>
  <si>
    <t>所費</t>
    <rPh sb="0" eb="1">
      <t>トコロ</t>
    </rPh>
    <rPh sb="1" eb="2">
      <t>ヒ</t>
    </rPh>
    <phoneticPr fontId="4"/>
  </si>
  <si>
    <t>千円</t>
    <rPh sb="0" eb="2">
      <t>センエン</t>
    </rPh>
    <phoneticPr fontId="4"/>
  </si>
  <si>
    <t>氏     名</t>
    <rPh sb="0" eb="1">
      <t>シ</t>
    </rPh>
    <rPh sb="6" eb="7">
      <t>ナ</t>
    </rPh>
    <phoneticPr fontId="4"/>
  </si>
  <si>
    <t>電     話</t>
    <rPh sb="0" eb="1">
      <t>デン</t>
    </rPh>
    <rPh sb="6" eb="7">
      <t>ハナシ</t>
    </rPh>
    <phoneticPr fontId="4"/>
  </si>
  <si>
    <t>〒</t>
    <phoneticPr fontId="4"/>
  </si>
  <si>
    <t>支出額</t>
    <rPh sb="0" eb="2">
      <t>シシュツ</t>
    </rPh>
    <rPh sb="2" eb="3">
      <t>ガク</t>
    </rPh>
    <phoneticPr fontId="4"/>
  </si>
  <si>
    <t>合計</t>
    <rPh sb="0" eb="2">
      <t>ゴウケイ</t>
    </rPh>
    <phoneticPr fontId="4"/>
  </si>
  <si>
    <t>円</t>
    <rPh sb="0" eb="1">
      <t>エン</t>
    </rPh>
    <phoneticPr fontId="4"/>
  </si>
  <si>
    <t>円</t>
    <rPh sb="0" eb="1">
      <t>エン</t>
    </rPh>
    <phoneticPr fontId="4"/>
  </si>
  <si>
    <t>14</t>
  </si>
  <si>
    <t>14</t>
    <phoneticPr fontId="4"/>
  </si>
  <si>
    <t>1</t>
    <phoneticPr fontId="4"/>
  </si>
  <si>
    <t>2</t>
    <phoneticPr fontId="4"/>
  </si>
  <si>
    <t>3</t>
    <phoneticPr fontId="4"/>
  </si>
  <si>
    <t>4</t>
  </si>
  <si>
    <t>5</t>
  </si>
  <si>
    <t>6</t>
  </si>
  <si>
    <t>7</t>
  </si>
  <si>
    <t>8</t>
  </si>
  <si>
    <t>9</t>
  </si>
  <si>
    <t>10</t>
  </si>
  <si>
    <t>11</t>
  </si>
  <si>
    <t>12</t>
  </si>
  <si>
    <t>13</t>
  </si>
  <si>
    <t>メニュー画面</t>
    <rPh sb="4" eb="6">
      <t>ガメン</t>
    </rPh>
    <phoneticPr fontId="4"/>
  </si>
  <si>
    <t>支出入力表</t>
    <rPh sb="0" eb="2">
      <t>シシュツ</t>
    </rPh>
    <rPh sb="2" eb="4">
      <t>ニュウリョク</t>
    </rPh>
    <rPh sb="4" eb="5">
      <t>ヒョウ</t>
    </rPh>
    <phoneticPr fontId="4"/>
  </si>
  <si>
    <t>精算額計算書</t>
    <rPh sb="0" eb="3">
      <t>セイサンガク</t>
    </rPh>
    <rPh sb="3" eb="6">
      <t>ケイサンショ</t>
    </rPh>
    <phoneticPr fontId="29"/>
  </si>
  <si>
    <t>1</t>
    <phoneticPr fontId="4"/>
  </si>
  <si>
    <t>2</t>
    <phoneticPr fontId="4"/>
  </si>
  <si>
    <t>3</t>
    <phoneticPr fontId="4"/>
  </si>
  <si>
    <t>1</t>
    <phoneticPr fontId="4"/>
  </si>
  <si>
    <t>2</t>
    <phoneticPr fontId="4"/>
  </si>
  <si>
    <t>3</t>
    <phoneticPr fontId="4"/>
  </si>
  <si>
    <t>3</t>
    <phoneticPr fontId="4"/>
  </si>
  <si>
    <t>2</t>
    <phoneticPr fontId="4"/>
  </si>
  <si>
    <t>円</t>
    <rPh sb="0" eb="1">
      <t>エン</t>
    </rPh>
    <phoneticPr fontId="4"/>
  </si>
  <si>
    <t>円</t>
    <rPh sb="0" eb="1">
      <t>エン</t>
    </rPh>
    <phoneticPr fontId="4"/>
  </si>
  <si>
    <t>メニュー画面へ</t>
  </si>
  <si>
    <t>合計</t>
    <phoneticPr fontId="4"/>
  </si>
  <si>
    <t>住所</t>
    <rPh sb="0" eb="1">
      <t>ジュウ</t>
    </rPh>
    <rPh sb="1" eb="2">
      <t>ショ</t>
    </rPh>
    <phoneticPr fontId="4"/>
  </si>
  <si>
    <t>名称</t>
    <rPh sb="0" eb="1">
      <t>ナ</t>
    </rPh>
    <rPh sb="1" eb="2">
      <t>ショウ</t>
    </rPh>
    <phoneticPr fontId="4"/>
  </si>
  <si>
    <r>
      <t>代</t>
    </r>
    <r>
      <rPr>
        <sz val="11"/>
        <color theme="1"/>
        <rFont val="ＭＳ Ｐ明朝"/>
        <family val="1"/>
        <charset val="128"/>
      </rPr>
      <t>表者</t>
    </r>
    <rPh sb="0" eb="1">
      <t>ダイ</t>
    </rPh>
    <rPh sb="1" eb="2">
      <t>オモテ</t>
    </rPh>
    <rPh sb="2" eb="3">
      <t>シャ</t>
    </rPh>
    <phoneticPr fontId="4"/>
  </si>
  <si>
    <t>標記について次のとおり報告します。</t>
    <rPh sb="0" eb="2">
      <t>ヒョウキ</t>
    </rPh>
    <rPh sb="6" eb="7">
      <t>ツギ</t>
    </rPh>
    <rPh sb="11" eb="13">
      <t>ホウコク</t>
    </rPh>
    <phoneticPr fontId="4"/>
  </si>
  <si>
    <t>1．地域連携活動支援事業</t>
    <rPh sb="2" eb="4">
      <t>チイキ</t>
    </rPh>
    <rPh sb="4" eb="6">
      <t>レンケイ</t>
    </rPh>
    <rPh sb="6" eb="8">
      <t>カツドウ</t>
    </rPh>
    <rPh sb="8" eb="10">
      <t>シエン</t>
    </rPh>
    <rPh sb="10" eb="12">
      <t>ジギョウ</t>
    </rPh>
    <phoneticPr fontId="4"/>
  </si>
  <si>
    <t>2．全国的・広域的ネットワーク活動支援事業</t>
    <rPh sb="2" eb="5">
      <t>ゼンコクテキ</t>
    </rPh>
    <rPh sb="6" eb="9">
      <t>コウイキテキ</t>
    </rPh>
    <rPh sb="15" eb="17">
      <t>カツドウ</t>
    </rPh>
    <rPh sb="17" eb="19">
      <t>シエン</t>
    </rPh>
    <rPh sb="19" eb="21">
      <t>ジギョウ</t>
    </rPh>
    <phoneticPr fontId="4"/>
  </si>
  <si>
    <t>2</t>
    <phoneticPr fontId="4"/>
  </si>
  <si>
    <t>4</t>
    <phoneticPr fontId="4"/>
  </si>
  <si>
    <t>5</t>
    <phoneticPr fontId="4"/>
  </si>
  <si>
    <t>6</t>
    <phoneticPr fontId="4"/>
  </si>
  <si>
    <t>7</t>
    <phoneticPr fontId="4"/>
  </si>
  <si>
    <t>8</t>
    <phoneticPr fontId="4"/>
  </si>
  <si>
    <t>9</t>
    <phoneticPr fontId="4"/>
  </si>
  <si>
    <t>10</t>
    <phoneticPr fontId="4"/>
  </si>
  <si>
    <t>11</t>
    <phoneticPr fontId="4"/>
  </si>
  <si>
    <t>12</t>
    <phoneticPr fontId="4"/>
  </si>
  <si>
    <t>13</t>
    <phoneticPr fontId="4"/>
  </si>
  <si>
    <t>団体郵便番号 （例：123-4567）</t>
    <rPh sb="0" eb="2">
      <t>ダンタイ</t>
    </rPh>
    <rPh sb="2" eb="6">
      <t>ユウビンバンゴウ</t>
    </rPh>
    <rPh sb="8" eb="9">
      <t>レイ</t>
    </rPh>
    <phoneticPr fontId="4"/>
  </si>
  <si>
    <t>総事業費の支出額内訳</t>
    <rPh sb="0" eb="4">
      <t>ソウジギョウヒ</t>
    </rPh>
    <rPh sb="5" eb="8">
      <t>シシュツガク</t>
    </rPh>
    <rPh sb="8" eb="10">
      <t>ウチワケ</t>
    </rPh>
    <phoneticPr fontId="29"/>
  </si>
  <si>
    <t>事業完了報告書</t>
    <rPh sb="0" eb="2">
      <t>ジギョウ</t>
    </rPh>
    <rPh sb="2" eb="4">
      <t>カンリョウ</t>
    </rPh>
    <rPh sb="4" eb="7">
      <t>ホウコクショ</t>
    </rPh>
    <phoneticPr fontId="29"/>
  </si>
  <si>
    <t>収入入力表</t>
    <phoneticPr fontId="4"/>
  </si>
  <si>
    <t>一般会計繰入金</t>
    <rPh sb="0" eb="2">
      <t>イッパン</t>
    </rPh>
    <rPh sb="2" eb="4">
      <t>カイケイ</t>
    </rPh>
    <rPh sb="4" eb="5">
      <t>ク</t>
    </rPh>
    <rPh sb="5" eb="6">
      <t>イレ</t>
    </rPh>
    <rPh sb="6" eb="7">
      <t>キン</t>
    </rPh>
    <phoneticPr fontId="4"/>
  </si>
  <si>
    <t>メニュー画面へ</t>
    <rPh sb="4" eb="6">
      <t>ガメン</t>
    </rPh>
    <phoneticPr fontId="4"/>
  </si>
  <si>
    <t>団体基本情報入力</t>
    <rPh sb="0" eb="2">
      <t>ダンタイ</t>
    </rPh>
    <rPh sb="2" eb="4">
      <t>キホン</t>
    </rPh>
    <rPh sb="4" eb="6">
      <t>ジョウホウ</t>
    </rPh>
    <rPh sb="6" eb="8">
      <t>ニュウリョク</t>
    </rPh>
    <phoneticPr fontId="4"/>
  </si>
  <si>
    <t>メニュー画面へ</t>
    <rPh sb="4" eb="6">
      <t>ガメン</t>
    </rPh>
    <phoneticPr fontId="4"/>
  </si>
  <si>
    <t>令和</t>
    <rPh sb="0" eb="2">
      <t>レイワ</t>
    </rPh>
    <phoneticPr fontId="4"/>
  </si>
  <si>
    <t>対象外経費</t>
    <rPh sb="0" eb="3">
      <t>タイショウガイ</t>
    </rPh>
    <rPh sb="3" eb="5">
      <t>ケイヒ</t>
    </rPh>
    <phoneticPr fontId="4"/>
  </si>
  <si>
    <t>対象外経費</t>
    <rPh sb="0" eb="5">
      <t>タイショウガイケイヒ</t>
    </rPh>
    <phoneticPr fontId="4"/>
  </si>
  <si>
    <t>03.所費</t>
    <phoneticPr fontId="4"/>
  </si>
  <si>
    <t>支出入力表へ</t>
    <rPh sb="0" eb="5">
      <t>シシュツニュウリョクヒョウ</t>
    </rPh>
    <phoneticPr fontId="4"/>
  </si>
  <si>
    <t>15</t>
  </si>
  <si>
    <t>-</t>
    <phoneticPr fontId="4"/>
  </si>
  <si>
    <t>-</t>
    <phoneticPr fontId="4"/>
  </si>
  <si>
    <t>-</t>
    <phoneticPr fontId="4"/>
  </si>
  <si>
    <t>-</t>
    <phoneticPr fontId="4"/>
  </si>
  <si>
    <t>支出入力表へ</t>
    <rPh sb="0" eb="5">
      <t>シシュツニュウリョクヒョウ</t>
    </rPh>
    <phoneticPr fontId="4"/>
  </si>
  <si>
    <t>事業</t>
    <rPh sb="0" eb="2">
      <t>ジギョウ</t>
    </rPh>
    <phoneticPr fontId="4"/>
  </si>
  <si>
    <t>団体名：</t>
    <rPh sb="0" eb="2">
      <t>ダンタイ</t>
    </rPh>
    <rPh sb="2" eb="3">
      <t>メイ</t>
    </rPh>
    <phoneticPr fontId="4"/>
  </si>
  <si>
    <t>要望時</t>
    <rPh sb="0" eb="2">
      <t>ヨウボウ</t>
    </rPh>
    <rPh sb="2" eb="3">
      <t>ジ</t>
    </rPh>
    <phoneticPr fontId="4"/>
  </si>
  <si>
    <t>完了時</t>
    <rPh sb="0" eb="2">
      <t>カンリョウ</t>
    </rPh>
    <rPh sb="2" eb="3">
      <t>ジ</t>
    </rPh>
    <phoneticPr fontId="4"/>
  </si>
  <si>
    <t xml:space="preserve"> 精算額計算書</t>
    <rPh sb="1" eb="3">
      <t>セイサン</t>
    </rPh>
    <rPh sb="3" eb="4">
      <t>ガク</t>
    </rPh>
    <rPh sb="4" eb="7">
      <t>ケイサンショ</t>
    </rPh>
    <phoneticPr fontId="4"/>
  </si>
  <si>
    <t xml:space="preserve"> 成果物</t>
    <rPh sb="1" eb="4">
      <t>セイカブツ</t>
    </rPh>
    <phoneticPr fontId="4"/>
  </si>
  <si>
    <t xml:space="preserve"> その他参考となる書類</t>
    <rPh sb="3" eb="4">
      <t>タ</t>
    </rPh>
    <rPh sb="4" eb="6">
      <t>サンコウ</t>
    </rPh>
    <rPh sb="9" eb="11">
      <t>ショルイ</t>
    </rPh>
    <phoneticPr fontId="4"/>
  </si>
  <si>
    <t>３　精算額調書</t>
    <rPh sb="4" eb="5">
      <t>ガク</t>
    </rPh>
    <rPh sb="5" eb="7">
      <t>チョウショ</t>
    </rPh>
    <phoneticPr fontId="4"/>
  </si>
  <si>
    <t>２　精算額</t>
    <rPh sb="2" eb="4">
      <t>セイサン</t>
    </rPh>
    <rPh sb="4" eb="5">
      <t>ガク</t>
    </rPh>
    <phoneticPr fontId="4"/>
  </si>
  <si>
    <t>１　事業名</t>
    <rPh sb="2" eb="4">
      <t>ジギョウ</t>
    </rPh>
    <rPh sb="4" eb="5">
      <t>メイ</t>
    </rPh>
    <phoneticPr fontId="4"/>
  </si>
  <si>
    <t>年度　事業完了報告書</t>
    <phoneticPr fontId="4"/>
  </si>
  <si>
    <t>総事業費
（Ａ）</t>
    <rPh sb="0" eb="4">
      <t>ソウジギョウヒ</t>
    </rPh>
    <phoneticPr fontId="4"/>
  </si>
  <si>
    <t>差引事業費
（Ａ‐Ｂ=Ｃ）</t>
    <rPh sb="0" eb="1">
      <t>サ</t>
    </rPh>
    <rPh sb="1" eb="2">
      <t>ヒ</t>
    </rPh>
    <rPh sb="2" eb="5">
      <t>ジギョウヒ</t>
    </rPh>
    <phoneticPr fontId="4"/>
  </si>
  <si>
    <t>差引事業費
（Ａ-Ｂ=Ｃ）</t>
    <rPh sb="0" eb="1">
      <t>サ</t>
    </rPh>
    <rPh sb="1" eb="2">
      <t>ヒ</t>
    </rPh>
    <rPh sb="2" eb="5">
      <t>ジギョウヒ</t>
    </rPh>
    <phoneticPr fontId="4"/>
  </si>
  <si>
    <t>（添付書類）</t>
    <rPh sb="1" eb="3">
      <t>テンプ</t>
    </rPh>
    <rPh sb="3" eb="5">
      <t>ショルイ</t>
    </rPh>
    <phoneticPr fontId="4"/>
  </si>
  <si>
    <t>採択事業名</t>
    <rPh sb="0" eb="2">
      <t>サイタク</t>
    </rPh>
    <rPh sb="2" eb="4">
      <t>ジギョウ</t>
    </rPh>
    <rPh sb="4" eb="5">
      <t>メイ</t>
    </rPh>
    <phoneticPr fontId="4"/>
  </si>
  <si>
    <t>（Ａ） 総事業費 （ａ）＋（ｂ）</t>
    <rPh sb="4" eb="8">
      <t>ソウジギョウヒ</t>
    </rPh>
    <phoneticPr fontId="4"/>
  </si>
  <si>
    <t>寄付金その他の収入
（Ｂ）</t>
    <rPh sb="0" eb="3">
      <t>キフキン</t>
    </rPh>
    <rPh sb="5" eb="6">
      <t>タ</t>
    </rPh>
    <rPh sb="7" eb="9">
      <t>シュウニュウ</t>
    </rPh>
    <phoneticPr fontId="4"/>
  </si>
  <si>
    <t>決定額
（Ｅ）</t>
    <rPh sb="0" eb="2">
      <t>ケッテイ</t>
    </rPh>
    <rPh sb="2" eb="3">
      <t>ガク</t>
    </rPh>
    <phoneticPr fontId="4"/>
  </si>
  <si>
    <t>精算額
(ＤとＥを比較して少ない方の額）（Ｆ）</t>
    <rPh sb="0" eb="3">
      <t>セイサンガク</t>
    </rPh>
    <rPh sb="9" eb="11">
      <t>ヒカク</t>
    </rPh>
    <rPh sb="13" eb="14">
      <t>スク</t>
    </rPh>
    <rPh sb="16" eb="17">
      <t>ホウ</t>
    </rPh>
    <rPh sb="18" eb="19">
      <t>ガク</t>
    </rPh>
    <phoneticPr fontId="4"/>
  </si>
  <si>
    <t>返還額
（Ｅ-Ｆ）　</t>
    <rPh sb="0" eb="3">
      <t>ヘンカンガク</t>
    </rPh>
    <phoneticPr fontId="4"/>
  </si>
  <si>
    <t>返還額
（Ｅ-Ｆ）</t>
    <rPh sb="0" eb="3">
      <t>ヘンカンガク</t>
    </rPh>
    <phoneticPr fontId="4"/>
  </si>
  <si>
    <t>精算額
（ＤとＥを比較して
少ない方の額）(Ｆ)</t>
    <rPh sb="2" eb="3">
      <t>ガク</t>
    </rPh>
    <rPh sb="9" eb="11">
      <t>ヒカク</t>
    </rPh>
    <rPh sb="14" eb="15">
      <t>スク</t>
    </rPh>
    <rPh sb="17" eb="18">
      <t>ホウ</t>
    </rPh>
    <rPh sb="19" eb="20">
      <t>ガク</t>
    </rPh>
    <phoneticPr fontId="4"/>
  </si>
  <si>
    <t>差引事業費から
千円未満の端数を
切り捨てた額 （Ｄ）</t>
    <rPh sb="0" eb="1">
      <t>サ</t>
    </rPh>
    <rPh sb="1" eb="2">
      <t>ヒ</t>
    </rPh>
    <rPh sb="2" eb="5">
      <t>ジギョウヒ</t>
    </rPh>
    <rPh sb="8" eb="9">
      <t>セン</t>
    </rPh>
    <rPh sb="9" eb="10">
      <t>エン</t>
    </rPh>
    <rPh sb="10" eb="12">
      <t>ミマン</t>
    </rPh>
    <rPh sb="13" eb="15">
      <t>ハスウ</t>
    </rPh>
    <rPh sb="17" eb="18">
      <t>キ</t>
    </rPh>
    <rPh sb="19" eb="20">
      <t>ス</t>
    </rPh>
    <rPh sb="22" eb="23">
      <t>ガク</t>
    </rPh>
    <phoneticPr fontId="4"/>
  </si>
  <si>
    <t>差引事業費から
千円未満の端数を
切り捨てた額 （Ｄ）</t>
    <rPh sb="0" eb="2">
      <t>サシヒキ</t>
    </rPh>
    <rPh sb="2" eb="5">
      <t>ジギョウヒ</t>
    </rPh>
    <rPh sb="8" eb="9">
      <t>セン</t>
    </rPh>
    <rPh sb="9" eb="10">
      <t>エン</t>
    </rPh>
    <rPh sb="10" eb="12">
      <t>ミマン</t>
    </rPh>
    <rPh sb="13" eb="15">
      <t>ハスウ</t>
    </rPh>
    <rPh sb="17" eb="18">
      <t>キ</t>
    </rPh>
    <rPh sb="19" eb="20">
      <t>ス</t>
    </rPh>
    <rPh sb="22" eb="23">
      <t>ガク</t>
    </rPh>
    <phoneticPr fontId="4"/>
  </si>
  <si>
    <t>日付設定</t>
    <rPh sb="0" eb="2">
      <t>ヒヅケ</t>
    </rPh>
    <rPh sb="2" eb="4">
      <t>セッテイ</t>
    </rPh>
    <phoneticPr fontId="4"/>
  </si>
  <si>
    <t>完了時－要望時
（差額）</t>
    <rPh sb="0" eb="2">
      <t>カンリョウ</t>
    </rPh>
    <rPh sb="2" eb="3">
      <t>ジ</t>
    </rPh>
    <rPh sb="4" eb="6">
      <t>ヨウボウ</t>
    </rPh>
    <rPh sb="6" eb="7">
      <t>ジ</t>
    </rPh>
    <rPh sb="9" eb="11">
      <t>サガク</t>
    </rPh>
    <phoneticPr fontId="4"/>
  </si>
  <si>
    <t>完了時－要望時
（差額）</t>
    <rPh sb="0" eb="2">
      <t>カンリョウ</t>
    </rPh>
    <rPh sb="2" eb="3">
      <t>ジ</t>
    </rPh>
    <rPh sb="4" eb="6">
      <t>ヨウボウ</t>
    </rPh>
    <rPh sb="6" eb="7">
      <t>トキ</t>
    </rPh>
    <rPh sb="9" eb="11">
      <t>サガク</t>
    </rPh>
    <phoneticPr fontId="4"/>
  </si>
  <si>
    <t xml:space="preserve">（Ｂ） 寄付金その他の収入　※ </t>
    <rPh sb="4" eb="7">
      <t>キフキン</t>
    </rPh>
    <rPh sb="9" eb="10">
      <t>タ</t>
    </rPh>
    <rPh sb="11" eb="13">
      <t>シュウニュウ</t>
    </rPh>
    <phoneticPr fontId="4"/>
  </si>
  <si>
    <t>旅費の場合のみ</t>
    <rPh sb="0" eb="2">
      <t>リョヒ</t>
    </rPh>
    <rPh sb="3" eb="5">
      <t>バアイ</t>
    </rPh>
    <phoneticPr fontId="4"/>
  </si>
  <si>
    <t>謝金</t>
    <rPh sb="0" eb="2">
      <t>シャキン</t>
    </rPh>
    <phoneticPr fontId="4"/>
  </si>
  <si>
    <t>旅費</t>
    <rPh sb="0" eb="2">
      <t>リョヒ</t>
    </rPh>
    <phoneticPr fontId="4"/>
  </si>
  <si>
    <t>所費</t>
    <rPh sb="0" eb="1">
      <t>トコロ</t>
    </rPh>
    <rPh sb="1" eb="2">
      <t>ヒ</t>
    </rPh>
    <phoneticPr fontId="4"/>
  </si>
  <si>
    <t>01.</t>
    <phoneticPr fontId="4"/>
  </si>
  <si>
    <t>02.</t>
    <phoneticPr fontId="4"/>
  </si>
  <si>
    <t>03.</t>
    <phoneticPr fontId="4"/>
  </si>
  <si>
    <t>04.</t>
    <phoneticPr fontId="4"/>
  </si>
  <si>
    <t>その他</t>
    <phoneticPr fontId="4"/>
  </si>
  <si>
    <t>謝金合計</t>
    <rPh sb="0" eb="2">
      <t>シャキン</t>
    </rPh>
    <rPh sb="2" eb="4">
      <t>ゴウケイ</t>
    </rPh>
    <phoneticPr fontId="4"/>
  </si>
  <si>
    <t>旅費合計</t>
    <rPh sb="0" eb="2">
      <t>リョヒ</t>
    </rPh>
    <rPh sb="2" eb="4">
      <t>ゴウケイ</t>
    </rPh>
    <phoneticPr fontId="4"/>
  </si>
  <si>
    <t>所費合計</t>
    <rPh sb="0" eb="1">
      <t>ショ</t>
    </rPh>
    <rPh sb="1" eb="2">
      <t>ヒ</t>
    </rPh>
    <rPh sb="2" eb="4">
      <t>ゴウケイ</t>
    </rPh>
    <phoneticPr fontId="4"/>
  </si>
  <si>
    <t>その他合計</t>
    <rPh sb="2" eb="3">
      <t>タ</t>
    </rPh>
    <rPh sb="3" eb="5">
      <t>ゴウケイ</t>
    </rPh>
    <phoneticPr fontId="4"/>
  </si>
  <si>
    <t>⇒</t>
    <phoneticPr fontId="4"/>
  </si>
  <si>
    <t>（ｂ） 対象外経費</t>
    <rPh sb="4" eb="7">
      <t>タイショウガイ</t>
    </rPh>
    <rPh sb="7" eb="9">
      <t>ケイヒ</t>
    </rPh>
    <phoneticPr fontId="4"/>
  </si>
  <si>
    <t>⇒</t>
  </si>
  <si>
    <t>⇒</t>
    <phoneticPr fontId="4"/>
  </si>
  <si>
    <t>採択年度 （和暦）　　　　　令和</t>
    <rPh sb="0" eb="2">
      <t>サイタク</t>
    </rPh>
    <rPh sb="2" eb="4">
      <t>ネンド</t>
    </rPh>
    <rPh sb="6" eb="8">
      <t>ワレキ</t>
    </rPh>
    <rPh sb="14" eb="16">
      <t>レイワ</t>
    </rPh>
    <phoneticPr fontId="4"/>
  </si>
  <si>
    <t>受付番号 （11桁の数字）</t>
    <rPh sb="0" eb="1">
      <t>ウ</t>
    </rPh>
    <rPh sb="1" eb="2">
      <t>ツ</t>
    </rPh>
    <rPh sb="2" eb="4">
      <t>バンゴウ</t>
    </rPh>
    <rPh sb="8" eb="9">
      <t>ケタ</t>
    </rPh>
    <rPh sb="10" eb="12">
      <t>スウジ</t>
    </rPh>
    <phoneticPr fontId="4"/>
  </si>
  <si>
    <t>千円</t>
    <rPh sb="0" eb="2">
      <t>センエン</t>
    </rPh>
    <phoneticPr fontId="4"/>
  </si>
  <si>
    <t>年度</t>
    <rPh sb="0" eb="2">
      <t>ネンド</t>
    </rPh>
    <phoneticPr fontId="4"/>
  </si>
  <si>
    <r>
      <t xml:space="preserve">決定額 </t>
    </r>
    <r>
      <rPr>
        <b/>
        <sz val="16"/>
        <color theme="1"/>
        <rFont val="ＭＳ Ｐゴシック"/>
        <family val="3"/>
        <charset val="128"/>
      </rPr>
      <t>（千円単位）</t>
    </r>
    <rPh sb="0" eb="2">
      <t>ケッテイ</t>
    </rPh>
    <rPh sb="2" eb="3">
      <t>ガク</t>
    </rPh>
    <rPh sb="5" eb="7">
      <t>センエン</t>
    </rPh>
    <rPh sb="7" eb="9">
      <t>タンイ</t>
    </rPh>
    <phoneticPr fontId="4"/>
  </si>
  <si>
    <t>柱立て１ （取り組み１）</t>
    <rPh sb="0" eb="1">
      <t>ハシラ</t>
    </rPh>
    <rPh sb="1" eb="2">
      <t>ダ</t>
    </rPh>
    <rPh sb="6" eb="7">
      <t>ト</t>
    </rPh>
    <rPh sb="8" eb="9">
      <t>ク</t>
    </rPh>
    <phoneticPr fontId="4"/>
  </si>
  <si>
    <t>柱立て２ （取り組み２）</t>
    <rPh sb="0" eb="1">
      <t>ハシラ</t>
    </rPh>
    <rPh sb="1" eb="2">
      <t>ダ</t>
    </rPh>
    <rPh sb="6" eb="7">
      <t>ト</t>
    </rPh>
    <rPh sb="8" eb="9">
      <t>ク</t>
    </rPh>
    <phoneticPr fontId="4"/>
  </si>
  <si>
    <t>柱立て３ （取り組み３）</t>
    <rPh sb="0" eb="1">
      <t>ハシラ</t>
    </rPh>
    <rPh sb="1" eb="2">
      <t>ダ</t>
    </rPh>
    <rPh sb="6" eb="7">
      <t>ト</t>
    </rPh>
    <rPh sb="8" eb="9">
      <t>ク</t>
    </rPh>
    <phoneticPr fontId="4"/>
  </si>
  <si>
    <t>柱立て４ （取り組み４）</t>
    <rPh sb="0" eb="1">
      <t>ハシラ</t>
    </rPh>
    <rPh sb="1" eb="2">
      <t>ダ</t>
    </rPh>
    <rPh sb="6" eb="7">
      <t>ト</t>
    </rPh>
    <rPh sb="8" eb="9">
      <t>ク</t>
    </rPh>
    <phoneticPr fontId="4"/>
  </si>
  <si>
    <t>柱立て５ （取り組み５）</t>
    <rPh sb="0" eb="1">
      <t>ハシラ</t>
    </rPh>
    <rPh sb="1" eb="2">
      <t>ダ</t>
    </rPh>
    <rPh sb="6" eb="7">
      <t>ト</t>
    </rPh>
    <rPh sb="8" eb="9">
      <t>ク</t>
    </rPh>
    <phoneticPr fontId="4"/>
  </si>
  <si>
    <t>柱立て６ （取り組み６）</t>
    <rPh sb="0" eb="1">
      <t>ハシラ</t>
    </rPh>
    <rPh sb="1" eb="2">
      <t>ダ</t>
    </rPh>
    <rPh sb="6" eb="7">
      <t>ト</t>
    </rPh>
    <rPh sb="8" eb="9">
      <t>ク</t>
    </rPh>
    <phoneticPr fontId="4"/>
  </si>
  <si>
    <t>柱立て７ （取り組み７）</t>
    <rPh sb="0" eb="1">
      <t>ハシラ</t>
    </rPh>
    <rPh sb="1" eb="2">
      <t>ダ</t>
    </rPh>
    <rPh sb="6" eb="7">
      <t>ト</t>
    </rPh>
    <rPh sb="8" eb="9">
      <t>ク</t>
    </rPh>
    <phoneticPr fontId="4"/>
  </si>
  <si>
    <t>柱立て８ （取り組み８）</t>
    <rPh sb="0" eb="1">
      <t>ハシラ</t>
    </rPh>
    <rPh sb="1" eb="2">
      <t>ダ</t>
    </rPh>
    <rPh sb="6" eb="7">
      <t>ト</t>
    </rPh>
    <rPh sb="8" eb="9">
      <t>ク</t>
    </rPh>
    <phoneticPr fontId="4"/>
  </si>
  <si>
    <t>柱立て９ （取り組み９）</t>
    <rPh sb="0" eb="1">
      <t>ハシラ</t>
    </rPh>
    <rPh sb="1" eb="2">
      <t>ダ</t>
    </rPh>
    <rPh sb="6" eb="7">
      <t>ト</t>
    </rPh>
    <rPh sb="8" eb="9">
      <t>ク</t>
    </rPh>
    <phoneticPr fontId="4"/>
  </si>
  <si>
    <t>柱立て10 （取り組み10）</t>
    <rPh sb="0" eb="1">
      <t>ハシラ</t>
    </rPh>
    <rPh sb="1" eb="2">
      <t>ダ</t>
    </rPh>
    <rPh sb="7" eb="8">
      <t>ト</t>
    </rPh>
    <rPh sb="9" eb="10">
      <t>ク</t>
    </rPh>
    <phoneticPr fontId="4"/>
  </si>
  <si>
    <r>
      <t xml:space="preserve">大費目
</t>
    </r>
    <r>
      <rPr>
        <sz val="14"/>
        <color theme="1"/>
        <rFont val="ＭＳ Ｐゴシック"/>
        <family val="3"/>
        <charset val="128"/>
      </rPr>
      <t>（項目）</t>
    </r>
    <rPh sb="0" eb="3">
      <t>ダイヒモク</t>
    </rPh>
    <rPh sb="5" eb="7">
      <t>コウモク</t>
    </rPh>
    <phoneticPr fontId="5"/>
  </si>
  <si>
    <t>収入入力表</t>
    <rPh sb="0" eb="2">
      <t>シュウニュウ</t>
    </rPh>
    <rPh sb="2" eb="4">
      <t>ニュウリョク</t>
    </rPh>
    <rPh sb="4" eb="5">
      <t>ヒョウ</t>
    </rPh>
    <phoneticPr fontId="4"/>
  </si>
  <si>
    <t>　　　　　　　総事業費の支出額内訳</t>
    <phoneticPr fontId="4"/>
  </si>
  <si>
    <t>一般会計繰入金（＝団体による投入資金）</t>
    <rPh sb="0" eb="2">
      <t>イッパン</t>
    </rPh>
    <rPh sb="2" eb="4">
      <t>カイケイ</t>
    </rPh>
    <rPh sb="4" eb="5">
      <t>ク</t>
    </rPh>
    <rPh sb="5" eb="6">
      <t>イ</t>
    </rPh>
    <rPh sb="6" eb="7">
      <t>キン</t>
    </rPh>
    <rPh sb="9" eb="11">
      <t>ダンタイ</t>
    </rPh>
    <rPh sb="14" eb="16">
      <t>トウニュウ</t>
    </rPh>
    <rPh sb="16" eb="18">
      <t>シキン</t>
    </rPh>
    <phoneticPr fontId="4"/>
  </si>
  <si>
    <t>柱立て１：小計</t>
    <rPh sb="0" eb="1">
      <t>ハシラ</t>
    </rPh>
    <rPh sb="1" eb="2">
      <t>ダ</t>
    </rPh>
    <phoneticPr fontId="4"/>
  </si>
  <si>
    <t>柱立て２：小計</t>
    <rPh sb="0" eb="1">
      <t>ハシラ</t>
    </rPh>
    <rPh sb="1" eb="2">
      <t>ダ</t>
    </rPh>
    <rPh sb="5" eb="7">
      <t>ショウケイ</t>
    </rPh>
    <phoneticPr fontId="4"/>
  </si>
  <si>
    <t>柱立て３：小計</t>
    <rPh sb="5" eb="7">
      <t>ショウケイ</t>
    </rPh>
    <phoneticPr fontId="4"/>
  </si>
  <si>
    <t>柱立て４：小計</t>
    <rPh sb="5" eb="7">
      <t>ショウケイ</t>
    </rPh>
    <phoneticPr fontId="4"/>
  </si>
  <si>
    <t>柱立て５：小計</t>
    <rPh sb="5" eb="7">
      <t>ショウケイ</t>
    </rPh>
    <phoneticPr fontId="4"/>
  </si>
  <si>
    <t>柱立て６：小計</t>
    <rPh sb="5" eb="7">
      <t>ショウケイ</t>
    </rPh>
    <phoneticPr fontId="4"/>
  </si>
  <si>
    <t>柱立て７：小計</t>
    <rPh sb="5" eb="7">
      <t>ショウケイ</t>
    </rPh>
    <phoneticPr fontId="4"/>
  </si>
  <si>
    <t>柱立て：８小計</t>
    <rPh sb="5" eb="7">
      <t>ショウケイ</t>
    </rPh>
    <phoneticPr fontId="4"/>
  </si>
  <si>
    <t>柱立て９：小計</t>
    <rPh sb="5" eb="7">
      <t>ショウケイ</t>
    </rPh>
    <phoneticPr fontId="4"/>
  </si>
  <si>
    <t>柱立て10：小計</t>
    <rPh sb="6" eb="8">
      <t>ショウケイ</t>
    </rPh>
    <phoneticPr fontId="4"/>
  </si>
  <si>
    <t>各柱立ての経費の使用状況を確認する表です。</t>
    <rPh sb="0" eb="2">
      <t>カクハシラ</t>
    </rPh>
    <rPh sb="2" eb="3">
      <t>ダ</t>
    </rPh>
    <rPh sb="5" eb="7">
      <t>ケイヒ</t>
    </rPh>
    <rPh sb="8" eb="10">
      <t>シヨウ</t>
    </rPh>
    <rPh sb="10" eb="12">
      <t>ジョウキョウ</t>
    </rPh>
    <rPh sb="13" eb="15">
      <t>カクニン</t>
    </rPh>
    <rPh sb="17" eb="18">
      <t>ヒョウ</t>
    </rPh>
    <phoneticPr fontId="29"/>
  </si>
  <si>
    <t>総合計</t>
    <rPh sb="0" eb="1">
      <t>ソウ</t>
    </rPh>
    <rPh sb="1" eb="3">
      <t>ゴウケイ</t>
    </rPh>
    <phoneticPr fontId="4"/>
  </si>
  <si>
    <t>謝金</t>
    <rPh sb="0" eb="2">
      <t>シャキン</t>
    </rPh>
    <phoneticPr fontId="4"/>
  </si>
  <si>
    <t>旅費</t>
    <rPh sb="0" eb="2">
      <t>リョヒ</t>
    </rPh>
    <phoneticPr fontId="4"/>
  </si>
  <si>
    <t>所費</t>
    <rPh sb="0" eb="1">
      <t>ショ</t>
    </rPh>
    <rPh sb="1" eb="2">
      <t>ヒ</t>
    </rPh>
    <phoneticPr fontId="4"/>
  </si>
  <si>
    <t>対象外経費</t>
    <rPh sb="2" eb="3">
      <t>ガイ</t>
    </rPh>
    <phoneticPr fontId="4"/>
  </si>
  <si>
    <t>助成区分</t>
    <rPh sb="0" eb="2">
      <t>ジョセイ</t>
    </rPh>
    <rPh sb="2" eb="4">
      <t>クブン</t>
    </rPh>
    <phoneticPr fontId="4"/>
  </si>
  <si>
    <t>通常助成事業</t>
    <rPh sb="0" eb="2">
      <t>ツウジョウ</t>
    </rPh>
    <rPh sb="2" eb="4">
      <t>ジョセイ</t>
    </rPh>
    <rPh sb="4" eb="6">
      <t>ジギョウ</t>
    </rPh>
    <phoneticPr fontId="4"/>
  </si>
  <si>
    <t>補正予算事業</t>
    <rPh sb="0" eb="2">
      <t>ホセイ</t>
    </rPh>
    <rPh sb="2" eb="4">
      <t>ヨサン</t>
    </rPh>
    <rPh sb="4" eb="6">
      <t>ジギョウ</t>
    </rPh>
    <phoneticPr fontId="4"/>
  </si>
  <si>
    <t>モデル事業</t>
    <rPh sb="3" eb="5">
      <t>ジギョウ</t>
    </rPh>
    <phoneticPr fontId="4"/>
  </si>
  <si>
    <t>賃金（職員）</t>
    <rPh sb="0" eb="2">
      <t>チンギン</t>
    </rPh>
    <rPh sb="3" eb="5">
      <t>ショクイン</t>
    </rPh>
    <phoneticPr fontId="4"/>
  </si>
  <si>
    <t>賃金（アルバイト）</t>
    <rPh sb="0" eb="2">
      <t>チンギン</t>
    </rPh>
    <phoneticPr fontId="4"/>
  </si>
  <si>
    <t>5.家賃</t>
    <phoneticPr fontId="4"/>
  </si>
  <si>
    <t>6.光熱水費</t>
    <phoneticPr fontId="4"/>
  </si>
  <si>
    <t>7.備品購入費　　　</t>
    <phoneticPr fontId="4"/>
  </si>
  <si>
    <t>8.消耗品費</t>
    <phoneticPr fontId="4"/>
  </si>
  <si>
    <t>9.借料損料</t>
    <phoneticPr fontId="4"/>
  </si>
  <si>
    <t>10.印刷製本費</t>
    <phoneticPr fontId="4"/>
  </si>
  <si>
    <t>11.通信運搬費</t>
    <phoneticPr fontId="4"/>
  </si>
  <si>
    <t>13.雑役務費</t>
    <phoneticPr fontId="4"/>
  </si>
  <si>
    <t>14.保険料</t>
    <phoneticPr fontId="4"/>
  </si>
  <si>
    <t>4.賃金（アルバイト）</t>
    <rPh sb="2" eb="4">
      <t>チンギン</t>
    </rPh>
    <phoneticPr fontId="4"/>
  </si>
  <si>
    <t>助成種類</t>
    <rPh sb="0" eb="2">
      <t>ジョセイ</t>
    </rPh>
    <rPh sb="2" eb="4">
      <t>シュルイ</t>
    </rPh>
    <phoneticPr fontId="4"/>
  </si>
  <si>
    <t>【通常助成事業用】</t>
    <rPh sb="1" eb="3">
      <t>ツウジョウ</t>
    </rPh>
    <rPh sb="3" eb="5">
      <t>ジョセイ</t>
    </rPh>
    <rPh sb="5" eb="7">
      <t>ジギョウ</t>
    </rPh>
    <rPh sb="7" eb="8">
      <t>ヨウ</t>
    </rPh>
    <phoneticPr fontId="4"/>
  </si>
  <si>
    <t>【補正予算事業、モデル事業用】</t>
    <rPh sb="1" eb="3">
      <t>ホセイ</t>
    </rPh>
    <rPh sb="3" eb="5">
      <t>ヨサン</t>
    </rPh>
    <rPh sb="5" eb="7">
      <t>ジギョウ</t>
    </rPh>
    <rPh sb="11" eb="13">
      <t>ジギョウ</t>
    </rPh>
    <rPh sb="13" eb="14">
      <t>ヨウ</t>
    </rPh>
    <phoneticPr fontId="4"/>
  </si>
  <si>
    <t>賃金（職員）</t>
    <rPh sb="0" eb="2">
      <t>チンギン</t>
    </rPh>
    <rPh sb="3" eb="5">
      <t>ショクイン</t>
    </rPh>
    <phoneticPr fontId="4"/>
  </si>
  <si>
    <t>① 助成事業を実施するための対象経費</t>
    <rPh sb="2" eb="4">
      <t>ジョセイ</t>
    </rPh>
    <rPh sb="4" eb="6">
      <t>ジギョウ</t>
    </rPh>
    <rPh sb="7" eb="9">
      <t>ジッシ</t>
    </rPh>
    <rPh sb="14" eb="16">
      <t>タイショウ</t>
    </rPh>
    <rPh sb="16" eb="18">
      <t>ケイヒ</t>
    </rPh>
    <phoneticPr fontId="4"/>
  </si>
  <si>
    <t>（ａ） 上記助成対象経費の合計</t>
    <rPh sb="4" eb="6">
      <t>ジョウキ</t>
    </rPh>
    <rPh sb="6" eb="8">
      <t>ジョセイ</t>
    </rPh>
    <rPh sb="8" eb="10">
      <t>タイショウ</t>
    </rPh>
    <rPh sb="10" eb="12">
      <t>ケイヒ</t>
    </rPh>
    <rPh sb="13" eb="15">
      <t>ゴウケイ</t>
    </rPh>
    <phoneticPr fontId="4"/>
  </si>
  <si>
    <t>② 助成事業にかかる収入</t>
    <rPh sb="2" eb="4">
      <t>ジョセイ</t>
    </rPh>
    <rPh sb="4" eb="6">
      <t>ジギョウ</t>
    </rPh>
    <rPh sb="10" eb="12">
      <t>シュウニュウ</t>
    </rPh>
    <phoneticPr fontId="4"/>
  </si>
  <si>
    <t>助成事業による収入（参加費・利用料等）</t>
    <rPh sb="0" eb="2">
      <t>ジョセイ</t>
    </rPh>
    <phoneticPr fontId="4"/>
  </si>
  <si>
    <t>利息収入（助成事業専用口座利息）</t>
    <rPh sb="0" eb="2">
      <t>リソク</t>
    </rPh>
    <rPh sb="2" eb="4">
      <t>シュウニュウ</t>
    </rPh>
    <rPh sb="5" eb="7">
      <t>ジョセイ</t>
    </rPh>
    <rPh sb="7" eb="9">
      <t>ジギョウ</t>
    </rPh>
    <rPh sb="9" eb="11">
      <t>センヨウ</t>
    </rPh>
    <rPh sb="11" eb="13">
      <t>コウザ</t>
    </rPh>
    <rPh sb="13" eb="15">
      <t>リソク</t>
    </rPh>
    <phoneticPr fontId="4"/>
  </si>
  <si>
    <t>③ 助成金額の算定</t>
    <rPh sb="2" eb="4">
      <t>ジョセイ</t>
    </rPh>
    <rPh sb="4" eb="6">
      <t>キンガク</t>
    </rPh>
    <rPh sb="7" eb="9">
      <t>サンテイ</t>
    </rPh>
    <phoneticPr fontId="4"/>
  </si>
  <si>
    <r>
      <rPr>
        <b/>
        <u/>
        <sz val="11"/>
        <color rgb="FFFF0000"/>
        <rFont val="ＭＳ ゴシック"/>
        <family val="3"/>
        <charset val="128"/>
      </rPr>
      <t>対象</t>
    </r>
    <r>
      <rPr>
        <b/>
        <sz val="11"/>
        <color theme="1"/>
        <rFont val="ＭＳ ゴシック"/>
        <family val="3"/>
        <charset val="128"/>
      </rPr>
      <t>経費</t>
    </r>
    <rPh sb="0" eb="2">
      <t>タイショウ</t>
    </rPh>
    <rPh sb="2" eb="4">
      <t>ケイヒ</t>
    </rPh>
    <phoneticPr fontId="4"/>
  </si>
  <si>
    <r>
      <rPr>
        <b/>
        <u/>
        <sz val="11"/>
        <color rgb="FFFF0000"/>
        <rFont val="ＭＳ ゴシック"/>
        <family val="3"/>
        <charset val="128"/>
      </rPr>
      <t>対象外</t>
    </r>
    <r>
      <rPr>
        <b/>
        <sz val="11"/>
        <color theme="1"/>
        <rFont val="ＭＳ ゴシック"/>
        <family val="3"/>
        <charset val="128"/>
      </rPr>
      <t>経費</t>
    </r>
    <phoneticPr fontId="4"/>
  </si>
  <si>
    <t>助成事業における収入（参加費・利用料等）</t>
    <rPh sb="0" eb="2">
      <t>ジョセイ</t>
    </rPh>
    <rPh sb="2" eb="4">
      <t>ジギョウ</t>
    </rPh>
    <rPh sb="8" eb="10">
      <t>シュウニュウ</t>
    </rPh>
    <rPh sb="11" eb="14">
      <t>サンカヒ</t>
    </rPh>
    <rPh sb="15" eb="17">
      <t>リヨウ</t>
    </rPh>
    <rPh sb="17" eb="18">
      <t>リョウ</t>
    </rPh>
    <rPh sb="18" eb="19">
      <t>トウ</t>
    </rPh>
    <phoneticPr fontId="4"/>
  </si>
  <si>
    <t>3.賃金（職員） ※¹</t>
    <rPh sb="2" eb="4">
      <t>チンギン</t>
    </rPh>
    <rPh sb="5" eb="7">
      <t>ショクイン</t>
    </rPh>
    <phoneticPr fontId="4"/>
  </si>
  <si>
    <t>12.委託費 ※²</t>
    <phoneticPr fontId="4"/>
  </si>
  <si>
    <t>精算額（P40）＝</t>
    <rPh sb="0" eb="3">
      <t>セイサンガク</t>
    </rPh>
    <phoneticPr fontId="4"/>
  </si>
  <si>
    <r>
      <t>※² 12.委託費について、（A）総事業費に対する割合が</t>
    </r>
    <r>
      <rPr>
        <sz val="11"/>
        <color rgb="FFFF0000"/>
        <rFont val="游ゴシック"/>
        <family val="3"/>
        <charset val="128"/>
        <scheme val="minor"/>
      </rPr>
      <t>５０％以上</t>
    </r>
    <r>
      <rPr>
        <sz val="11"/>
        <color theme="1"/>
        <rFont val="游ゴシック"/>
        <family val="2"/>
        <charset val="128"/>
        <scheme val="minor"/>
      </rPr>
      <t>の場合、助成事業</t>
    </r>
    <r>
      <rPr>
        <sz val="11"/>
        <color rgb="FFFF0000"/>
        <rFont val="游ゴシック"/>
        <family val="3"/>
        <charset val="128"/>
        <scheme val="minor"/>
      </rPr>
      <t>対象外</t>
    </r>
    <r>
      <rPr>
        <sz val="11"/>
        <color theme="1"/>
        <rFont val="游ゴシック"/>
        <family val="2"/>
        <charset val="128"/>
        <scheme val="minor"/>
      </rPr>
      <t>となります。</t>
    </r>
    <phoneticPr fontId="4"/>
  </si>
  <si>
    <r>
      <t>※² 12.委託費について、（Ａ）総事業費に対する割合が５０％以上の場合、</t>
    </r>
    <r>
      <rPr>
        <sz val="11"/>
        <color rgb="FFFF0000"/>
        <rFont val="游ゴシック"/>
        <family val="3"/>
        <charset val="128"/>
        <scheme val="minor"/>
      </rPr>
      <t>助成事業対象外</t>
    </r>
    <r>
      <rPr>
        <sz val="11"/>
        <color theme="1"/>
        <rFont val="游ゴシック"/>
        <family val="2"/>
        <charset val="128"/>
        <scheme val="minor"/>
      </rPr>
      <t>となります。</t>
    </r>
    <rPh sb="17" eb="21">
      <t>ソウジギョウヒ</t>
    </rPh>
    <phoneticPr fontId="4"/>
  </si>
  <si>
    <r>
      <t>※¹ 3.賃金（職員）について、（E）助成決定額または（F）精算額のどちらか低い金額に対する割合が</t>
    </r>
    <r>
      <rPr>
        <sz val="11"/>
        <color rgb="FFFF0000"/>
        <rFont val="游ゴシック"/>
        <family val="3"/>
        <charset val="128"/>
        <scheme val="minor"/>
      </rPr>
      <t>５０％より大きい</t>
    </r>
    <r>
      <rPr>
        <sz val="11"/>
        <color theme="1"/>
        <rFont val="游ゴシック"/>
        <family val="2"/>
        <charset val="128"/>
        <scheme val="minor"/>
      </rPr>
      <t>場合、超過部分については助成事業</t>
    </r>
    <r>
      <rPr>
        <sz val="11"/>
        <color rgb="FFFF0000"/>
        <rFont val="游ゴシック"/>
        <family val="3"/>
        <charset val="128"/>
        <scheme val="minor"/>
      </rPr>
      <t>対象外</t>
    </r>
    <r>
      <rPr>
        <sz val="11"/>
        <color theme="1"/>
        <rFont val="游ゴシック"/>
        <family val="2"/>
        <charset val="128"/>
        <scheme val="minor"/>
      </rPr>
      <t>となります。</t>
    </r>
    <rPh sb="19" eb="21">
      <t>ジョセイ</t>
    </rPh>
    <rPh sb="21" eb="23">
      <t>ケッテイ</t>
    </rPh>
    <rPh sb="23" eb="24">
      <t>ガク</t>
    </rPh>
    <rPh sb="30" eb="33">
      <t>セイサンガク</t>
    </rPh>
    <rPh sb="54" eb="55">
      <t>オオ</t>
    </rPh>
    <rPh sb="60" eb="62">
      <t>チョウカ</t>
    </rPh>
    <rPh sb="62" eb="64">
      <t>ブブン</t>
    </rPh>
    <phoneticPr fontId="4"/>
  </si>
  <si>
    <r>
      <t>※</t>
    </r>
    <r>
      <rPr>
        <sz val="11"/>
        <color theme="1"/>
        <rFont val="游ゴシック"/>
        <family val="2"/>
        <charset val="128"/>
      </rPr>
      <t>¹</t>
    </r>
    <r>
      <rPr>
        <sz val="11"/>
        <color theme="1"/>
        <rFont val="游ゴシック"/>
        <family val="2"/>
        <charset val="128"/>
        <scheme val="minor"/>
      </rPr>
      <t xml:space="preserve"> 3.賃金（職員）について、（E）助成決定額または（F）精算額のどちらか低い金額に対する割合が</t>
    </r>
    <r>
      <rPr>
        <sz val="11"/>
        <color rgb="FFFF0000"/>
        <rFont val="游ゴシック"/>
        <family val="3"/>
        <charset val="128"/>
        <scheme val="minor"/>
      </rPr>
      <t>２５％より大きい</t>
    </r>
    <r>
      <rPr>
        <sz val="11"/>
        <color theme="1"/>
        <rFont val="游ゴシック"/>
        <family val="2"/>
        <charset val="128"/>
        <scheme val="minor"/>
      </rPr>
      <t>場合、超過部分については助成事業</t>
    </r>
    <r>
      <rPr>
        <sz val="11"/>
        <color rgb="FFFF0000"/>
        <rFont val="游ゴシック"/>
        <family val="3"/>
        <charset val="128"/>
        <scheme val="minor"/>
      </rPr>
      <t>対象外</t>
    </r>
    <r>
      <rPr>
        <sz val="11"/>
        <color theme="1"/>
        <rFont val="游ゴシック"/>
        <family val="2"/>
        <charset val="128"/>
        <scheme val="minor"/>
      </rPr>
      <t>となります。</t>
    </r>
    <rPh sb="19" eb="21">
      <t>ジョセイ</t>
    </rPh>
    <rPh sb="21" eb="23">
      <t>ケッテイ</t>
    </rPh>
    <rPh sb="23" eb="24">
      <t>ガク</t>
    </rPh>
    <rPh sb="30" eb="33">
      <t>セイサンガク</t>
    </rPh>
    <rPh sb="38" eb="39">
      <t>ヒク</t>
    </rPh>
    <rPh sb="40" eb="42">
      <t>キンガク</t>
    </rPh>
    <rPh sb="54" eb="55">
      <t>オオ</t>
    </rPh>
    <rPh sb="60" eb="62">
      <t>チョウカ</t>
    </rPh>
    <rPh sb="62" eb="64">
      <t>ブブン</t>
    </rPh>
    <phoneticPr fontId="4"/>
  </si>
  <si>
    <t>★職員賃金の上限について★</t>
    <rPh sb="1" eb="3">
      <t>ショクイン</t>
    </rPh>
    <rPh sb="3" eb="5">
      <t>チンギン</t>
    </rPh>
    <rPh sb="6" eb="8">
      <t>ジョウゲン</t>
    </rPh>
    <phoneticPr fontId="4"/>
  </si>
  <si>
    <t>円です。</t>
    <rPh sb="0" eb="1">
      <t>エン</t>
    </rPh>
    <phoneticPr fontId="4"/>
  </si>
  <si>
    <t>≪※団体へ送付する際はＷ列～AC列を非表示に！！≫</t>
    <rPh sb="2" eb="4">
      <t>ダンタイ</t>
    </rPh>
    <rPh sb="5" eb="7">
      <t>ソウフ</t>
    </rPh>
    <rPh sb="9" eb="10">
      <t>サイ</t>
    </rPh>
    <rPh sb="12" eb="13">
      <t>レツ</t>
    </rPh>
    <rPh sb="16" eb="17">
      <t>レツ</t>
    </rPh>
    <rPh sb="18" eb="21">
      <t>ヒヒョウジ</t>
    </rPh>
    <phoneticPr fontId="4"/>
  </si>
  <si>
    <t>※最終的な総支出額が決定額以下の場合、上限は表示金額以下となりますのでご注意ください。</t>
    <phoneticPr fontId="4"/>
  </si>
  <si>
    <t>決定額以上支出した場合、上限額は</t>
    <rPh sb="0" eb="2">
      <t>ケッテイ</t>
    </rPh>
    <rPh sb="2" eb="3">
      <t>ガク</t>
    </rPh>
    <rPh sb="3" eb="5">
      <t>イジョウ</t>
    </rPh>
    <rPh sb="5" eb="7">
      <t>シシュツ</t>
    </rPh>
    <rPh sb="9" eb="11">
      <t>バアイ</t>
    </rPh>
    <rPh sb="12" eb="14">
      <t>ジョウゲン</t>
    </rPh>
    <rPh sb="14" eb="15">
      <t>ガク</t>
    </rPh>
    <phoneticPr fontId="4"/>
  </si>
  <si>
    <t>購入日</t>
    <rPh sb="0" eb="2">
      <t>コウニュウ</t>
    </rPh>
    <rPh sb="2" eb="3">
      <t>ビ</t>
    </rPh>
    <phoneticPr fontId="4"/>
  </si>
  <si>
    <t>品名</t>
    <rPh sb="0" eb="2">
      <t>ヒンメイ</t>
    </rPh>
    <phoneticPr fontId="4"/>
  </si>
  <si>
    <t>使途</t>
    <rPh sb="0" eb="2">
      <t>シト</t>
    </rPh>
    <phoneticPr fontId="4"/>
  </si>
  <si>
    <t>使用頻度</t>
    <rPh sb="0" eb="2">
      <t>シヨウ</t>
    </rPh>
    <rPh sb="2" eb="4">
      <t>ヒンド</t>
    </rPh>
    <phoneticPr fontId="4"/>
  </si>
  <si>
    <t>単価（円）</t>
    <rPh sb="0" eb="2">
      <t>タンカ</t>
    </rPh>
    <rPh sb="3" eb="4">
      <t>エン</t>
    </rPh>
    <phoneticPr fontId="4"/>
  </si>
  <si>
    <t>個数（個）</t>
    <rPh sb="0" eb="2">
      <t>コスウ</t>
    </rPh>
    <rPh sb="3" eb="4">
      <t>コ</t>
    </rPh>
    <phoneticPr fontId="4"/>
  </si>
  <si>
    <t>保管場所</t>
    <rPh sb="0" eb="2">
      <t>ホカン</t>
    </rPh>
    <rPh sb="2" eb="4">
      <t>バショ</t>
    </rPh>
    <phoneticPr fontId="4"/>
  </si>
  <si>
    <t>耐用
年数</t>
    <rPh sb="0" eb="2">
      <t>タイヨウ</t>
    </rPh>
    <rPh sb="3" eb="5">
      <t>ネンスウ</t>
    </rPh>
    <phoneticPr fontId="4"/>
  </si>
  <si>
    <t>償却期日</t>
    <rPh sb="0" eb="2">
      <t>ショウキャク</t>
    </rPh>
    <rPh sb="2" eb="4">
      <t>キジツ</t>
    </rPh>
    <phoneticPr fontId="4"/>
  </si>
  <si>
    <t>謝金（外部）</t>
  </si>
  <si>
    <t>謝金（外部）</t>
    <phoneticPr fontId="4"/>
  </si>
  <si>
    <t>謝金（内部）</t>
    <rPh sb="3" eb="5">
      <t>ナイブ</t>
    </rPh>
    <phoneticPr fontId="4"/>
  </si>
  <si>
    <t>④ 返還金について（該当団体のみ）</t>
    <rPh sb="2" eb="4">
      <t>ヘンカン</t>
    </rPh>
    <rPh sb="4" eb="5">
      <t>キン</t>
    </rPh>
    <rPh sb="10" eb="12">
      <t>ガイトウ</t>
    </rPh>
    <rPh sb="12" eb="14">
      <t>ダンタイ</t>
    </rPh>
    <phoneticPr fontId="4"/>
  </si>
  <si>
    <t>　　　返還金が発生した理由を具体的にご入力ください。　（例：○○により、□□の部分の費用が少なくなったため。）</t>
    <rPh sb="3" eb="6">
      <t>ヘンカンキン</t>
    </rPh>
    <rPh sb="7" eb="9">
      <t>ハッセイ</t>
    </rPh>
    <rPh sb="11" eb="13">
      <t>リユウ</t>
    </rPh>
    <rPh sb="14" eb="17">
      <t>グタイテキ</t>
    </rPh>
    <rPh sb="19" eb="21">
      <t>ニュウリョク</t>
    </rPh>
    <rPh sb="28" eb="29">
      <t>レイ</t>
    </rPh>
    <rPh sb="39" eb="41">
      <t>ブブン</t>
    </rPh>
    <rPh sb="42" eb="44">
      <t>ヒヨウ</t>
    </rPh>
    <rPh sb="45" eb="46">
      <t>スク</t>
    </rPh>
    <phoneticPr fontId="4"/>
  </si>
  <si>
    <t>⑤備品購入リスト（購入価格が３０万円以上の備品）</t>
    <rPh sb="1" eb="3">
      <t>ビヒン</t>
    </rPh>
    <rPh sb="3" eb="5">
      <t>コウニュウ</t>
    </rPh>
    <rPh sb="9" eb="11">
      <t>コウニュウ</t>
    </rPh>
    <rPh sb="11" eb="13">
      <t>カカク</t>
    </rPh>
    <rPh sb="16" eb="18">
      <t>マンエン</t>
    </rPh>
    <rPh sb="18" eb="20">
      <t>イジョウ</t>
    </rPh>
    <rPh sb="21" eb="23">
      <t>ビヒン</t>
    </rPh>
    <phoneticPr fontId="4"/>
  </si>
  <si>
    <t>団体基本情報入力</t>
    <rPh sb="6" eb="8">
      <t>ニュウリョク</t>
    </rPh>
    <phoneticPr fontId="4"/>
  </si>
  <si>
    <t>柱立て</t>
    <rPh sb="0" eb="1">
      <t>ハシラ</t>
    </rPh>
    <rPh sb="1" eb="2">
      <t>ダ</t>
    </rPh>
    <phoneticPr fontId="4"/>
  </si>
  <si>
    <t>謝金（内部）</t>
  </si>
  <si>
    <t>　 領収書
    番号</t>
    <rPh sb="2" eb="5">
      <t>リョウシュウショ</t>
    </rPh>
    <rPh sb="10" eb="12">
      <t>バンゴウ</t>
    </rPh>
    <phoneticPr fontId="5"/>
  </si>
  <si>
    <t>（様式３）</t>
    <rPh sb="1" eb="3">
      <t>ヨウシキ</t>
    </rPh>
    <phoneticPr fontId="4"/>
  </si>
  <si>
    <t>入力時は「支出管理エクセルご利用マニュアル」を参考にして下さい。</t>
    <rPh sb="0" eb="2">
      <t>ニュウリョク</t>
    </rPh>
    <rPh sb="2" eb="3">
      <t>ジ</t>
    </rPh>
    <rPh sb="5" eb="9">
      <t>シシュツカンリ</t>
    </rPh>
    <rPh sb="14" eb="16">
      <t>リヨウ</t>
    </rPh>
    <rPh sb="23" eb="25">
      <t>サンコウ</t>
    </rPh>
    <rPh sb="28" eb="29">
      <t>クダ</t>
    </rPh>
    <phoneticPr fontId="4"/>
  </si>
  <si>
    <r>
      <t>　　</t>
    </r>
    <r>
      <rPr>
        <b/>
        <sz val="14"/>
        <rFont val="ＭＳ Ｐゴシック"/>
        <family val="3"/>
        <charset val="128"/>
      </rPr>
      <t>金額</t>
    </r>
    <r>
      <rPr>
        <sz val="14"/>
        <rFont val="ＭＳ Ｐゴシック"/>
        <family val="3"/>
        <charset val="128"/>
      </rPr>
      <t xml:space="preserve">
</t>
    </r>
    <r>
      <rPr>
        <sz val="12"/>
        <rFont val="ＭＳ Ｐゴシック"/>
        <family val="3"/>
        <charset val="128"/>
      </rPr>
      <t>助成事業にか
かった金額を
入力ください。</t>
    </r>
    <rPh sb="2" eb="4">
      <t>キンガク</t>
    </rPh>
    <rPh sb="6" eb="10">
      <t>ジョセイジギョウ</t>
    </rPh>
    <rPh sb="16" eb="18">
      <t>キンガク</t>
    </rPh>
    <rPh sb="20" eb="22">
      <t>ニュウリョク</t>
    </rPh>
    <phoneticPr fontId="5"/>
  </si>
  <si>
    <r>
      <rPr>
        <b/>
        <sz val="14"/>
        <color theme="1"/>
        <rFont val="ＭＳ Ｐゴシック"/>
        <family val="3"/>
        <charset val="128"/>
      </rPr>
      <t xml:space="preserve">
旅行区間および宿泊地</t>
    </r>
    <r>
      <rPr>
        <b/>
        <sz val="12"/>
        <color theme="1"/>
        <rFont val="ＭＳ Ｐゴシック"/>
        <family val="3"/>
        <charset val="128"/>
      </rPr>
      <t xml:space="preserve">
</t>
    </r>
    <r>
      <rPr>
        <sz val="12"/>
        <color theme="1"/>
        <rFont val="ＭＳ Ｐゴシック"/>
        <family val="3"/>
        <charset val="128"/>
      </rPr>
      <t xml:space="preserve">
区間と宿泊地をご入力ください。例：東京～大阪（宿泊：虎ノ門）</t>
    </r>
    <rPh sb="1" eb="3">
      <t>リョコウ</t>
    </rPh>
    <rPh sb="3" eb="5">
      <t>クカン</t>
    </rPh>
    <rPh sb="8" eb="11">
      <t>シュクハクチ</t>
    </rPh>
    <rPh sb="13" eb="15">
      <t>クカン</t>
    </rPh>
    <rPh sb="16" eb="19">
      <t>シュクハクチ</t>
    </rPh>
    <rPh sb="21" eb="23">
      <t>ニュウリョク</t>
    </rPh>
    <rPh sb="28" eb="29">
      <t>レイ</t>
    </rPh>
    <rPh sb="30" eb="32">
      <t>トウキョウ</t>
    </rPh>
    <rPh sb="33" eb="35">
      <t>オオサカ</t>
    </rPh>
    <rPh sb="36" eb="38">
      <t>シュクハク</t>
    </rPh>
    <rPh sb="39" eb="40">
      <t>トラ</t>
    </rPh>
    <rPh sb="41" eb="42">
      <t>モン</t>
    </rPh>
    <phoneticPr fontId="4"/>
  </si>
  <si>
    <r>
      <rPr>
        <b/>
        <sz val="14"/>
        <color theme="1"/>
        <rFont val="ＭＳ Ｐゴシック"/>
        <family val="3"/>
        <charset val="128"/>
      </rPr>
      <t>　　 
     科目</t>
    </r>
    <r>
      <rPr>
        <b/>
        <sz val="12"/>
        <color theme="1"/>
        <rFont val="ＭＳ Ｐゴシック"/>
        <family val="3"/>
        <charset val="128"/>
      </rPr>
      <t xml:space="preserve">
</t>
    </r>
    <r>
      <rPr>
        <sz val="12"/>
        <rFont val="ＭＳ Ｐゴシック"/>
        <family val="3"/>
        <charset val="128"/>
      </rPr>
      <t>(プルダウン選択)</t>
    </r>
    <rPh sb="9" eb="11">
      <t>カモク</t>
    </rPh>
    <phoneticPr fontId="4"/>
  </si>
  <si>
    <r>
      <rPr>
        <b/>
        <sz val="14"/>
        <color theme="1"/>
        <rFont val="ＭＳ Ｐゴシック"/>
        <family val="3"/>
        <charset val="128"/>
      </rPr>
      <t>　　収入の相手方</t>
    </r>
    <r>
      <rPr>
        <b/>
        <sz val="11"/>
        <color theme="1"/>
        <rFont val="ＭＳ Ｐゴシック"/>
        <family val="3"/>
        <charset val="128"/>
      </rPr>
      <t xml:space="preserve">
</t>
    </r>
    <rPh sb="2" eb="4">
      <t>シュウニュウ</t>
    </rPh>
    <rPh sb="5" eb="7">
      <t>アイテ</t>
    </rPh>
    <rPh sb="7" eb="8">
      <t>カタ</t>
    </rPh>
    <phoneticPr fontId="4"/>
  </si>
  <si>
    <r>
      <rPr>
        <b/>
        <sz val="14"/>
        <color theme="1"/>
        <rFont val="ＭＳ Ｐゴシック"/>
        <family val="3"/>
        <charset val="128"/>
      </rPr>
      <t>収入金額</t>
    </r>
    <r>
      <rPr>
        <b/>
        <sz val="11"/>
        <color theme="1"/>
        <rFont val="ＭＳ Ｐゴシック"/>
        <family val="3"/>
        <charset val="128"/>
      </rPr>
      <t xml:space="preserve">
</t>
    </r>
    <rPh sb="0" eb="2">
      <t>シュウニュウ</t>
    </rPh>
    <rPh sb="2" eb="4">
      <t>キンガク</t>
    </rPh>
    <phoneticPr fontId="4"/>
  </si>
  <si>
    <r>
      <rPr>
        <b/>
        <sz val="14"/>
        <color theme="1"/>
        <rFont val="ＭＳ Ｐゴシック"/>
        <family val="3"/>
        <charset val="128"/>
      </rPr>
      <t xml:space="preserve">
収入の区分</t>
    </r>
    <r>
      <rPr>
        <sz val="11"/>
        <color theme="1"/>
        <rFont val="ＭＳ Ｐゴシック"/>
        <family val="3"/>
        <charset val="128"/>
      </rPr>
      <t xml:space="preserve">
（プルダウン選択）
</t>
    </r>
    <r>
      <rPr>
        <sz val="11"/>
        <color rgb="FFFF0000"/>
        <rFont val="ＭＳ Ｐゴシック"/>
        <family val="3"/>
        <charset val="128"/>
      </rPr>
      <t>WAMからの
助成金額は入力しないでください。</t>
    </r>
    <rPh sb="1" eb="3">
      <t>シュウニュウ</t>
    </rPh>
    <rPh sb="13" eb="15">
      <t>センタク</t>
    </rPh>
    <rPh sb="25" eb="27">
      <t>ジョセイ</t>
    </rPh>
    <rPh sb="27" eb="29">
      <t>キンガク</t>
    </rPh>
    <rPh sb="28" eb="30">
      <t>ニュウリョク</t>
    </rPh>
    <phoneticPr fontId="4"/>
  </si>
  <si>
    <t xml:space="preserve">柱立て番号 </t>
    <rPh sb="0" eb="1">
      <t>ハシラ</t>
    </rPh>
    <rPh sb="1" eb="2">
      <t>ダ</t>
    </rPh>
    <rPh sb="3" eb="5">
      <t>バンゴウ</t>
    </rPh>
    <phoneticPr fontId="4"/>
  </si>
  <si>
    <r>
      <rPr>
        <b/>
        <u/>
        <sz val="14"/>
        <color rgb="FFFF0000"/>
        <rFont val="ＭＳ Ｐゴシック"/>
        <family val="3"/>
        <charset val="128"/>
      </rPr>
      <t xml:space="preserve">対象
</t>
    </r>
    <r>
      <rPr>
        <b/>
        <u/>
        <sz val="14"/>
        <rFont val="ＭＳ Ｐゴシック"/>
        <family val="3"/>
        <charset val="128"/>
      </rPr>
      <t>経費</t>
    </r>
    <r>
      <rPr>
        <b/>
        <sz val="14"/>
        <rFont val="ＭＳ Ｐゴシック"/>
        <family val="3"/>
        <charset val="128"/>
      </rPr>
      <t xml:space="preserve">
</t>
    </r>
    <r>
      <rPr>
        <sz val="12"/>
        <rFont val="ＭＳ Ｐゴシック"/>
        <family val="3"/>
        <charset val="128"/>
      </rPr>
      <t xml:space="preserve">左列「金額」
のうち
</t>
    </r>
    <r>
      <rPr>
        <sz val="12"/>
        <color rgb="FFFF0000"/>
        <rFont val="ＭＳ Ｐゴシック"/>
        <family val="3"/>
        <charset val="128"/>
      </rPr>
      <t>対象</t>
    </r>
    <r>
      <rPr>
        <sz val="12"/>
        <rFont val="ＭＳ Ｐゴシック"/>
        <family val="3"/>
        <charset val="128"/>
      </rPr>
      <t>経費</t>
    </r>
    <phoneticPr fontId="4"/>
  </si>
  <si>
    <t>※総合計と精算額計算書が合わない場合は、M列に未入力のセルが含まれている場合があります→</t>
    <rPh sb="1" eb="2">
      <t>ソウ</t>
    </rPh>
    <rPh sb="2" eb="4">
      <t>ゴウケイ</t>
    </rPh>
    <rPh sb="5" eb="8">
      <t>セイサンガク</t>
    </rPh>
    <rPh sb="8" eb="11">
      <t>ケイサンショ</t>
    </rPh>
    <rPh sb="12" eb="13">
      <t>ア</t>
    </rPh>
    <rPh sb="16" eb="18">
      <t>バアイ</t>
    </rPh>
    <rPh sb="21" eb="22">
      <t>レツ</t>
    </rPh>
    <rPh sb="23" eb="26">
      <t>ミニュウリョク</t>
    </rPh>
    <rPh sb="30" eb="31">
      <t>フク</t>
    </rPh>
    <rPh sb="36" eb="38">
      <t>バアイ</t>
    </rPh>
    <phoneticPr fontId="4"/>
  </si>
  <si>
    <t>団体名：</t>
    <rPh sb="0" eb="3">
      <t>ダンタイメイ</t>
    </rPh>
    <phoneticPr fontId="4"/>
  </si>
  <si>
    <t>団体名：</t>
    <rPh sb="0" eb="3">
      <t>ダンタイメイ</t>
    </rPh>
    <phoneticPr fontId="4"/>
  </si>
  <si>
    <t>連絡可能日時</t>
    <rPh sb="0" eb="2">
      <t>レンラク</t>
    </rPh>
    <rPh sb="2" eb="4">
      <t>カノウ</t>
    </rPh>
    <rPh sb="4" eb="6">
      <t>ニチジ</t>
    </rPh>
    <phoneticPr fontId="4"/>
  </si>
  <si>
    <t>エラーチェック
（旅費区間以外の入力カウント）</t>
    <phoneticPr fontId="4"/>
  </si>
  <si>
    <t>未入力チェック</t>
    <rPh sb="0" eb="3">
      <t>ミニュウリョク</t>
    </rPh>
    <phoneticPr fontId="4"/>
  </si>
  <si>
    <t>担当者2</t>
    <rPh sb="0" eb="3">
      <t>タントウシャ</t>
    </rPh>
    <phoneticPr fontId="4"/>
  </si>
  <si>
    <t>担当者1</t>
    <rPh sb="0" eb="3">
      <t>タントウシャ</t>
    </rPh>
    <phoneticPr fontId="4"/>
  </si>
  <si>
    <t>謝金の場合のみ</t>
    <rPh sb="0" eb="2">
      <t>シャキン</t>
    </rPh>
    <rPh sb="3" eb="5">
      <t>バアイ</t>
    </rPh>
    <phoneticPr fontId="4"/>
  </si>
  <si>
    <r>
      <rPr>
        <sz val="11"/>
        <color rgb="FFFF0000"/>
        <rFont val="ＭＳ Ｐゴシック"/>
        <family val="3"/>
        <charset val="128"/>
      </rPr>
      <t>その後</t>
    </r>
    <r>
      <rPr>
        <sz val="11"/>
        <color theme="1"/>
        <rFont val="ＭＳ Ｐゴシック"/>
        <family val="3"/>
        <charset val="128"/>
      </rPr>
      <t>支出や収入が発生しましたら支出入力表、収入入力表を適宜入力し、
事業完了時には精算額計算書、事業完了報告書のご入力をお願いいたします。</t>
    </r>
  </si>
  <si>
    <t>★必ずしも支出年月日の順に入力する必要はありません。
　 入力漏れが判明した場合は、判明時点での最終行にご入力ください。
★「行」の挿入及び削除はできません。既に入力した文字や数値を削除する場合は、     その行のセルの入力内容を全てクリアしてください。 
★枠外にある　　　　　　　　　　　　　　　　　　を必ずご確認ください。
★セルのコピーアンドペーストはしないでください。　</t>
    <rPh sb="1" eb="2">
      <t>カナラ</t>
    </rPh>
    <rPh sb="5" eb="7">
      <t>シシュツ</t>
    </rPh>
    <rPh sb="7" eb="10">
      <t>ネンガッピ</t>
    </rPh>
    <rPh sb="11" eb="12">
      <t>ジュン</t>
    </rPh>
    <rPh sb="13" eb="15">
      <t>ニュウリョク</t>
    </rPh>
    <rPh sb="17" eb="19">
      <t>ヒツヨウ</t>
    </rPh>
    <phoneticPr fontId="4"/>
  </si>
  <si>
    <r>
      <t xml:space="preserve"> 支出年月日</t>
    </r>
    <r>
      <rPr>
        <sz val="12"/>
        <color theme="1"/>
        <rFont val="ＭＳ Ｐゴシック"/>
        <family val="3"/>
        <charset val="128"/>
      </rPr>
      <t xml:space="preserve">
入力形式は西暦(ex. 2025/4/1)
でも可
</t>
    </r>
    <r>
      <rPr>
        <b/>
        <sz val="12"/>
        <color rgb="FFFF0000"/>
        <rFont val="ＭＳ Ｐゴシック"/>
        <family val="3"/>
        <charset val="128"/>
      </rPr>
      <t>領収書の日付</t>
    </r>
    <r>
      <rPr>
        <sz val="12"/>
        <color theme="1"/>
        <rFont val="ＭＳ Ｐゴシック"/>
        <family val="3"/>
        <charset val="128"/>
      </rPr>
      <t>をご入力ください。</t>
    </r>
    <rPh sb="1" eb="3">
      <t>シシュツ</t>
    </rPh>
    <rPh sb="3" eb="6">
      <t>ネンガッピ</t>
    </rPh>
    <rPh sb="7" eb="8">
      <t>ビ</t>
    </rPh>
    <rPh sb="8" eb="10">
      <t>ニュウリョク</t>
    </rPh>
    <rPh sb="11" eb="12">
      <t>ニシ</t>
    </rPh>
    <rPh sb="30" eb="31">
      <t>カ</t>
    </rPh>
    <rPh sb="32" eb="33">
      <t>カ</t>
    </rPh>
    <rPh sb="35" eb="38">
      <t>リョウシュウショ</t>
    </rPh>
    <rPh sb="36" eb="38">
      <t>ヒヅケ</t>
    </rPh>
    <rPh sb="40" eb="42">
      <t>ニュウリョク</t>
    </rPh>
    <phoneticPr fontId="5"/>
  </si>
  <si>
    <t>　最初にこちらを入力してください。ご入力が終わりましたら、
　「精算額計算書：支援金決定時」に予算をご入力ください。</t>
    <phoneticPr fontId="4"/>
  </si>
  <si>
    <r>
      <rPr>
        <b/>
        <u/>
        <sz val="14"/>
        <color rgb="FFFF0000"/>
        <rFont val="ＭＳ Ｐゴシック"/>
        <family val="3"/>
        <charset val="128"/>
      </rPr>
      <t xml:space="preserve">対象外
</t>
    </r>
    <r>
      <rPr>
        <b/>
        <sz val="14"/>
        <color theme="1"/>
        <rFont val="ＭＳ Ｐゴシック"/>
        <family val="3"/>
        <charset val="128"/>
      </rPr>
      <t xml:space="preserve">経費
(自動計算)
</t>
    </r>
    <r>
      <rPr>
        <b/>
        <sz val="12"/>
        <color theme="1"/>
        <rFont val="ＭＳ Ｐゴシック"/>
        <family val="3"/>
        <charset val="128"/>
      </rPr>
      <t xml:space="preserve">
</t>
    </r>
    <rPh sb="0" eb="2">
      <t>タイショウ</t>
    </rPh>
    <rPh sb="2" eb="3">
      <t>ガイ</t>
    </rPh>
    <rPh sb="4" eb="6">
      <t>ケイヒ</t>
    </rPh>
    <rPh sb="8" eb="10">
      <t>ジドウ</t>
    </rPh>
    <rPh sb="10" eb="12">
      <t>ケイサン</t>
    </rPh>
    <phoneticPr fontId="4"/>
  </si>
  <si>
    <r>
      <rPr>
        <b/>
        <sz val="14"/>
        <color theme="1"/>
        <rFont val="ＭＳ Ｐゴシック"/>
        <family val="3"/>
        <charset val="128"/>
      </rPr>
      <t xml:space="preserve"> 入金年月日
</t>
    </r>
    <r>
      <rPr>
        <b/>
        <sz val="11"/>
        <color theme="1"/>
        <rFont val="ＭＳ Ｐゴシック"/>
        <family val="3"/>
        <charset val="128"/>
      </rPr>
      <t xml:space="preserve">
</t>
    </r>
    <r>
      <rPr>
        <sz val="11"/>
        <color theme="1"/>
        <rFont val="ＭＳ Ｐゴシック"/>
        <family val="3"/>
        <charset val="128"/>
      </rPr>
      <t>入力形式は
西暦(ex. 2025/4/1)も可</t>
    </r>
    <rPh sb="1" eb="3">
      <t>ニュウキン</t>
    </rPh>
    <rPh sb="3" eb="5">
      <t>ネンゲツ</t>
    </rPh>
    <rPh sb="5" eb="6">
      <t>ヒ</t>
    </rPh>
    <rPh sb="8" eb="10">
      <t>ニュウリョク</t>
    </rPh>
    <rPh sb="10" eb="12">
      <t>ケイシキ</t>
    </rPh>
    <phoneticPr fontId="4"/>
  </si>
  <si>
    <t>旅費チェック</t>
    <rPh sb="0" eb="2">
      <t>リョヒ</t>
    </rPh>
    <phoneticPr fontId="4"/>
  </si>
  <si>
    <t>謝金チェック</t>
    <rPh sb="0" eb="2">
      <t>シャキン</t>
    </rPh>
    <phoneticPr fontId="4"/>
  </si>
  <si>
    <r>
      <t>　助成事業にかかった</t>
    </r>
    <r>
      <rPr>
        <b/>
        <sz val="11"/>
        <color rgb="FFFF0000"/>
        <rFont val="ＭＳ Ｐゴシック"/>
        <family val="3"/>
        <charset val="128"/>
      </rPr>
      <t>【 支出 】</t>
    </r>
    <r>
      <rPr>
        <sz val="11"/>
        <color theme="1"/>
        <rFont val="ＭＳ Ｐゴシック"/>
        <family val="3"/>
        <charset val="128"/>
      </rPr>
      <t>を入力する表です。支出が生じましたら、
　　　　　　　 のセル入力／プルダウン選択をしてください。</t>
    </r>
    <rPh sb="1" eb="3">
      <t>ジョセイ</t>
    </rPh>
    <phoneticPr fontId="4"/>
  </si>
  <si>
    <r>
      <t>　助成事業による</t>
    </r>
    <r>
      <rPr>
        <b/>
        <sz val="11"/>
        <color rgb="FFFF0000"/>
        <rFont val="ＭＳ Ｐゴシック"/>
        <family val="3"/>
        <charset val="128"/>
      </rPr>
      <t>【 収入 】</t>
    </r>
    <r>
      <rPr>
        <sz val="11"/>
        <color theme="1"/>
        <rFont val="ＭＳ Ｐゴシック"/>
        <family val="3"/>
        <charset val="128"/>
      </rPr>
      <t>を入力する表です。収入が生じましたら、
　　　　　　　 のセル入力／プルダウン選択をしてください。</t>
    </r>
    <rPh sb="1" eb="3">
      <t>ジョセイ</t>
    </rPh>
    <phoneticPr fontId="4"/>
  </si>
  <si>
    <t>　予算の消化状況を確認する表です。随時ご確認しながら事業を進めてください。
助成金決定時欄に予算の入力がお済の際は、事業完了時に　　　　　　　セルに入力してください。</t>
    <rPh sb="39" eb="41">
      <t>ジョセイ</t>
    </rPh>
    <phoneticPr fontId="4"/>
  </si>
  <si>
    <t>入力カウント</t>
    <rPh sb="0" eb="2">
      <t>ニュウリョク</t>
    </rPh>
    <phoneticPr fontId="4"/>
  </si>
  <si>
    <r>
      <rPr>
        <b/>
        <sz val="14"/>
        <color theme="1"/>
        <rFont val="ＭＳ Ｐゴシック"/>
        <family val="3"/>
        <charset val="128"/>
      </rPr>
      <t xml:space="preserve">
活動日数</t>
    </r>
    <r>
      <rPr>
        <b/>
        <sz val="12"/>
        <color theme="1"/>
        <rFont val="ＭＳ Ｐゴシック"/>
        <family val="3"/>
        <charset val="128"/>
      </rPr>
      <t xml:space="preserve">
</t>
    </r>
    <r>
      <rPr>
        <sz val="12"/>
        <color theme="1"/>
        <rFont val="ＭＳ Ｐゴシック"/>
        <family val="3"/>
        <charset val="128"/>
      </rPr>
      <t xml:space="preserve">
活動日数(回数)を
ご入力ください。</t>
    </r>
    <rPh sb="1" eb="3">
      <t>カツドウ</t>
    </rPh>
    <rPh sb="3" eb="5">
      <t>ニッスウ</t>
    </rPh>
    <rPh sb="7" eb="9">
      <t>カツドウ</t>
    </rPh>
    <rPh sb="9" eb="11">
      <t>ニッスウ</t>
    </rPh>
    <rPh sb="12" eb="14">
      <t>カイスウ</t>
    </rPh>
    <rPh sb="19" eb="20">
      <t>レイ</t>
    </rPh>
    <rPh sb="21" eb="23">
      <t>トウキョウ</t>
    </rPh>
    <phoneticPr fontId="4"/>
  </si>
  <si>
    <t>事　業　完　了　報　告　書</t>
    <phoneticPr fontId="4"/>
  </si>
  <si>
    <t>寄付金
その他の収入
（Ｂ）</t>
    <rPh sb="0" eb="3">
      <t>キフキン</t>
    </rPh>
    <rPh sb="6" eb="7">
      <t>タ</t>
    </rPh>
    <rPh sb="9" eb="11">
      <t>シュウニュウ</t>
    </rPh>
    <phoneticPr fontId="4"/>
  </si>
  <si>
    <t>T　 E　 L</t>
    <phoneticPr fontId="4"/>
  </si>
  <si>
    <t>連絡可能時間帯</t>
    <rPh sb="0" eb="7">
      <t>レンラクカノウジカンタイ</t>
    </rPh>
    <phoneticPr fontId="4"/>
  </si>
  <si>
    <t xml:space="preserve"> 　支払いの相手方</t>
    <phoneticPr fontId="4"/>
  </si>
  <si>
    <r>
      <rPr>
        <b/>
        <sz val="14"/>
        <color theme="1"/>
        <rFont val="ＭＳ Ｐゴシック"/>
        <family val="3"/>
        <charset val="128"/>
      </rPr>
      <t>摘要</t>
    </r>
    <r>
      <rPr>
        <b/>
        <sz val="12"/>
        <color theme="1"/>
        <rFont val="ＭＳ Ｐゴシック"/>
        <family val="3"/>
        <charset val="128"/>
      </rPr>
      <t xml:space="preserve">
支払いの具体的な内容</t>
    </r>
    <phoneticPr fontId="4"/>
  </si>
  <si>
    <t>助成金決定時</t>
    <phoneticPr fontId="4"/>
  </si>
  <si>
    <r>
      <t>　</t>
    </r>
    <r>
      <rPr>
        <b/>
        <sz val="11"/>
        <color rgb="FFFF0000"/>
        <rFont val="ＭＳ Ｐゴシック"/>
        <family val="3"/>
        <charset val="128"/>
      </rPr>
      <t>事業完了時にご提出いただく書類</t>
    </r>
    <r>
      <rPr>
        <sz val="11"/>
        <color theme="1"/>
        <rFont val="ＭＳ Ｐゴシック"/>
        <family val="3"/>
        <charset val="128"/>
      </rPr>
      <t>で、事業完了時から１か月以内
　または令和８年４月末日のいずれか早い日までに、ご提出いただきます。
　　　　　　 　のセルを入力してください。</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</si>
</sst>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円&quot;"/>
    <numFmt numFmtId="177" formatCode="0_);\(0\)"/>
    <numFmt numFmtId="178" formatCode="[$-411]ge\.m\.d;@"/>
    <numFmt numFmtId="179" formatCode="0.0%"/>
    <numFmt numFmtId="180" formatCode="0_);[Red]\(0\)"/>
  </numFmts>
  <fonts count="78">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4"/>
      <color theme="1"/>
      <name val="ＭＳ Ｐゴシック"/>
      <family val="3"/>
      <charset val="128"/>
    </font>
    <font>
      <sz val="6"/>
      <name val="游ゴシック"/>
      <family val="2"/>
      <charset val="128"/>
      <scheme val="minor"/>
    </font>
    <font>
      <sz val="6"/>
      <name val="游ゴシック"/>
      <family val="3"/>
      <charset val="128"/>
      <scheme val="minor"/>
    </font>
    <font>
      <sz val="14"/>
      <name val="ＭＳ Ｐゴシック"/>
      <family val="3"/>
      <charset val="128"/>
    </font>
    <font>
      <sz val="12"/>
      <color theme="1"/>
      <name val="ＭＳ Ｐゴシック"/>
      <family val="3"/>
      <charset val="128"/>
    </font>
    <font>
      <sz val="11"/>
      <color indexed="8"/>
      <name val="ＭＳ Ｐゴシック"/>
      <family val="3"/>
      <charset val="128"/>
    </font>
    <font>
      <sz val="11"/>
      <color theme="1"/>
      <name val="ＭＳ Ｐゴシック"/>
      <family val="3"/>
      <charset val="128"/>
    </font>
    <font>
      <b/>
      <sz val="12"/>
      <color theme="1"/>
      <name val="ＭＳ Ｐゴシック"/>
      <family val="3"/>
      <charset val="128"/>
    </font>
    <font>
      <b/>
      <sz val="11"/>
      <color theme="1"/>
      <name val="ＭＳ Ｐゴシック"/>
      <family val="3"/>
      <charset val="128"/>
    </font>
    <font>
      <b/>
      <sz val="8"/>
      <color theme="1"/>
      <name val="ＭＳ Ｐゴシック"/>
      <family val="3"/>
      <charset val="128"/>
    </font>
    <font>
      <u/>
      <sz val="9"/>
      <color theme="1"/>
      <name val="ＭＳ Ｐゴシック"/>
      <family val="3"/>
      <charset val="128"/>
    </font>
    <font>
      <b/>
      <sz val="14"/>
      <color theme="1"/>
      <name val="ＭＳ Ｐゴシック"/>
      <family val="3"/>
      <charset val="128"/>
    </font>
    <font>
      <b/>
      <sz val="9"/>
      <color theme="1"/>
      <name val="ＭＳ Ｐ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sz val="9"/>
      <color theme="1"/>
      <name val="ＭＳ Ｐ明朝"/>
      <family val="1"/>
      <charset val="128"/>
    </font>
    <font>
      <sz val="11"/>
      <name val="ＭＳ Ｐ明朝"/>
      <family val="1"/>
      <charset val="128"/>
    </font>
    <font>
      <sz val="11"/>
      <name val="ＭＳ Ｐゴシック"/>
      <family val="3"/>
      <charset val="128"/>
    </font>
    <font>
      <sz val="16"/>
      <color theme="1"/>
      <name val="ＭＳ Ｐゴシック"/>
      <family val="3"/>
      <charset val="128"/>
    </font>
    <font>
      <u/>
      <sz val="9.35"/>
      <color indexed="12"/>
      <name val="ＭＳ Ｐゴシック"/>
      <family val="3"/>
      <charset val="128"/>
    </font>
    <font>
      <sz val="6"/>
      <name val="ＭＳ Ｐゴシック"/>
      <family val="3"/>
      <charset val="128"/>
    </font>
    <font>
      <b/>
      <sz val="18"/>
      <color theme="1"/>
      <name val="ＭＳ Ｐゴシック"/>
      <family val="3"/>
      <charset val="128"/>
    </font>
    <font>
      <sz val="11"/>
      <color theme="0"/>
      <name val="ＭＳ Ｐ明朝"/>
      <family val="1"/>
      <charset val="128"/>
    </font>
    <font>
      <b/>
      <sz val="11"/>
      <name val="ＭＳ Ｐゴシック"/>
      <family val="3"/>
      <charset val="128"/>
    </font>
    <font>
      <b/>
      <u/>
      <sz val="14"/>
      <color indexed="12"/>
      <name val="ＭＳ Ｐゴシック"/>
      <family val="3"/>
      <charset val="128"/>
    </font>
    <font>
      <b/>
      <sz val="11"/>
      <color rgb="FFFF0000"/>
      <name val="ＭＳ Ｐゴシック"/>
      <family val="3"/>
      <charset val="128"/>
    </font>
    <font>
      <b/>
      <sz val="16"/>
      <color theme="1"/>
      <name val="ＭＳ Ｐゴシック"/>
      <family val="3"/>
      <charset val="128"/>
    </font>
    <font>
      <sz val="24"/>
      <color theme="1"/>
      <name val="ＭＳ Ｐゴシック"/>
      <family val="3"/>
      <charset val="128"/>
    </font>
    <font>
      <b/>
      <sz val="12"/>
      <color rgb="FFFF0000"/>
      <name val="ＭＳ Ｐゴシック"/>
      <family val="3"/>
      <charset val="128"/>
    </font>
    <font>
      <sz val="11"/>
      <color theme="0"/>
      <name val="ＭＳ Ｐゴシック"/>
      <family val="3"/>
      <charset val="128"/>
    </font>
    <font>
      <b/>
      <u/>
      <sz val="14"/>
      <color rgb="FFFF0000"/>
      <name val="ＭＳ Ｐゴシック"/>
      <family val="3"/>
      <charset val="128"/>
    </font>
    <font>
      <b/>
      <sz val="11"/>
      <color theme="1"/>
      <name val="ＭＳ ゴシック"/>
      <family val="3"/>
      <charset val="128"/>
    </font>
    <font>
      <b/>
      <u/>
      <sz val="11"/>
      <color rgb="FFFF0000"/>
      <name val="ＭＳ ゴシック"/>
      <family val="3"/>
      <charset val="128"/>
    </font>
    <font>
      <b/>
      <u/>
      <sz val="10"/>
      <color rgb="FFFF0000"/>
      <name val="ＭＳ Ｐゴシック"/>
      <family val="3"/>
      <charset val="128"/>
    </font>
    <font>
      <b/>
      <u/>
      <sz val="22"/>
      <color indexed="12"/>
      <name val="ＭＳ Ｐゴシック"/>
      <family val="3"/>
      <charset val="128"/>
    </font>
    <font>
      <b/>
      <sz val="11"/>
      <color indexed="12"/>
      <name val="ＭＳ Ｐゴシック"/>
      <family val="3"/>
      <charset val="128"/>
    </font>
    <font>
      <sz val="24"/>
      <name val="ＭＳ Ｐゴシック"/>
      <family val="3"/>
      <charset val="128"/>
    </font>
    <font>
      <sz val="24"/>
      <color theme="1"/>
      <name val="游ゴシック"/>
      <family val="3"/>
      <charset val="128"/>
      <scheme val="minor"/>
    </font>
    <font>
      <b/>
      <sz val="16"/>
      <color theme="1"/>
      <name val="游ゴシック"/>
      <family val="3"/>
      <charset val="128"/>
      <scheme val="minor"/>
    </font>
    <font>
      <sz val="8"/>
      <color theme="1"/>
      <name val="游ゴシック"/>
      <family val="2"/>
      <charset val="128"/>
      <scheme val="minor"/>
    </font>
    <font>
      <sz val="16"/>
      <color theme="1"/>
      <name val="游ゴシック"/>
      <family val="3"/>
      <charset val="128"/>
      <scheme val="minor"/>
    </font>
    <font>
      <b/>
      <sz val="14"/>
      <name val="ＭＳ Ｐゴシック"/>
      <family val="3"/>
      <charset val="128"/>
    </font>
    <font>
      <b/>
      <sz val="14"/>
      <color theme="1"/>
      <name val="ＭＳ ゴシック"/>
      <family val="3"/>
      <charset val="128"/>
    </font>
    <font>
      <sz val="14"/>
      <color theme="1"/>
      <name val="ＭＳ ゴシック"/>
      <family val="3"/>
      <charset val="128"/>
    </font>
    <font>
      <sz val="11"/>
      <color rgb="FFFF0000"/>
      <name val="游ゴシック"/>
      <family val="3"/>
      <charset val="128"/>
      <scheme val="minor"/>
    </font>
    <font>
      <sz val="10.5"/>
      <color theme="1"/>
      <name val="游明朝"/>
      <family val="1"/>
      <charset val="128"/>
    </font>
    <font>
      <b/>
      <sz val="14"/>
      <color rgb="FFFF0000"/>
      <name val="游ゴシック"/>
      <family val="3"/>
      <charset val="128"/>
    </font>
    <font>
      <sz val="11"/>
      <name val="游ゴシック"/>
      <family val="3"/>
      <charset val="128"/>
    </font>
    <font>
      <sz val="11"/>
      <color theme="1"/>
      <name val="游ゴシック"/>
      <family val="2"/>
      <charset val="128"/>
    </font>
    <font>
      <b/>
      <sz val="12"/>
      <color theme="1"/>
      <name val="ＭＳ ゴシック"/>
      <family val="3"/>
      <charset val="128"/>
    </font>
    <font>
      <b/>
      <u/>
      <sz val="14"/>
      <color rgb="FFFF0000"/>
      <name val="游ゴシック"/>
      <family val="3"/>
      <charset val="128"/>
      <scheme val="minor"/>
    </font>
    <font>
      <b/>
      <sz val="20"/>
      <color theme="1"/>
      <name val="游ゴシック"/>
      <family val="3"/>
      <charset val="128"/>
      <scheme val="minor"/>
    </font>
    <font>
      <u/>
      <sz val="11"/>
      <name val="游ゴシック"/>
      <family val="3"/>
      <charset val="128"/>
      <scheme val="minor"/>
    </font>
    <font>
      <b/>
      <u/>
      <sz val="16"/>
      <color theme="0"/>
      <name val="游ゴシック"/>
      <family val="3"/>
      <charset val="128"/>
      <scheme val="minor"/>
    </font>
    <font>
      <sz val="12"/>
      <name val="ＭＳ Ｐゴシック"/>
      <family val="3"/>
      <charset val="128"/>
    </font>
    <font>
      <sz val="11"/>
      <color rgb="FFFF0000"/>
      <name val="ＭＳ Ｐゴシック"/>
      <family val="3"/>
      <charset val="128"/>
    </font>
    <font>
      <b/>
      <sz val="16"/>
      <color theme="0"/>
      <name val="游ゴシック"/>
      <family val="3"/>
      <charset val="128"/>
      <scheme val="minor"/>
    </font>
    <font>
      <b/>
      <u/>
      <sz val="14"/>
      <name val="ＭＳ Ｐゴシック"/>
      <family val="3"/>
      <charset val="128"/>
    </font>
    <font>
      <sz val="12"/>
      <color rgb="FFFF0000"/>
      <name val="ＭＳ Ｐゴシック"/>
      <family val="3"/>
      <charset val="128"/>
    </font>
    <font>
      <b/>
      <u/>
      <sz val="12"/>
      <color indexed="12"/>
      <name val="ＭＳ Ｐゴシック"/>
      <family val="3"/>
      <charset val="128"/>
    </font>
    <font>
      <b/>
      <sz val="12"/>
      <color rgb="FFFF0000"/>
      <name val="游ゴシック"/>
      <family val="3"/>
      <charset val="128"/>
      <scheme val="minor"/>
    </font>
    <font>
      <b/>
      <sz val="11"/>
      <color theme="1"/>
      <name val="游ゴシック"/>
      <family val="3"/>
      <charset val="128"/>
      <scheme val="minor"/>
    </font>
    <font>
      <u/>
      <sz val="11"/>
      <color rgb="FFFF0000"/>
      <name val="ＭＳ Ｐ明朝"/>
      <family val="1"/>
      <charset val="128"/>
    </font>
    <font>
      <sz val="14"/>
      <name val="ＭＳ Ｐ明朝"/>
      <family val="1"/>
      <charset val="128"/>
    </font>
    <font>
      <b/>
      <sz val="14"/>
      <color rgb="FFFF0000"/>
      <name val="ＭＳ Ｐゴシック"/>
      <family val="3"/>
      <charset val="128"/>
    </font>
    <font>
      <b/>
      <i/>
      <u val="double"/>
      <sz val="16"/>
      <color rgb="FFFF0000"/>
      <name val="游ゴシック"/>
      <family val="3"/>
      <charset val="128"/>
      <scheme val="minor"/>
    </font>
    <font>
      <b/>
      <sz val="9"/>
      <color indexed="81"/>
      <name val="MS P ゴシック"/>
      <family val="3"/>
      <charset val="128"/>
    </font>
    <font>
      <sz val="9"/>
      <color indexed="81"/>
      <name val="MS P ゴシック"/>
      <family val="3"/>
      <charset val="128"/>
    </font>
    <font>
      <b/>
      <sz val="10"/>
      <color rgb="FFFF0000"/>
      <name val="ＭＳ Ｐゴシック"/>
      <family val="3"/>
      <charset val="128"/>
    </font>
  </fonts>
  <fills count="11">
    <fill>
      <patternFill patternType="none"/>
    </fill>
    <fill>
      <patternFill patternType="gray125"/>
    </fill>
    <fill>
      <patternFill patternType="solid">
        <fgColor rgb="FF00B0F0"/>
        <bgColor indexed="64"/>
      </patternFill>
    </fill>
    <fill>
      <patternFill patternType="solid">
        <fgColor rgb="FF99FF99"/>
        <bgColor indexed="64"/>
      </patternFill>
    </fill>
    <fill>
      <patternFill patternType="solid">
        <fgColor rgb="FF99FFCC"/>
        <bgColor indexed="64"/>
      </patternFill>
    </fill>
    <fill>
      <patternFill patternType="solid">
        <fgColor rgb="FFFFFF00"/>
        <bgColor indexed="64"/>
      </patternFill>
    </fill>
    <fill>
      <patternFill patternType="solid">
        <fgColor theme="0" tint="-0.249977111117893"/>
        <bgColor indexed="64"/>
      </patternFill>
    </fill>
    <fill>
      <patternFill patternType="solid">
        <fgColor rgb="FFCCECFF"/>
        <bgColor indexed="64"/>
      </patternFill>
    </fill>
    <fill>
      <patternFill patternType="solid">
        <fgColor rgb="FFBFBFBF"/>
        <bgColor indexed="64"/>
      </patternFill>
    </fill>
    <fill>
      <patternFill patternType="solid">
        <fgColor theme="9" tint="0.39997558519241921"/>
        <bgColor indexed="64"/>
      </patternFill>
    </fill>
    <fill>
      <patternFill patternType="solid">
        <fgColor rgb="FFFF0000"/>
        <bgColor indexed="64"/>
      </patternFill>
    </fill>
  </fills>
  <borders count="140">
    <border>
      <left/>
      <right/>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auto="1"/>
      </left>
      <right/>
      <top/>
      <bottom/>
      <diagonal/>
    </border>
    <border>
      <left style="hair">
        <color auto="1"/>
      </left>
      <right style="medium">
        <color auto="1"/>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hair">
        <color indexed="64"/>
      </left>
      <right/>
      <top style="hair">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thin">
        <color indexed="64"/>
      </top>
      <bottom style="thin">
        <color indexed="64"/>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auto="1"/>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auto="1"/>
      </left>
      <right/>
      <top style="hair">
        <color indexed="64"/>
      </top>
      <bottom style="hair">
        <color indexed="64"/>
      </bottom>
      <diagonal/>
    </border>
    <border>
      <left/>
      <right style="medium">
        <color indexed="64"/>
      </right>
      <top style="hair">
        <color indexed="64"/>
      </top>
      <bottom style="hair">
        <color indexed="64"/>
      </bottom>
      <diagonal/>
    </border>
    <border>
      <left style="medium">
        <color auto="1"/>
      </left>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auto="1"/>
      </bottom>
      <diagonal/>
    </border>
    <border>
      <left/>
      <right/>
      <top style="double">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auto="1"/>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hair">
        <color auto="1"/>
      </left>
      <right style="medium">
        <color auto="1"/>
      </right>
      <top style="thin">
        <color auto="1"/>
      </top>
      <bottom style="thin">
        <color auto="1"/>
      </bottom>
      <diagonal/>
    </border>
    <border>
      <left style="medium">
        <color auto="1"/>
      </left>
      <right style="hair">
        <color auto="1"/>
      </right>
      <top style="double">
        <color auto="1"/>
      </top>
      <bottom style="thin">
        <color auto="1"/>
      </bottom>
      <diagonal/>
    </border>
    <border>
      <left style="hair">
        <color auto="1"/>
      </left>
      <right style="medium">
        <color auto="1"/>
      </right>
      <top style="double">
        <color auto="1"/>
      </top>
      <bottom style="thin">
        <color auto="1"/>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double">
        <color indexed="64"/>
      </top>
      <bottom style="medium">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hair">
        <color indexed="64"/>
      </left>
      <right style="hair">
        <color indexed="64"/>
      </right>
      <top style="double">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medium">
        <color indexed="64"/>
      </right>
      <top style="double">
        <color indexed="64"/>
      </top>
      <bottom style="double">
        <color indexed="64"/>
      </bottom>
      <diagonal/>
    </border>
    <border>
      <left style="hair">
        <color indexed="64"/>
      </left>
      <right style="hair">
        <color indexed="64"/>
      </right>
      <top style="double">
        <color indexed="64"/>
      </top>
      <bottom style="thin">
        <color indexed="64"/>
      </bottom>
      <diagonal/>
    </border>
    <border>
      <left/>
      <right style="medium">
        <color indexed="64"/>
      </right>
      <top style="hair">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hair">
        <color auto="1"/>
      </right>
      <top/>
      <bottom style="medium">
        <color indexed="64"/>
      </bottom>
      <diagonal/>
    </border>
    <border>
      <left style="hair">
        <color auto="1"/>
      </left>
      <right/>
      <top/>
      <bottom style="medium">
        <color auto="1"/>
      </bottom>
      <diagonal/>
    </border>
    <border>
      <left style="thin">
        <color indexed="64"/>
      </left>
      <right style="thin">
        <color indexed="64"/>
      </right>
      <top style="medium">
        <color indexed="64"/>
      </top>
      <bottom style="medium">
        <color auto="1"/>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double">
        <color auto="1"/>
      </top>
      <bottom style="thin">
        <color indexed="64"/>
      </bottom>
      <diagonal/>
    </border>
    <border>
      <left style="hair">
        <color indexed="64"/>
      </left>
      <right/>
      <top style="double">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medium">
        <color auto="1"/>
      </right>
      <top style="thin">
        <color auto="1"/>
      </top>
      <bottom style="thin">
        <color auto="1"/>
      </bottom>
      <diagonal/>
    </border>
    <border>
      <left style="thin">
        <color indexed="64"/>
      </left>
      <right style="medium">
        <color auto="1"/>
      </right>
      <top style="thin">
        <color auto="1"/>
      </top>
      <bottom style="double">
        <color auto="1"/>
      </bottom>
      <diagonal/>
    </border>
    <border>
      <left style="thin">
        <color indexed="64"/>
      </left>
      <right style="medium">
        <color auto="1"/>
      </right>
      <top style="double">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auto="1"/>
      </right>
      <top/>
      <bottom style="double">
        <color indexed="64"/>
      </bottom>
      <diagonal/>
    </border>
    <border>
      <left/>
      <right style="thin">
        <color indexed="64"/>
      </right>
      <top/>
      <bottom style="double">
        <color indexed="64"/>
      </bottom>
      <diagonal/>
    </border>
    <border>
      <left style="thin">
        <color indexed="64"/>
      </left>
      <right style="medium">
        <color indexed="64"/>
      </right>
      <top style="hair">
        <color indexed="64"/>
      </top>
      <bottom style="medium">
        <color indexed="64"/>
      </bottom>
      <diagonal/>
    </border>
    <border>
      <left style="medium">
        <color auto="1"/>
      </left>
      <right style="thin">
        <color indexed="64"/>
      </right>
      <top style="double">
        <color auto="1"/>
      </top>
      <bottom style="thin">
        <color indexed="64"/>
      </bottom>
      <diagonal/>
    </border>
    <border>
      <left style="medium">
        <color auto="1"/>
      </left>
      <right style="hair">
        <color auto="1"/>
      </right>
      <top style="thin">
        <color auto="1"/>
      </top>
      <bottom/>
      <diagonal/>
    </border>
    <border>
      <left style="medium">
        <color indexed="64"/>
      </left>
      <right style="thin">
        <color indexed="64"/>
      </right>
      <top style="thin">
        <color indexed="64"/>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8" fillId="0" borderId="0" applyFont="0" applyFill="0" applyBorder="0" applyAlignment="0" applyProtection="0">
      <alignment vertical="center"/>
    </xf>
    <xf numFmtId="0" fontId="28" fillId="0" borderId="0" applyNumberFormat="0" applyFill="0" applyBorder="0" applyAlignment="0" applyProtection="0">
      <alignment vertical="top"/>
      <protection locked="0"/>
    </xf>
    <xf numFmtId="9" fontId="1" fillId="0" borderId="0" applyFont="0" applyFill="0" applyBorder="0" applyAlignment="0" applyProtection="0">
      <alignment vertical="center"/>
    </xf>
  </cellStyleXfs>
  <cellXfs count="605">
    <xf numFmtId="0" fontId="0" fillId="0" borderId="0" xfId="0">
      <alignment vertical="center"/>
    </xf>
    <xf numFmtId="0" fontId="9" fillId="0" borderId="0" xfId="0" applyFont="1">
      <alignment vertical="center"/>
    </xf>
    <xf numFmtId="0" fontId="0" fillId="0" borderId="0" xfId="0" applyBorder="1">
      <alignment vertical="center"/>
    </xf>
    <xf numFmtId="0" fontId="0" fillId="0" borderId="0" xfId="0" applyFill="1">
      <alignment vertical="center"/>
    </xf>
    <xf numFmtId="0" fontId="28" fillId="0" borderId="0" xfId="4" applyAlignment="1" applyProtection="1">
      <alignment vertical="center"/>
    </xf>
    <xf numFmtId="0" fontId="21" fillId="0" borderId="0" xfId="0" applyFont="1" applyProtection="1">
      <alignment vertical="center"/>
      <protection locked="0"/>
    </xf>
    <xf numFmtId="0" fontId="21" fillId="0" borderId="0" xfId="0" applyFont="1" applyFill="1" applyProtection="1">
      <alignment vertical="center"/>
    </xf>
    <xf numFmtId="0" fontId="22" fillId="0" borderId="0" xfId="0" applyFont="1" applyFill="1" applyProtection="1">
      <alignment vertical="center"/>
    </xf>
    <xf numFmtId="0" fontId="19" fillId="0" borderId="21" xfId="0" applyFont="1" applyBorder="1" applyProtection="1">
      <alignment vertical="center"/>
    </xf>
    <xf numFmtId="0" fontId="0" fillId="0" borderId="0" xfId="0" applyProtection="1">
      <alignment vertical="center"/>
    </xf>
    <xf numFmtId="0" fontId="0" fillId="0" borderId="21" xfId="0" applyBorder="1" applyProtection="1">
      <alignment vertical="center"/>
    </xf>
    <xf numFmtId="3" fontId="18" fillId="0" borderId="66" xfId="0" applyNumberFormat="1" applyFont="1" applyBorder="1" applyAlignment="1" applyProtection="1">
      <alignment vertical="center"/>
    </xf>
    <xf numFmtId="0" fontId="0" fillId="0" borderId="21" xfId="0" applyBorder="1">
      <alignment vertical="center"/>
    </xf>
    <xf numFmtId="0" fontId="21" fillId="0" borderId="0" xfId="0" applyFont="1" applyProtection="1">
      <alignment vertical="center"/>
    </xf>
    <xf numFmtId="0" fontId="9" fillId="0" borderId="0" xfId="0" applyFont="1" applyProtection="1">
      <alignment vertical="center"/>
    </xf>
    <xf numFmtId="0" fontId="20" fillId="0" borderId="0" xfId="0" applyFont="1" applyAlignment="1" applyProtection="1">
      <alignment horizontal="left" vertical="center"/>
    </xf>
    <xf numFmtId="0" fontId="9" fillId="0" borderId="0" xfId="0" applyFont="1" applyBorder="1" applyAlignment="1" applyProtection="1">
      <alignment horizontal="center" vertical="center"/>
    </xf>
    <xf numFmtId="0" fontId="21" fillId="0" borderId="0" xfId="0" applyFont="1" applyAlignment="1" applyProtection="1">
      <alignment horizontal="right" vertical="center"/>
    </xf>
    <xf numFmtId="0" fontId="21" fillId="0" borderId="0" xfId="0" applyFont="1" applyAlignment="1" applyProtection="1">
      <alignment horizontal="center" vertical="center"/>
    </xf>
    <xf numFmtId="0" fontId="21" fillId="0" borderId="0" xfId="0" applyFont="1" applyAlignment="1" applyProtection="1">
      <alignment vertical="center"/>
    </xf>
    <xf numFmtId="0" fontId="21" fillId="0" borderId="0" xfId="0" applyFont="1" applyFill="1" applyAlignment="1" applyProtection="1">
      <alignment vertical="center"/>
    </xf>
    <xf numFmtId="0" fontId="31" fillId="0" borderId="0" xfId="0" applyFont="1" applyAlignment="1" applyProtection="1">
      <alignment horizontal="right" vertical="center"/>
    </xf>
    <xf numFmtId="176" fontId="24" fillId="0" borderId="20" xfId="0" applyNumberFormat="1" applyFont="1" applyBorder="1" applyAlignment="1" applyProtection="1">
      <alignment vertical="center"/>
    </xf>
    <xf numFmtId="3" fontId="24" fillId="0" borderId="18" xfId="0" applyNumberFormat="1" applyFont="1" applyBorder="1" applyAlignment="1" applyProtection="1">
      <alignment vertical="center"/>
    </xf>
    <xf numFmtId="0" fontId="24" fillId="0" borderId="20" xfId="0" applyFont="1" applyBorder="1" applyAlignment="1" applyProtection="1">
      <alignment vertical="center"/>
    </xf>
    <xf numFmtId="0" fontId="24" fillId="0" borderId="22" xfId="0" applyFont="1" applyBorder="1" applyAlignment="1" applyProtection="1">
      <alignment vertical="center"/>
    </xf>
    <xf numFmtId="0" fontId="21" fillId="0" borderId="23" xfId="0" applyFont="1" applyBorder="1" applyProtection="1">
      <alignment vertical="center"/>
    </xf>
    <xf numFmtId="177" fontId="21" fillId="0" borderId="0" xfId="0" applyNumberFormat="1" applyFont="1" applyProtection="1">
      <alignment vertical="center"/>
    </xf>
    <xf numFmtId="177" fontId="25" fillId="0" borderId="0" xfId="0" applyNumberFormat="1" applyFont="1" applyProtection="1">
      <alignment vertical="center"/>
    </xf>
    <xf numFmtId="0" fontId="0" fillId="0" borderId="0" xfId="0" applyBorder="1" applyProtection="1">
      <alignment vertical="center"/>
    </xf>
    <xf numFmtId="0" fontId="13" fillId="0" borderId="0" xfId="0" applyFont="1" applyAlignment="1" applyProtection="1">
      <alignment horizontal="left" vertical="center"/>
    </xf>
    <xf numFmtId="0" fontId="12" fillId="0" borderId="0" xfId="0" applyFont="1" applyBorder="1" applyAlignment="1" applyProtection="1">
      <alignment vertical="center"/>
    </xf>
    <xf numFmtId="0" fontId="9" fillId="0" borderId="8" xfId="0" applyFont="1" applyBorder="1" applyProtection="1">
      <alignment vertical="center"/>
    </xf>
    <xf numFmtId="0" fontId="9" fillId="0" borderId="0" xfId="0" applyFont="1" applyBorder="1" applyProtection="1">
      <alignment vertical="center"/>
    </xf>
    <xf numFmtId="0" fontId="9" fillId="0" borderId="29" xfId="0" applyFont="1" applyBorder="1" applyProtection="1">
      <alignment vertical="center"/>
    </xf>
    <xf numFmtId="0" fontId="9" fillId="0" borderId="10" xfId="0" applyFont="1" applyBorder="1" applyProtection="1">
      <alignment vertical="center"/>
    </xf>
    <xf numFmtId="0" fontId="18" fillId="0" borderId="65" xfId="0" applyFont="1" applyBorder="1" applyAlignment="1" applyProtection="1">
      <alignment horizontal="right" vertical="center"/>
    </xf>
    <xf numFmtId="0" fontId="19" fillId="0" borderId="17" xfId="0" applyFont="1" applyBorder="1" applyAlignment="1" applyProtection="1">
      <alignment horizontal="right" vertical="center"/>
    </xf>
    <xf numFmtId="0" fontId="19" fillId="0" borderId="31" xfId="0" applyFont="1" applyBorder="1" applyAlignment="1" applyProtection="1">
      <alignment horizontal="right" vertical="center"/>
    </xf>
    <xf numFmtId="0" fontId="0" fillId="0" borderId="0" xfId="0" applyFill="1" applyBorder="1" applyProtection="1">
      <alignment vertical="center"/>
    </xf>
    <xf numFmtId="0" fontId="35" fillId="0" borderId="0" xfId="0" applyFont="1" applyProtection="1">
      <alignment vertical="center"/>
    </xf>
    <xf numFmtId="0" fontId="11" fillId="0" borderId="0" xfId="0" applyFont="1" applyProtection="1">
      <alignment vertical="center"/>
    </xf>
    <xf numFmtId="0" fontId="9" fillId="0" borderId="13" xfId="0" applyFont="1" applyBorder="1" applyProtection="1">
      <alignment vertical="center"/>
    </xf>
    <xf numFmtId="0" fontId="9" fillId="0" borderId="17" xfId="0" applyFont="1" applyBorder="1" applyProtection="1">
      <alignment vertical="center"/>
    </xf>
    <xf numFmtId="177" fontId="25" fillId="0" borderId="0" xfId="0" applyNumberFormat="1" applyFont="1" applyAlignment="1" applyProtection="1">
      <alignment vertical="center"/>
    </xf>
    <xf numFmtId="0" fontId="16" fillId="0" borderId="0" xfId="0" applyFont="1" applyBorder="1" applyAlignment="1" applyProtection="1">
      <alignment horizontal="center" vertical="center"/>
    </xf>
    <xf numFmtId="0" fontId="12" fillId="0" borderId="0" xfId="0" applyFont="1" applyBorder="1" applyAlignment="1" applyProtection="1">
      <alignment horizontal="center" vertical="center"/>
    </xf>
    <xf numFmtId="0" fontId="19" fillId="0" borderId="0" xfId="0" applyFont="1" applyBorder="1" applyAlignment="1" applyProtection="1">
      <alignment horizontal="right" vertical="center"/>
    </xf>
    <xf numFmtId="178" fontId="38" fillId="0" borderId="0" xfId="0" applyNumberFormat="1" applyFont="1" applyAlignment="1" applyProtection="1">
      <alignment horizontal="left" vertical="center" wrapText="1"/>
    </xf>
    <xf numFmtId="3" fontId="18" fillId="0" borderId="66" xfId="0" applyNumberFormat="1" applyFont="1" applyBorder="1" applyAlignment="1" applyProtection="1">
      <alignment horizontal="right" vertical="center"/>
    </xf>
    <xf numFmtId="0" fontId="11" fillId="0" borderId="0" xfId="0" applyFont="1" applyBorder="1" applyAlignment="1" applyProtection="1">
      <alignment horizontal="center" vertical="center"/>
    </xf>
    <xf numFmtId="3" fontId="9" fillId="0" borderId="0" xfId="0" applyNumberFormat="1" applyFont="1" applyBorder="1" applyAlignment="1" applyProtection="1">
      <alignment horizontal="right" vertical="center"/>
    </xf>
    <xf numFmtId="0" fontId="11" fillId="0" borderId="25" xfId="0" applyFont="1" applyBorder="1" applyAlignment="1" applyProtection="1">
      <alignment horizontal="right" vertical="center"/>
    </xf>
    <xf numFmtId="0" fontId="9" fillId="0" borderId="23" xfId="0" applyFont="1" applyBorder="1" applyProtection="1">
      <alignment vertical="center"/>
    </xf>
    <xf numFmtId="0" fontId="0" fillId="0" borderId="38" xfId="0" applyFill="1" applyBorder="1" applyProtection="1">
      <alignment vertical="center"/>
    </xf>
    <xf numFmtId="0" fontId="0" fillId="0" borderId="38" xfId="0" applyBorder="1" applyProtection="1">
      <alignment vertical="center"/>
    </xf>
    <xf numFmtId="0" fontId="0" fillId="0" borderId="0" xfId="0" applyFill="1" applyProtection="1">
      <alignment vertical="center"/>
    </xf>
    <xf numFmtId="0" fontId="9" fillId="0" borderId="5" xfId="0" applyFont="1" applyBorder="1" applyAlignment="1" applyProtection="1">
      <alignment horizontal="center" vertical="center"/>
      <protection locked="0"/>
    </xf>
    <xf numFmtId="0" fontId="9" fillId="0" borderId="5" xfId="0" applyFont="1" applyBorder="1" applyAlignment="1" applyProtection="1">
      <alignment horizontal="left" vertical="center"/>
      <protection locked="0"/>
    </xf>
    <xf numFmtId="0" fontId="10" fillId="0" borderId="65" xfId="0" applyFont="1" applyBorder="1" applyAlignment="1" applyProtection="1">
      <alignment horizontal="right" vertical="center"/>
    </xf>
    <xf numFmtId="0" fontId="21" fillId="0" borderId="0" xfId="0" applyFont="1" applyFill="1" applyAlignment="1" applyProtection="1">
      <alignment vertical="center" wrapText="1"/>
    </xf>
    <xf numFmtId="0" fontId="27" fillId="0" borderId="0" xfId="0" applyFont="1" applyAlignment="1" applyProtection="1">
      <alignment vertical="center"/>
    </xf>
    <xf numFmtId="0" fontId="35" fillId="0" borderId="0" xfId="0" applyFont="1" applyFill="1" applyAlignment="1" applyProtection="1">
      <alignment horizontal="left" vertical="center"/>
    </xf>
    <xf numFmtId="0" fontId="9" fillId="0" borderId="0" xfId="0" applyFont="1" applyFill="1" applyProtection="1">
      <alignment vertical="center"/>
    </xf>
    <xf numFmtId="0" fontId="11" fillId="0" borderId="0" xfId="0" applyFont="1" applyFill="1" applyProtection="1">
      <alignment vertical="center"/>
    </xf>
    <xf numFmtId="0" fontId="23" fillId="0" borderId="0" xfId="0" applyFont="1" applyAlignment="1" applyProtection="1">
      <alignment vertical="center"/>
    </xf>
    <xf numFmtId="0" fontId="23" fillId="0" borderId="0" xfId="0" applyFont="1" applyAlignment="1" applyProtection="1">
      <alignment horizontal="center" vertical="center"/>
    </xf>
    <xf numFmtId="0" fontId="30" fillId="0" borderId="0" xfId="0" applyFont="1" applyBorder="1" applyAlignment="1" applyProtection="1">
      <alignment horizontal="left" vertical="top"/>
    </xf>
    <xf numFmtId="178" fontId="9" fillId="0" borderId="73" xfId="0" applyNumberFormat="1" applyFont="1" applyBorder="1" applyAlignment="1" applyProtection="1">
      <alignment horizontal="center" vertical="center"/>
      <protection locked="0"/>
    </xf>
    <xf numFmtId="0" fontId="9" fillId="0" borderId="74" xfId="0" applyFont="1" applyBorder="1" applyAlignment="1" applyProtection="1">
      <alignment horizontal="center" vertical="center"/>
      <protection locked="0"/>
    </xf>
    <xf numFmtId="0" fontId="9" fillId="0" borderId="74" xfId="0" applyFont="1" applyBorder="1" applyAlignment="1" applyProtection="1">
      <alignment horizontal="left" vertical="center"/>
      <protection locked="0"/>
    </xf>
    <xf numFmtId="0" fontId="10" fillId="0" borderId="75" xfId="2" applyFont="1" applyBorder="1" applyAlignment="1" applyProtection="1">
      <alignment horizontal="right" vertical="center"/>
      <protection locked="0"/>
    </xf>
    <xf numFmtId="38" fontId="9" fillId="0" borderId="4" xfId="1" applyFont="1" applyBorder="1" applyAlignment="1" applyProtection="1">
      <alignment horizontal="right" vertical="center"/>
      <protection locked="0"/>
    </xf>
    <xf numFmtId="0" fontId="43" fillId="0" borderId="0" xfId="4" applyFont="1" applyFill="1" applyAlignment="1" applyProtection="1">
      <protection locked="0"/>
    </xf>
    <xf numFmtId="3" fontId="9" fillId="0" borderId="6" xfId="0" applyNumberFormat="1" applyFont="1" applyBorder="1" applyAlignment="1" applyProtection="1">
      <alignment horizontal="right" vertical="center"/>
      <protection locked="0"/>
    </xf>
    <xf numFmtId="178" fontId="7" fillId="0" borderId="73" xfId="2" applyNumberFormat="1" applyFont="1" applyBorder="1" applyAlignment="1" applyProtection="1">
      <alignment horizontal="center" vertical="center"/>
      <protection locked="0"/>
    </xf>
    <xf numFmtId="3" fontId="9" fillId="0" borderId="77" xfId="0" applyNumberFormat="1" applyFont="1" applyBorder="1" applyAlignment="1" applyProtection="1">
      <alignment horizontal="right" vertical="center"/>
      <protection locked="0"/>
    </xf>
    <xf numFmtId="0" fontId="11" fillId="0" borderId="3" xfId="0" applyFont="1" applyFill="1" applyBorder="1" applyAlignment="1" applyProtection="1">
      <alignment horizontal="center" vertical="center" wrapText="1"/>
    </xf>
    <xf numFmtId="0" fontId="9" fillId="0" borderId="5" xfId="0" applyFont="1" applyBorder="1" applyAlignment="1" applyProtection="1">
      <alignment horizontal="left" vertical="center"/>
    </xf>
    <xf numFmtId="0" fontId="9" fillId="0" borderId="80" xfId="0" applyFont="1" applyBorder="1" applyAlignment="1" applyProtection="1">
      <alignment horizontal="left" vertical="center"/>
    </xf>
    <xf numFmtId="0" fontId="9" fillId="0" borderId="84" xfId="0" applyFont="1" applyFill="1" applyBorder="1" applyAlignment="1" applyProtection="1">
      <alignment horizontal="left" vertical="center"/>
      <protection locked="0"/>
    </xf>
    <xf numFmtId="0" fontId="9" fillId="0" borderId="85" xfId="0" applyFont="1" applyFill="1" applyBorder="1" applyAlignment="1" applyProtection="1">
      <alignment horizontal="left" vertical="center"/>
      <protection locked="0"/>
    </xf>
    <xf numFmtId="0" fontId="11" fillId="4" borderId="52" xfId="0" applyFont="1" applyFill="1" applyBorder="1" applyAlignment="1" applyProtection="1">
      <alignment horizontal="center" vertical="center"/>
    </xf>
    <xf numFmtId="0" fontId="11" fillId="4" borderId="45" xfId="0" applyFont="1" applyFill="1" applyBorder="1" applyAlignment="1" applyProtection="1">
      <alignment horizontal="center" vertical="center"/>
    </xf>
    <xf numFmtId="0" fontId="11" fillId="4" borderId="72" xfId="0" applyFont="1" applyFill="1" applyBorder="1" applyAlignment="1" applyProtection="1">
      <alignment horizontal="center" vertical="center"/>
    </xf>
    <xf numFmtId="0" fontId="9" fillId="0" borderId="73" xfId="0" applyFont="1" applyBorder="1" applyAlignment="1" applyProtection="1">
      <alignment horizontal="left" vertical="center"/>
    </xf>
    <xf numFmtId="49" fontId="18" fillId="0" borderId="74" xfId="0" applyNumberFormat="1" applyFont="1" applyBorder="1" applyAlignment="1" applyProtection="1">
      <alignment horizontal="right" vertical="center"/>
    </xf>
    <xf numFmtId="0" fontId="9" fillId="0" borderId="74" xfId="0" applyFont="1" applyBorder="1" applyAlignment="1" applyProtection="1">
      <alignment horizontal="left" vertical="center"/>
    </xf>
    <xf numFmtId="38" fontId="18" fillId="0" borderId="74" xfId="1" applyFont="1" applyBorder="1" applyAlignment="1" applyProtection="1">
      <alignment horizontal="right" vertical="center"/>
    </xf>
    <xf numFmtId="0" fontId="18" fillId="0" borderId="74" xfId="0" applyFont="1" applyBorder="1" applyAlignment="1" applyProtection="1">
      <alignment horizontal="center" vertical="center"/>
    </xf>
    <xf numFmtId="0" fontId="9" fillId="0" borderId="4" xfId="0" applyFont="1" applyBorder="1" applyAlignment="1" applyProtection="1">
      <alignment horizontal="left" vertical="center"/>
    </xf>
    <xf numFmtId="49" fontId="18" fillId="0" borderId="5" xfId="0" applyNumberFormat="1" applyFont="1" applyFill="1" applyBorder="1" applyAlignment="1" applyProtection="1">
      <alignment horizontal="right" vertical="center"/>
    </xf>
    <xf numFmtId="0" fontId="9" fillId="0" borderId="5" xfId="0" applyFont="1" applyFill="1" applyBorder="1" applyAlignment="1" applyProtection="1">
      <alignment horizontal="left" vertical="center"/>
    </xf>
    <xf numFmtId="38" fontId="18" fillId="0" borderId="5" xfId="1" applyFont="1" applyFill="1" applyBorder="1" applyAlignment="1" applyProtection="1">
      <alignment horizontal="right" vertical="center"/>
    </xf>
    <xf numFmtId="0" fontId="18" fillId="0" borderId="5" xfId="0" applyFont="1" applyFill="1" applyBorder="1" applyAlignment="1" applyProtection="1">
      <alignment horizontal="center" vertical="center"/>
    </xf>
    <xf numFmtId="0" fontId="26" fillId="0" borderId="4" xfId="0" applyFont="1" applyBorder="1" applyAlignment="1" applyProtection="1">
      <alignment horizontal="left" vertical="center"/>
    </xf>
    <xf numFmtId="0" fontId="26" fillId="0" borderId="79" xfId="0" applyFont="1" applyBorder="1" applyAlignment="1" applyProtection="1">
      <alignment horizontal="left" vertical="center"/>
    </xf>
    <xf numFmtId="49" fontId="18" fillId="0" borderId="80" xfId="0" applyNumberFormat="1" applyFont="1" applyFill="1" applyBorder="1" applyAlignment="1" applyProtection="1">
      <alignment horizontal="right" vertical="center"/>
    </xf>
    <xf numFmtId="0" fontId="9" fillId="0" borderId="80" xfId="0" applyFont="1" applyFill="1" applyBorder="1" applyAlignment="1" applyProtection="1">
      <alignment horizontal="left" vertical="center"/>
    </xf>
    <xf numFmtId="38" fontId="18" fillId="0" borderId="80" xfId="1" applyFont="1" applyFill="1" applyBorder="1" applyAlignment="1" applyProtection="1">
      <alignment horizontal="right" vertical="center"/>
    </xf>
    <xf numFmtId="0" fontId="18" fillId="0" borderId="80" xfId="0" applyFont="1" applyFill="1" applyBorder="1" applyAlignment="1" applyProtection="1">
      <alignment horizontal="center" vertical="center"/>
    </xf>
    <xf numFmtId="49" fontId="18" fillId="0" borderId="74" xfId="0" applyNumberFormat="1" applyFont="1" applyFill="1" applyBorder="1" applyAlignment="1" applyProtection="1">
      <alignment horizontal="right" vertical="center"/>
    </xf>
    <xf numFmtId="0" fontId="9" fillId="0" borderId="74" xfId="0" applyFont="1" applyFill="1" applyBorder="1" applyAlignment="1" applyProtection="1">
      <alignment horizontal="left" vertical="center"/>
    </xf>
    <xf numFmtId="38" fontId="18" fillId="0" borderId="74" xfId="1" applyFont="1" applyFill="1" applyBorder="1" applyAlignment="1" applyProtection="1">
      <alignment horizontal="right" vertical="center"/>
    </xf>
    <xf numFmtId="0" fontId="18" fillId="0" borderId="74" xfId="0" applyFont="1" applyFill="1" applyBorder="1" applyAlignment="1" applyProtection="1">
      <alignment horizontal="center" vertical="center"/>
    </xf>
    <xf numFmtId="49" fontId="18" fillId="0" borderId="5" xfId="0" applyNumberFormat="1" applyFont="1" applyBorder="1" applyAlignment="1" applyProtection="1">
      <alignment horizontal="right" vertical="center"/>
    </xf>
    <xf numFmtId="38" fontId="18" fillId="0" borderId="5" xfId="1" applyFont="1" applyBorder="1" applyAlignment="1" applyProtection="1">
      <alignment horizontal="right" vertical="center"/>
    </xf>
    <xf numFmtId="0" fontId="18" fillId="0" borderId="5" xfId="0" applyFont="1" applyBorder="1" applyAlignment="1" applyProtection="1">
      <alignment horizontal="center" vertical="center"/>
    </xf>
    <xf numFmtId="49" fontId="18" fillId="0" borderId="80" xfId="0" applyNumberFormat="1" applyFont="1" applyBorder="1" applyAlignment="1" applyProtection="1">
      <alignment horizontal="right" vertical="center"/>
    </xf>
    <xf numFmtId="38" fontId="18" fillId="0" borderId="80" xfId="1" applyFont="1" applyBorder="1" applyAlignment="1" applyProtection="1">
      <alignment horizontal="right" vertical="center"/>
    </xf>
    <xf numFmtId="0" fontId="18" fillId="0" borderId="80" xfId="0" applyFont="1" applyBorder="1" applyAlignment="1" applyProtection="1">
      <alignment horizontal="center" vertical="center"/>
    </xf>
    <xf numFmtId="0" fontId="18" fillId="5" borderId="82" xfId="0" applyFont="1" applyFill="1" applyBorder="1" applyAlignment="1" applyProtection="1">
      <alignment horizontal="center" vertical="center"/>
    </xf>
    <xf numFmtId="38" fontId="18" fillId="5" borderId="82" xfId="1" applyFont="1" applyFill="1" applyBorder="1" applyAlignment="1" applyProtection="1">
      <alignment horizontal="right" vertical="center"/>
    </xf>
    <xf numFmtId="178" fontId="0" fillId="5" borderId="0" xfId="0" applyNumberFormat="1" applyFill="1" applyProtection="1">
      <alignment vertical="center"/>
    </xf>
    <xf numFmtId="38" fontId="15" fillId="0" borderId="80" xfId="1" applyFont="1" applyFill="1" applyBorder="1" applyAlignment="1" applyProtection="1">
      <alignment horizontal="right" vertical="center"/>
    </xf>
    <xf numFmtId="38" fontId="15" fillId="0" borderId="80" xfId="1" applyFont="1" applyBorder="1" applyAlignment="1" applyProtection="1">
      <alignment horizontal="right" vertical="center"/>
    </xf>
    <xf numFmtId="0" fontId="26" fillId="3" borderId="69" xfId="0" applyFont="1" applyFill="1" applyBorder="1" applyAlignment="1" applyProtection="1">
      <alignment horizontal="left" vertical="center"/>
    </xf>
    <xf numFmtId="38" fontId="18" fillId="3" borderId="92" xfId="1" applyFont="1" applyFill="1" applyBorder="1" applyAlignment="1" applyProtection="1">
      <alignment horizontal="right" vertical="center"/>
    </xf>
    <xf numFmtId="0" fontId="18" fillId="3" borderId="92" xfId="0" applyFont="1" applyFill="1" applyBorder="1" applyAlignment="1" applyProtection="1">
      <alignment horizontal="center" vertical="center"/>
    </xf>
    <xf numFmtId="0" fontId="26" fillId="3" borderId="89" xfId="0" applyFont="1" applyFill="1" applyBorder="1" applyAlignment="1" applyProtection="1">
      <alignment horizontal="left" vertical="center"/>
    </xf>
    <xf numFmtId="38" fontId="18" fillId="3" borderId="90" xfId="1" applyFont="1" applyFill="1" applyBorder="1" applyAlignment="1" applyProtection="1">
      <alignment horizontal="right" vertical="center"/>
    </xf>
    <xf numFmtId="0" fontId="18" fillId="3" borderId="90" xfId="0" applyFont="1" applyFill="1" applyBorder="1" applyAlignment="1" applyProtection="1">
      <alignment horizontal="center" vertical="center"/>
    </xf>
    <xf numFmtId="0" fontId="9" fillId="0" borderId="83" xfId="0" applyFont="1" applyFill="1" applyBorder="1" applyAlignment="1" applyProtection="1">
      <alignment horizontal="left" vertical="center" wrapText="1"/>
      <protection locked="0"/>
    </xf>
    <xf numFmtId="0" fontId="9" fillId="0" borderId="84" xfId="0" applyFont="1" applyFill="1" applyBorder="1" applyAlignment="1" applyProtection="1">
      <alignment horizontal="left" vertical="center" wrapText="1"/>
      <protection locked="0"/>
    </xf>
    <xf numFmtId="0" fontId="9" fillId="0" borderId="85" xfId="0" applyFont="1" applyFill="1" applyBorder="1" applyAlignment="1" applyProtection="1">
      <alignment horizontal="left" vertical="center" wrapText="1"/>
      <protection locked="0"/>
    </xf>
    <xf numFmtId="0" fontId="9" fillId="0" borderId="11" xfId="0" applyFont="1" applyFill="1" applyBorder="1" applyAlignment="1" applyProtection="1">
      <alignment horizontal="left" vertical="center" wrapText="1"/>
      <protection locked="0"/>
    </xf>
    <xf numFmtId="0" fontId="33" fillId="0" borderId="0" xfId="4" applyFont="1" applyAlignment="1" applyProtection="1">
      <alignment horizontal="center" vertical="center"/>
      <protection locked="0"/>
    </xf>
    <xf numFmtId="0" fontId="46" fillId="3" borderId="11" xfId="0" applyFont="1" applyFill="1" applyBorder="1" applyAlignment="1" applyProtection="1">
      <alignment horizontal="center" vertical="center"/>
    </xf>
    <xf numFmtId="0" fontId="0" fillId="0" borderId="0" xfId="0" applyFill="1" applyAlignment="1" applyProtection="1">
      <alignment horizontal="center" vertical="center"/>
    </xf>
    <xf numFmtId="0" fontId="0" fillId="0" borderId="10" xfId="0" applyFill="1" applyBorder="1" applyProtection="1">
      <alignment vertical="center"/>
    </xf>
    <xf numFmtId="0" fontId="14" fillId="5" borderId="7" xfId="2" applyFont="1" applyFill="1" applyBorder="1" applyAlignment="1" applyProtection="1">
      <alignment horizontal="left" vertical="center" wrapText="1"/>
    </xf>
    <xf numFmtId="0" fontId="10" fillId="5" borderId="102" xfId="2" applyFont="1" applyFill="1" applyBorder="1" applyAlignment="1" applyProtection="1">
      <alignment horizontal="center" vertical="center" wrapText="1"/>
    </xf>
    <xf numFmtId="0" fontId="7" fillId="3" borderId="102" xfId="2" applyFont="1" applyFill="1" applyBorder="1" applyAlignment="1" applyProtection="1">
      <alignment horizontal="center" vertical="center" wrapText="1"/>
    </xf>
    <xf numFmtId="0" fontId="47" fillId="0" borderId="0" xfId="0" applyFont="1" applyAlignment="1" applyProtection="1">
      <alignment horizontal="right" vertical="center"/>
    </xf>
    <xf numFmtId="49" fontId="48" fillId="0" borderId="0" xfId="0" applyNumberFormat="1" applyFont="1" applyFill="1" applyProtection="1">
      <alignment vertical="center"/>
    </xf>
    <xf numFmtId="0" fontId="9" fillId="6" borderId="75" xfId="0" applyFont="1" applyFill="1" applyBorder="1" applyAlignment="1" applyProtection="1">
      <alignment horizontal="left" vertical="center"/>
      <protection locked="0"/>
    </xf>
    <xf numFmtId="0" fontId="9" fillId="6" borderId="14" xfId="0" applyFont="1" applyFill="1" applyBorder="1" applyAlignment="1" applyProtection="1">
      <alignment horizontal="left" vertical="center"/>
      <protection locked="0"/>
    </xf>
    <xf numFmtId="0" fontId="18" fillId="0" borderId="77" xfId="0" applyFont="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81" xfId="0" applyFont="1" applyFill="1" applyBorder="1" applyAlignment="1" applyProtection="1">
      <alignment horizontal="center" vertical="center"/>
    </xf>
    <xf numFmtId="0" fontId="18" fillId="3" borderId="70" xfId="0" applyFont="1" applyFill="1" applyBorder="1" applyAlignment="1" applyProtection="1">
      <alignment horizontal="center" vertical="center"/>
    </xf>
    <xf numFmtId="0" fontId="18" fillId="0" borderId="77" xfId="0" applyFont="1" applyFill="1" applyBorder="1" applyAlignment="1" applyProtection="1">
      <alignment horizontal="center" vertical="center"/>
    </xf>
    <xf numFmtId="0" fontId="18" fillId="0" borderId="6" xfId="0" applyFont="1" applyBorder="1" applyAlignment="1" applyProtection="1">
      <alignment horizontal="center" vertical="center"/>
    </xf>
    <xf numFmtId="0" fontId="18" fillId="0" borderId="81" xfId="0" applyFont="1" applyBorder="1" applyAlignment="1" applyProtection="1">
      <alignment horizontal="center" vertical="center"/>
    </xf>
    <xf numFmtId="0" fontId="18" fillId="3" borderId="91" xfId="0" applyFont="1" applyFill="1" applyBorder="1" applyAlignment="1" applyProtection="1">
      <alignment horizontal="center" vertical="center"/>
    </xf>
    <xf numFmtId="0" fontId="18" fillId="5" borderId="78" xfId="0" applyFont="1" applyFill="1" applyBorder="1" applyAlignment="1" applyProtection="1">
      <alignment horizontal="center" vertical="center"/>
    </xf>
    <xf numFmtId="0" fontId="14" fillId="0" borderId="0" xfId="0" applyFont="1" applyAlignment="1" applyProtection="1">
      <alignment vertical="center"/>
    </xf>
    <xf numFmtId="0" fontId="9" fillId="7" borderId="68" xfId="0" applyNumberFormat="1" applyFont="1" applyFill="1" applyBorder="1" applyAlignment="1" applyProtection="1">
      <alignment horizontal="left" vertical="center" wrapText="1"/>
    </xf>
    <xf numFmtId="0" fontId="14" fillId="0" borderId="10" xfId="0" applyFont="1" applyBorder="1" applyAlignment="1" applyProtection="1"/>
    <xf numFmtId="3" fontId="9" fillId="0" borderId="51" xfId="0" applyNumberFormat="1" applyFont="1" applyBorder="1" applyAlignment="1" applyProtection="1">
      <alignment horizontal="center" vertical="center"/>
    </xf>
    <xf numFmtId="0" fontId="33" fillId="0" borderId="0" xfId="4" applyFont="1" applyAlignment="1" applyProtection="1">
      <alignment horizontal="left" vertical="center"/>
    </xf>
    <xf numFmtId="0" fontId="11" fillId="0" borderId="25" xfId="0" applyFont="1" applyBorder="1" applyAlignment="1" applyProtection="1">
      <alignment horizontal="center" vertical="center"/>
    </xf>
    <xf numFmtId="0" fontId="9" fillId="0" borderId="11" xfId="0" applyFont="1" applyFill="1" applyBorder="1" applyAlignment="1" applyProtection="1">
      <alignment horizontal="center" vertical="center"/>
    </xf>
    <xf numFmtId="3" fontId="9" fillId="0" borderId="88" xfId="0" applyNumberFormat="1" applyFont="1" applyFill="1" applyBorder="1" applyAlignment="1" applyProtection="1">
      <alignment horizontal="center" vertical="center"/>
      <protection locked="0"/>
    </xf>
    <xf numFmtId="0" fontId="11" fillId="4" borderId="107" xfId="0" applyFont="1" applyFill="1" applyBorder="1" applyProtection="1">
      <alignment vertical="center"/>
    </xf>
    <xf numFmtId="0" fontId="11" fillId="4" borderId="6" xfId="0" applyFont="1" applyFill="1" applyBorder="1" applyProtection="1">
      <alignment vertical="center"/>
    </xf>
    <xf numFmtId="0" fontId="11" fillId="4" borderId="108" xfId="0" applyFont="1" applyFill="1" applyBorder="1" applyProtection="1">
      <alignment vertical="center"/>
    </xf>
    <xf numFmtId="0" fontId="14" fillId="5" borderId="66" xfId="2" applyFont="1" applyFill="1" applyBorder="1" applyAlignment="1" applyProtection="1">
      <alignment horizontal="center" vertical="center" textRotation="255" wrapText="1"/>
    </xf>
    <xf numFmtId="0" fontId="9" fillId="0" borderId="2" xfId="0" applyFont="1" applyFill="1" applyBorder="1" applyAlignment="1" applyProtection="1">
      <alignment horizontal="center" vertical="center" wrapText="1"/>
    </xf>
    <xf numFmtId="178" fontId="9" fillId="0" borderId="110" xfId="0" applyNumberFormat="1" applyFont="1" applyBorder="1" applyAlignment="1" applyProtection="1">
      <alignment horizontal="center" vertical="center"/>
      <protection locked="0"/>
    </xf>
    <xf numFmtId="0" fontId="9" fillId="0" borderId="111" xfId="0" applyFont="1" applyBorder="1" applyAlignment="1" applyProtection="1">
      <alignment horizontal="center" vertical="center"/>
      <protection locked="0"/>
    </xf>
    <xf numFmtId="0" fontId="9" fillId="0" borderId="111" xfId="0" applyFont="1" applyBorder="1" applyAlignment="1" applyProtection="1">
      <alignment horizontal="left" vertical="center"/>
      <protection locked="0"/>
    </xf>
    <xf numFmtId="0" fontId="9" fillId="6" borderId="87" xfId="0" applyFont="1" applyFill="1" applyBorder="1" applyAlignment="1" applyProtection="1">
      <alignment horizontal="left" vertical="center"/>
      <protection locked="0"/>
    </xf>
    <xf numFmtId="0" fontId="10" fillId="0" borderId="87" xfId="2" applyFont="1" applyBorder="1" applyAlignment="1" applyProtection="1">
      <alignment horizontal="right" vertical="center"/>
      <protection locked="0"/>
    </xf>
    <xf numFmtId="0" fontId="40" fillId="5" borderId="1" xfId="0" applyFont="1" applyFill="1" applyBorder="1" applyAlignment="1" applyProtection="1">
      <alignment horizontal="center" vertical="center" wrapText="1"/>
    </xf>
    <xf numFmtId="0" fontId="9" fillId="0" borderId="0" xfId="0" applyFont="1" applyFill="1" applyBorder="1" applyProtection="1">
      <alignment vertical="center"/>
    </xf>
    <xf numFmtId="0" fontId="36" fillId="0" borderId="0" xfId="0" applyFont="1" applyFill="1" applyBorder="1" applyAlignment="1" applyProtection="1">
      <alignment horizontal="center" vertical="center"/>
    </xf>
    <xf numFmtId="0" fontId="51" fillId="0" borderId="0" xfId="0" applyFont="1" applyAlignment="1" applyProtection="1">
      <alignment horizontal="center" vertical="center"/>
    </xf>
    <xf numFmtId="3" fontId="52" fillId="0" borderId="109" xfId="0" applyNumberFormat="1" applyFont="1" applyBorder="1" applyProtection="1">
      <alignment vertical="center"/>
    </xf>
    <xf numFmtId="3" fontId="52" fillId="0" borderId="109" xfId="0" applyNumberFormat="1" applyFont="1" applyFill="1" applyBorder="1" applyAlignment="1" applyProtection="1">
      <alignment horizontal="right" vertical="center"/>
    </xf>
    <xf numFmtId="3" fontId="52" fillId="0" borderId="21" xfId="0" applyNumberFormat="1" applyFont="1" applyBorder="1" applyProtection="1">
      <alignment vertical="center"/>
    </xf>
    <xf numFmtId="3" fontId="52" fillId="0" borderId="21" xfId="0" applyNumberFormat="1" applyFont="1" applyFill="1" applyBorder="1" applyAlignment="1" applyProtection="1">
      <alignment horizontal="right" vertical="center"/>
    </xf>
    <xf numFmtId="0" fontId="7" fillId="0" borderId="0" xfId="2" applyFont="1" applyFill="1" applyBorder="1" applyAlignment="1" applyProtection="1">
      <alignment horizontal="center" vertical="center" shrinkToFit="1"/>
    </xf>
    <xf numFmtId="0" fontId="26" fillId="0" borderId="88" xfId="0" applyFont="1" applyFill="1" applyBorder="1" applyAlignment="1" applyProtection="1">
      <alignment horizontal="left" vertical="center"/>
      <protection locked="0"/>
    </xf>
    <xf numFmtId="0" fontId="0" fillId="0" borderId="21" xfId="0" applyFill="1" applyBorder="1" applyProtection="1">
      <alignment vertical="center"/>
    </xf>
    <xf numFmtId="38" fontId="9" fillId="0" borderId="72" xfId="1" applyFont="1" applyBorder="1" applyAlignment="1" applyProtection="1">
      <alignment horizontal="right" vertical="center"/>
      <protection locked="0"/>
    </xf>
    <xf numFmtId="3" fontId="9" fillId="0" borderId="0" xfId="0" applyNumberFormat="1" applyFont="1" applyBorder="1" applyAlignment="1" applyProtection="1">
      <alignment horizontal="right" vertical="center"/>
    </xf>
    <xf numFmtId="0" fontId="59" fillId="0" borderId="0" xfId="0" applyFont="1" applyFill="1" applyProtection="1">
      <alignment vertical="center"/>
    </xf>
    <xf numFmtId="0" fontId="9" fillId="0" borderId="0" xfId="0" applyFont="1" applyBorder="1" applyAlignment="1" applyProtection="1">
      <alignment horizontal="left" vertical="center"/>
    </xf>
    <xf numFmtId="0" fontId="12" fillId="0" borderId="102" xfId="0" applyFont="1" applyBorder="1" applyAlignment="1" applyProtection="1">
      <alignment horizontal="center" vertical="center"/>
    </xf>
    <xf numFmtId="0" fontId="12" fillId="0" borderId="102" xfId="0" applyFont="1" applyBorder="1" applyAlignment="1" applyProtection="1">
      <alignment horizontal="center" vertical="center" wrapText="1"/>
    </xf>
    <xf numFmtId="3" fontId="9" fillId="0" borderId="115" xfId="0" applyNumberFormat="1" applyFont="1" applyBorder="1" applyAlignment="1" applyProtection="1">
      <alignment horizontal="right" vertical="center"/>
      <protection locked="0"/>
    </xf>
    <xf numFmtId="0" fontId="19" fillId="0" borderId="114" xfId="0" applyFont="1" applyBorder="1" applyAlignment="1" applyProtection="1">
      <alignment horizontal="right" vertical="center"/>
    </xf>
    <xf numFmtId="0" fontId="9" fillId="0" borderId="116" xfId="0" applyFont="1" applyBorder="1" applyAlignment="1" applyProtection="1">
      <alignment horizontal="center" vertical="center"/>
      <protection locked="0"/>
    </xf>
    <xf numFmtId="0" fontId="9" fillId="0" borderId="121" xfId="0" applyFont="1" applyBorder="1" applyAlignment="1" applyProtection="1">
      <alignment horizontal="right" vertical="center"/>
      <protection locked="0"/>
    </xf>
    <xf numFmtId="0" fontId="9" fillId="0" borderId="116" xfId="0" applyFont="1" applyBorder="1" applyAlignment="1" applyProtection="1">
      <alignment horizontal="right" vertical="center"/>
      <protection locked="0"/>
    </xf>
    <xf numFmtId="0" fontId="14" fillId="0" borderId="0" xfId="0" applyFont="1" applyAlignment="1" applyProtection="1">
      <alignment horizontal="left"/>
    </xf>
    <xf numFmtId="3" fontId="9" fillId="0" borderId="28" xfId="0" applyNumberFormat="1" applyFont="1" applyBorder="1" applyAlignment="1" applyProtection="1">
      <alignment horizontal="right" vertical="center"/>
      <protection locked="0"/>
    </xf>
    <xf numFmtId="0" fontId="19" fillId="0" borderId="23" xfId="0" applyFont="1" applyBorder="1" applyAlignment="1" applyProtection="1">
      <alignment horizontal="right" vertical="center"/>
    </xf>
    <xf numFmtId="0" fontId="9" fillId="0" borderId="124" xfId="0" applyFont="1" applyBorder="1" applyAlignment="1" applyProtection="1">
      <alignment horizontal="center" vertical="center"/>
      <protection locked="0"/>
    </xf>
    <xf numFmtId="0" fontId="62" fillId="0" borderId="0" xfId="0" applyFont="1" applyBorder="1">
      <alignment vertical="center"/>
    </xf>
    <xf numFmtId="3" fontId="9" fillId="0" borderId="119" xfId="0" applyNumberFormat="1" applyFont="1" applyBorder="1" applyAlignment="1" applyProtection="1">
      <alignment horizontal="right" vertical="center"/>
      <protection locked="0"/>
    </xf>
    <xf numFmtId="0" fontId="19" fillId="0" borderId="120" xfId="0" applyFont="1" applyBorder="1" applyAlignment="1" applyProtection="1">
      <alignment horizontal="right" vertical="center"/>
    </xf>
    <xf numFmtId="0" fontId="9" fillId="0" borderId="121" xfId="0" applyFont="1" applyBorder="1" applyAlignment="1" applyProtection="1">
      <alignment horizontal="center" vertical="center"/>
      <protection locked="0"/>
    </xf>
    <xf numFmtId="0" fontId="9" fillId="0" borderId="124" xfId="0" applyFont="1" applyBorder="1" applyAlignment="1" applyProtection="1">
      <alignment horizontal="right" vertical="center"/>
      <protection locked="0"/>
    </xf>
    <xf numFmtId="0" fontId="6" fillId="2" borderId="100" xfId="2" applyFont="1" applyFill="1" applyBorder="1" applyAlignment="1" applyProtection="1">
      <alignment horizontal="left" vertical="center" wrapText="1"/>
    </xf>
    <xf numFmtId="0" fontId="50" fillId="2" borderId="101" xfId="2" applyFont="1" applyFill="1" applyBorder="1" applyAlignment="1" applyProtection="1">
      <alignment horizontal="center" vertical="center" wrapText="1"/>
    </xf>
    <xf numFmtId="0" fontId="3" fillId="0" borderId="0" xfId="0" applyFont="1" applyProtection="1">
      <alignment vertical="center"/>
    </xf>
    <xf numFmtId="0" fontId="11" fillId="5" borderId="1" xfId="0" applyFont="1" applyFill="1" applyBorder="1" applyAlignment="1" applyProtection="1">
      <alignment horizontal="center" vertical="center" wrapText="1"/>
    </xf>
    <xf numFmtId="0" fontId="11" fillId="0" borderId="2" xfId="0" applyFont="1" applyFill="1" applyBorder="1" applyAlignment="1" applyProtection="1">
      <alignment horizontal="left" vertical="center" wrapText="1"/>
    </xf>
    <xf numFmtId="0" fontId="7" fillId="0" borderId="39" xfId="0" applyFont="1" applyBorder="1" applyAlignment="1" applyProtection="1">
      <alignment vertical="center"/>
    </xf>
    <xf numFmtId="0" fontId="7" fillId="0" borderId="40" xfId="0" applyFont="1" applyBorder="1" applyAlignment="1" applyProtection="1">
      <alignment vertical="center"/>
    </xf>
    <xf numFmtId="179" fontId="10" fillId="0" borderId="40" xfId="5" applyNumberFormat="1" applyFont="1" applyBorder="1" applyAlignment="1" applyProtection="1">
      <alignment vertical="center"/>
    </xf>
    <xf numFmtId="0" fontId="7" fillId="0" borderId="44" xfId="0" applyFont="1" applyBorder="1" applyAlignment="1" applyProtection="1"/>
    <xf numFmtId="0" fontId="7" fillId="0" borderId="49" xfId="0" applyFont="1" applyBorder="1" applyAlignment="1" applyProtection="1">
      <alignment vertical="center"/>
    </xf>
    <xf numFmtId="0" fontId="7" fillId="0" borderId="48" xfId="0" applyFont="1" applyBorder="1" applyAlignment="1" applyProtection="1">
      <alignment vertical="center"/>
    </xf>
    <xf numFmtId="0" fontId="10" fillId="0" borderId="48" xfId="0" applyFont="1" applyBorder="1" applyAlignment="1" applyProtection="1">
      <alignment vertical="center"/>
    </xf>
    <xf numFmtId="179" fontId="10" fillId="0" borderId="48" xfId="5" applyNumberFormat="1" applyFont="1" applyBorder="1" applyAlignment="1" applyProtection="1">
      <alignment vertical="center"/>
    </xf>
    <xf numFmtId="0" fontId="7" fillId="0" borderId="48" xfId="0" applyFont="1" applyBorder="1" applyAlignment="1" applyProtection="1"/>
    <xf numFmtId="180" fontId="26" fillId="0" borderId="11" xfId="0" applyNumberFormat="1" applyFont="1" applyFill="1" applyBorder="1" applyAlignment="1" applyProtection="1">
      <alignment horizontal="left" vertical="center"/>
      <protection locked="0"/>
    </xf>
    <xf numFmtId="0" fontId="9" fillId="3" borderId="122" xfId="0" applyNumberFormat="1" applyFont="1" applyFill="1" applyBorder="1" applyAlignment="1" applyProtection="1">
      <alignment horizontal="left" vertical="center" wrapText="1"/>
    </xf>
    <xf numFmtId="0" fontId="9" fillId="3" borderId="127" xfId="0" applyNumberFormat="1" applyFont="1" applyFill="1" applyBorder="1" applyAlignment="1" applyProtection="1">
      <alignment horizontal="left" vertical="center" wrapText="1"/>
    </xf>
    <xf numFmtId="0" fontId="9" fillId="3" borderId="128" xfId="0" applyNumberFormat="1" applyFont="1" applyFill="1" applyBorder="1" applyAlignment="1" applyProtection="1">
      <alignment horizontal="left" vertical="center" wrapText="1"/>
    </xf>
    <xf numFmtId="0" fontId="9" fillId="7" borderId="129" xfId="0" applyNumberFormat="1" applyFont="1" applyFill="1" applyBorder="1" applyAlignment="1" applyProtection="1">
      <alignment horizontal="left" vertical="center" wrapText="1"/>
    </xf>
    <xf numFmtId="0" fontId="9" fillId="7" borderId="128" xfId="0" applyNumberFormat="1" applyFont="1" applyFill="1" applyBorder="1" applyAlignment="1" applyProtection="1">
      <alignment horizontal="left" vertical="center" wrapText="1"/>
    </xf>
    <xf numFmtId="38" fontId="9" fillId="0" borderId="110" xfId="1" applyFont="1" applyBorder="1" applyAlignment="1" applyProtection="1">
      <alignment horizontal="right" vertical="center"/>
      <protection locked="0"/>
    </xf>
    <xf numFmtId="0" fontId="45" fillId="0" borderId="0" xfId="0" applyFont="1" applyFill="1" applyBorder="1" applyAlignment="1" applyProtection="1">
      <alignment horizontal="center" vertical="center"/>
    </xf>
    <xf numFmtId="0" fontId="11" fillId="0" borderId="31" xfId="0" applyFont="1" applyBorder="1" applyAlignment="1" applyProtection="1">
      <alignment horizontal="center" vertical="center"/>
    </xf>
    <xf numFmtId="0" fontId="30" fillId="0" borderId="0" xfId="0" applyFont="1" applyBorder="1" applyAlignment="1" applyProtection="1">
      <alignment horizontal="right" vertical="top"/>
    </xf>
    <xf numFmtId="0" fontId="35" fillId="0" borderId="0" xfId="0" applyFont="1" applyBorder="1" applyAlignment="1" applyProtection="1">
      <alignment horizontal="right" vertical="top"/>
    </xf>
    <xf numFmtId="0" fontId="35" fillId="0" borderId="0" xfId="0" applyFont="1" applyBorder="1" applyAlignment="1" applyProtection="1">
      <alignment horizontal="left" vertical="top"/>
    </xf>
    <xf numFmtId="3" fontId="52" fillId="0" borderId="0" xfId="0" applyNumberFormat="1" applyFont="1" applyFill="1" applyBorder="1" applyAlignment="1" applyProtection="1">
      <alignment horizontal="right" vertical="center"/>
    </xf>
    <xf numFmtId="3" fontId="52" fillId="0" borderId="0" xfId="0" applyNumberFormat="1" applyFont="1" applyBorder="1" applyProtection="1">
      <alignment vertical="center"/>
    </xf>
    <xf numFmtId="0" fontId="0" fillId="0" borderId="0" xfId="0" applyBorder="1" applyAlignment="1" applyProtection="1">
      <alignment horizontal="left" vertical="center"/>
    </xf>
    <xf numFmtId="0" fontId="0" fillId="0" borderId="0" xfId="0" applyAlignment="1" applyProtection="1">
      <alignment horizontal="left" vertical="center"/>
    </xf>
    <xf numFmtId="0" fontId="45" fillId="0" borderId="0" xfId="0" applyFont="1" applyFill="1" applyBorder="1" applyAlignment="1" applyProtection="1">
      <alignment horizontal="left" vertical="center"/>
    </xf>
    <xf numFmtId="0" fontId="0" fillId="0" borderId="0" xfId="0" applyFill="1" applyBorder="1" applyAlignment="1" applyProtection="1">
      <alignment horizontal="left" vertical="center"/>
    </xf>
    <xf numFmtId="0" fontId="10" fillId="0" borderId="130" xfId="0" applyFont="1" applyFill="1" applyBorder="1" applyAlignment="1" applyProtection="1">
      <alignment horizontal="center" vertical="center" wrapText="1"/>
    </xf>
    <xf numFmtId="0" fontId="10" fillId="0" borderId="102" xfId="0" applyFont="1" applyFill="1" applyBorder="1" applyAlignment="1" applyProtection="1">
      <alignment horizontal="center" vertical="center" wrapText="1"/>
    </xf>
    <xf numFmtId="0" fontId="10" fillId="0" borderId="131" xfId="0" applyFont="1" applyFill="1" applyBorder="1" applyAlignment="1" applyProtection="1">
      <alignment horizontal="center" vertical="center" wrapText="1"/>
    </xf>
    <xf numFmtId="3" fontId="37" fillId="0" borderId="132" xfId="0" applyNumberFormat="1" applyFont="1" applyFill="1" applyBorder="1" applyAlignment="1" applyProtection="1">
      <alignment horizontal="right" vertical="center"/>
    </xf>
    <xf numFmtId="3" fontId="37" fillId="0" borderId="109" xfId="0" applyNumberFormat="1" applyFont="1" applyFill="1" applyBorder="1" applyAlignment="1" applyProtection="1">
      <alignment horizontal="right" vertical="center"/>
    </xf>
    <xf numFmtId="3" fontId="37" fillId="0" borderId="133" xfId="0" applyNumberFormat="1" applyFont="1" applyFill="1" applyBorder="1" applyAlignment="1" applyProtection="1">
      <alignment horizontal="left" vertical="center"/>
    </xf>
    <xf numFmtId="3" fontId="52" fillId="0" borderId="0" xfId="0" applyNumberFormat="1" applyFont="1" applyFill="1" applyBorder="1" applyAlignment="1" applyProtection="1">
      <alignment horizontal="left" vertical="center"/>
    </xf>
    <xf numFmtId="3" fontId="52" fillId="0" borderId="0" xfId="0" applyNumberFormat="1" applyFont="1" applyBorder="1" applyAlignment="1" applyProtection="1">
      <alignment horizontal="left" vertical="center"/>
    </xf>
    <xf numFmtId="0" fontId="69" fillId="0" borderId="86" xfId="0" applyFont="1" applyBorder="1" applyProtection="1">
      <alignment vertical="center"/>
    </xf>
    <xf numFmtId="0" fontId="69" fillId="0" borderId="46" xfId="0" applyFont="1" applyBorder="1" applyProtection="1">
      <alignment vertical="center"/>
    </xf>
    <xf numFmtId="0" fontId="69" fillId="0" borderId="99" xfId="0" applyFont="1" applyBorder="1" applyProtection="1">
      <alignment vertical="center"/>
    </xf>
    <xf numFmtId="0" fontId="46" fillId="7" borderId="11" xfId="0" applyFont="1" applyFill="1" applyBorder="1" applyAlignment="1" applyProtection="1">
      <alignment horizontal="center" vertical="center"/>
    </xf>
    <xf numFmtId="0" fontId="7" fillId="7" borderId="102" xfId="2" applyFont="1" applyFill="1" applyBorder="1" applyAlignment="1" applyProtection="1">
      <alignment horizontal="center" vertical="center" wrapText="1"/>
    </xf>
    <xf numFmtId="0" fontId="0" fillId="6" borderId="0" xfId="0" applyFill="1" applyProtection="1">
      <alignment vertical="center"/>
    </xf>
    <xf numFmtId="0" fontId="7"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left" vertical="center"/>
    </xf>
    <xf numFmtId="0" fontId="34" fillId="0" borderId="0" xfId="0" applyFont="1" applyBorder="1" applyAlignment="1" applyProtection="1">
      <alignment horizontal="left" vertical="center" wrapText="1"/>
    </xf>
    <xf numFmtId="0" fontId="12" fillId="0" borderId="0" xfId="0" applyFont="1" applyBorder="1" applyAlignment="1" applyProtection="1">
      <alignment horizontal="center" vertical="center" wrapText="1"/>
    </xf>
    <xf numFmtId="0" fontId="0" fillId="0" borderId="0" xfId="0">
      <alignment vertical="center"/>
    </xf>
    <xf numFmtId="0" fontId="9" fillId="0" borderId="0" xfId="0" applyFont="1">
      <alignment vertical="center"/>
    </xf>
    <xf numFmtId="0" fontId="0" fillId="0" borderId="0" xfId="0" applyProtection="1">
      <alignment vertical="center"/>
    </xf>
    <xf numFmtId="0" fontId="9" fillId="0" borderId="0" xfId="0" applyFont="1" applyProtection="1">
      <alignment vertical="center"/>
    </xf>
    <xf numFmtId="0" fontId="9" fillId="0" borderId="0" xfId="0" applyFont="1" applyBorder="1" applyProtection="1">
      <alignment vertical="center"/>
    </xf>
    <xf numFmtId="0" fontId="12" fillId="0" borderId="0" xfId="0" applyFont="1" applyBorder="1" applyAlignment="1" applyProtection="1">
      <alignment horizontal="center" vertical="center"/>
    </xf>
    <xf numFmtId="0" fontId="19" fillId="0" borderId="0" xfId="0" applyFont="1" applyBorder="1" applyAlignment="1" applyProtection="1">
      <alignment horizontal="right" vertical="center"/>
    </xf>
    <xf numFmtId="0" fontId="0" fillId="0" borderId="0" xfId="0" applyFill="1" applyProtection="1">
      <alignment vertical="center"/>
    </xf>
    <xf numFmtId="0" fontId="7" fillId="0" borderId="0" xfId="0" applyFont="1">
      <alignment vertical="center"/>
    </xf>
    <xf numFmtId="0" fontId="11" fillId="0" borderId="0" xfId="0" applyFont="1" applyBorder="1" applyAlignment="1" applyProtection="1">
      <alignment horizontal="center" vertical="center"/>
    </xf>
    <xf numFmtId="3" fontId="9" fillId="0" borderId="0" xfId="0" applyNumberFormat="1" applyFont="1" applyBorder="1" applyAlignment="1" applyProtection="1">
      <alignment horizontal="right" vertical="center"/>
    </xf>
    <xf numFmtId="0" fontId="7" fillId="0" borderId="0" xfId="0" applyFont="1" applyAlignment="1" applyProtection="1">
      <alignment horizontal="left" vertical="center"/>
    </xf>
    <xf numFmtId="178" fontId="9" fillId="0" borderId="0" xfId="0" applyNumberFormat="1" applyFont="1" applyBorder="1" applyAlignment="1" applyProtection="1">
      <alignment horizontal="center" vertical="center"/>
      <protection locked="0"/>
    </xf>
    <xf numFmtId="0" fontId="45" fillId="0" borderId="0" xfId="0" applyFont="1" applyFill="1" applyBorder="1" applyAlignment="1" applyProtection="1">
      <alignment horizontal="center" vertical="center"/>
    </xf>
    <xf numFmtId="0" fontId="7" fillId="8" borderId="74" xfId="2" applyFont="1" applyFill="1" applyBorder="1" applyAlignment="1" applyProtection="1">
      <alignment horizontal="right" vertical="center" shrinkToFit="1"/>
    </xf>
    <xf numFmtId="0" fontId="7" fillId="8" borderId="76" xfId="2" applyFont="1" applyFill="1" applyBorder="1" applyAlignment="1" applyProtection="1">
      <alignment horizontal="left" vertical="center" shrinkToFit="1"/>
    </xf>
    <xf numFmtId="0" fontId="7" fillId="8" borderId="111" xfId="2" applyFont="1" applyFill="1" applyBorder="1" applyAlignment="1" applyProtection="1">
      <alignment horizontal="right" vertical="center" shrinkToFit="1"/>
    </xf>
    <xf numFmtId="0" fontId="7" fillId="8" borderId="111" xfId="2" applyFont="1" applyFill="1" applyBorder="1" applyAlignment="1" applyProtection="1">
      <alignment horizontal="left" vertical="center" shrinkToFit="1"/>
    </xf>
    <xf numFmtId="0" fontId="10" fillId="8" borderId="9" xfId="0" applyFont="1" applyFill="1" applyBorder="1" applyAlignment="1" applyProtection="1">
      <alignment horizontal="center" vertical="center" wrapText="1"/>
    </xf>
    <xf numFmtId="3" fontId="9" fillId="8" borderId="77" xfId="0" applyNumberFormat="1" applyFont="1" applyFill="1" applyBorder="1" applyAlignment="1" applyProtection="1">
      <alignment horizontal="right" vertical="center"/>
    </xf>
    <xf numFmtId="3" fontId="9" fillId="8" borderId="108" xfId="0" applyNumberFormat="1" applyFont="1" applyFill="1" applyBorder="1" applyAlignment="1" applyProtection="1">
      <alignment horizontal="right" vertical="center"/>
    </xf>
    <xf numFmtId="0" fontId="10" fillId="5" borderId="65" xfId="2" applyFont="1" applyFill="1" applyBorder="1" applyAlignment="1" applyProtection="1">
      <alignment vertical="center" wrapText="1"/>
    </xf>
    <xf numFmtId="0" fontId="43" fillId="0" borderId="0" xfId="4" applyFont="1" applyFill="1" applyBorder="1" applyAlignment="1" applyProtection="1">
      <alignment horizontal="center"/>
      <protection locked="0"/>
    </xf>
    <xf numFmtId="0" fontId="43" fillId="0" borderId="0" xfId="4" applyFont="1" applyFill="1" applyBorder="1" applyAlignment="1" applyProtection="1">
      <protection locked="0"/>
    </xf>
    <xf numFmtId="0" fontId="14" fillId="5" borderId="17" xfId="2" applyFont="1" applyFill="1" applyBorder="1" applyAlignment="1" applyProtection="1">
      <alignment horizontal="center" vertical="center" wrapText="1"/>
    </xf>
    <xf numFmtId="0" fontId="14" fillId="5" borderId="31" xfId="2" applyFont="1" applyFill="1" applyBorder="1" applyAlignment="1" applyProtection="1">
      <alignment horizontal="left" vertical="center" wrapText="1"/>
    </xf>
    <xf numFmtId="0" fontId="7" fillId="0" borderId="76" xfId="2" applyFont="1" applyFill="1" applyBorder="1" applyAlignment="1" applyProtection="1">
      <alignment horizontal="center" vertical="center" shrinkToFit="1"/>
    </xf>
    <xf numFmtId="0" fontId="7" fillId="0" borderId="111" xfId="2" applyFont="1" applyFill="1" applyBorder="1" applyAlignment="1" applyProtection="1">
      <alignment horizontal="center" vertical="center" shrinkToFit="1"/>
    </xf>
    <xf numFmtId="0" fontId="70" fillId="0" borderId="11" xfId="0" applyFont="1" applyBorder="1" applyAlignment="1" applyProtection="1">
      <alignment vertical="center" wrapText="1"/>
    </xf>
    <xf numFmtId="0" fontId="0" fillId="0" borderId="29" xfId="0" applyBorder="1" applyProtection="1">
      <alignment vertical="center"/>
    </xf>
    <xf numFmtId="3" fontId="49" fillId="0" borderId="0" xfId="0" applyNumberFormat="1" applyFont="1" applyBorder="1" applyAlignment="1" applyProtection="1">
      <alignment horizontal="right" vertical="center"/>
    </xf>
    <xf numFmtId="178" fontId="7" fillId="0" borderId="134" xfId="2" applyNumberFormat="1" applyFont="1" applyBorder="1" applyAlignment="1" applyProtection="1">
      <alignment horizontal="center" vertical="center"/>
      <protection locked="0"/>
    </xf>
    <xf numFmtId="0" fontId="9" fillId="0" borderId="80" xfId="0" applyFont="1" applyBorder="1" applyAlignment="1" applyProtection="1">
      <alignment horizontal="left" vertical="center"/>
      <protection locked="0"/>
    </xf>
    <xf numFmtId="3" fontId="9" fillId="0" borderId="81" xfId="0" applyNumberFormat="1" applyFont="1" applyBorder="1" applyAlignment="1" applyProtection="1">
      <alignment horizontal="right" vertical="center"/>
      <protection locked="0"/>
    </xf>
    <xf numFmtId="0" fontId="0" fillId="0" borderId="135" xfId="0" applyBorder="1" applyProtection="1">
      <alignment vertical="center"/>
    </xf>
    <xf numFmtId="0" fontId="21" fillId="0" borderId="0" xfId="0" applyFont="1" applyAlignment="1" applyProtection="1">
      <alignment horizontal="center" vertical="center"/>
    </xf>
    <xf numFmtId="0" fontId="71" fillId="0" borderId="0" xfId="0" applyFont="1" applyProtection="1">
      <alignment vertical="center"/>
    </xf>
    <xf numFmtId="0" fontId="21" fillId="0" borderId="0" xfId="0" applyFont="1" applyAlignment="1" applyProtection="1">
      <alignment horizontal="right" vertical="center"/>
      <protection locked="0"/>
    </xf>
    <xf numFmtId="3" fontId="24" fillId="0" borderId="18" xfId="0" applyNumberFormat="1" applyFont="1" applyFill="1" applyBorder="1" applyAlignment="1" applyProtection="1">
      <alignment vertical="center"/>
    </xf>
    <xf numFmtId="0" fontId="21" fillId="0" borderId="0" xfId="0" applyFont="1" applyFill="1" applyAlignment="1" applyProtection="1">
      <alignment horizontal="left" vertical="center" indent="2"/>
    </xf>
    <xf numFmtId="0" fontId="22" fillId="0" borderId="0" xfId="0" applyFont="1" applyFill="1" applyAlignment="1" applyProtection="1">
      <alignment horizontal="left" vertical="center" indent="2"/>
    </xf>
    <xf numFmtId="0" fontId="14" fillId="5" borderId="65" xfId="2" applyFont="1" applyFill="1" applyBorder="1" applyAlignment="1" applyProtection="1">
      <alignment vertical="center" wrapText="1"/>
    </xf>
    <xf numFmtId="3" fontId="9" fillId="0" borderId="0" xfId="0" applyNumberFormat="1" applyFont="1" applyBorder="1" applyAlignment="1" applyProtection="1">
      <alignment horizontal="right" vertical="center"/>
    </xf>
    <xf numFmtId="0" fontId="65" fillId="0" borderId="0" xfId="0" applyFont="1" applyFill="1" applyProtection="1">
      <alignment vertical="center"/>
    </xf>
    <xf numFmtId="3" fontId="37" fillId="0" borderId="136" xfId="0" applyNumberFormat="1" applyFont="1" applyFill="1" applyBorder="1" applyAlignment="1" applyProtection="1">
      <alignment horizontal="left" vertical="center"/>
    </xf>
    <xf numFmtId="0" fontId="42" fillId="0" borderId="0" xfId="0" applyFont="1" applyFill="1" applyBorder="1" applyAlignment="1" applyProtection="1">
      <alignment horizontal="left" vertical="top" wrapText="1"/>
    </xf>
    <xf numFmtId="0" fontId="11" fillId="0" borderId="0" xfId="0" applyFont="1" applyBorder="1" applyAlignment="1" applyProtection="1">
      <alignment horizontal="center" vertical="center"/>
    </xf>
    <xf numFmtId="3" fontId="9" fillId="0" borderId="0" xfId="0" applyNumberFormat="1" applyFont="1" applyBorder="1" applyAlignment="1" applyProtection="1">
      <alignment horizontal="right" vertical="center"/>
    </xf>
    <xf numFmtId="0" fontId="11" fillId="0" borderId="0" xfId="0" applyFont="1" applyBorder="1" applyAlignment="1" applyProtection="1">
      <alignment horizontal="center" vertical="center" wrapText="1"/>
    </xf>
    <xf numFmtId="3" fontId="73" fillId="9" borderId="0" xfId="0" applyNumberFormat="1" applyFont="1" applyFill="1" applyBorder="1" applyAlignment="1" applyProtection="1">
      <alignment horizontal="left" vertical="center"/>
    </xf>
    <xf numFmtId="0" fontId="55" fillId="0" borderId="0" xfId="0" applyFont="1">
      <alignment vertical="center"/>
    </xf>
    <xf numFmtId="0" fontId="56" fillId="9" borderId="0" xfId="0" applyFont="1" applyFill="1">
      <alignment vertical="center"/>
    </xf>
    <xf numFmtId="3" fontId="56" fillId="9" borderId="0" xfId="0" applyNumberFormat="1" applyFont="1" applyFill="1">
      <alignment vertical="center"/>
    </xf>
    <xf numFmtId="179" fontId="35" fillId="9" borderId="0" xfId="5" applyNumberFormat="1" applyFont="1" applyFill="1" applyBorder="1" applyAlignment="1" applyProtection="1">
      <alignment vertical="center"/>
    </xf>
    <xf numFmtId="0" fontId="54" fillId="9" borderId="0" xfId="0" applyFont="1" applyFill="1">
      <alignment vertical="center"/>
    </xf>
    <xf numFmtId="0" fontId="0" fillId="9" borderId="0" xfId="0" applyFill="1">
      <alignment vertical="center"/>
    </xf>
    <xf numFmtId="0" fontId="58" fillId="0" borderId="0" xfId="0" applyFont="1">
      <alignment vertical="center"/>
    </xf>
    <xf numFmtId="0" fontId="56" fillId="0" borderId="0" xfId="0" applyFont="1">
      <alignment vertical="center"/>
    </xf>
    <xf numFmtId="38" fontId="56" fillId="0" borderId="0" xfId="1" applyFont="1">
      <alignment vertical="center"/>
    </xf>
    <xf numFmtId="179" fontId="35" fillId="0" borderId="0" xfId="5" applyNumberFormat="1" applyFont="1" applyBorder="1" applyAlignment="1" applyProtection="1">
      <alignment vertical="center"/>
    </xf>
    <xf numFmtId="0" fontId="54" fillId="0" borderId="0" xfId="0" applyFont="1">
      <alignment vertical="center"/>
    </xf>
    <xf numFmtId="38" fontId="60" fillId="9" borderId="0" xfId="1" applyFont="1" applyFill="1" applyProtection="1">
      <alignment vertical="center"/>
    </xf>
    <xf numFmtId="0" fontId="61" fillId="0" borderId="0" xfId="0" applyFont="1" applyProtection="1">
      <alignment vertical="center"/>
    </xf>
    <xf numFmtId="0" fontId="2" fillId="0" borderId="0" xfId="0" applyFont="1" applyProtection="1">
      <alignment vertical="center"/>
    </xf>
    <xf numFmtId="38" fontId="0" fillId="0" borderId="0" xfId="1" applyFont="1" applyProtection="1">
      <alignment vertical="center"/>
    </xf>
    <xf numFmtId="0" fontId="55" fillId="0" borderId="0" xfId="0" applyFont="1" applyProtection="1">
      <alignment vertical="center"/>
    </xf>
    <xf numFmtId="0" fontId="34" fillId="0" borderId="0" xfId="0" applyFont="1" applyAlignment="1">
      <alignment horizontal="justify" vertical="center"/>
    </xf>
    <xf numFmtId="0" fontId="34" fillId="9" borderId="0" xfId="0" applyFont="1" applyFill="1" applyAlignment="1">
      <alignment horizontal="justify" vertical="center"/>
    </xf>
    <xf numFmtId="0" fontId="17" fillId="0" borderId="0" xfId="0" applyFont="1" applyBorder="1" applyAlignment="1" applyProtection="1">
      <alignment vertical="top" wrapText="1"/>
    </xf>
    <xf numFmtId="0" fontId="68" fillId="3" borderId="34" xfId="4" applyFont="1" applyFill="1" applyBorder="1" applyAlignment="1" applyProtection="1">
      <alignment horizontal="center" vertical="center"/>
      <protection locked="0"/>
    </xf>
    <xf numFmtId="0" fontId="33" fillId="3" borderId="67" xfId="4" applyFont="1" applyFill="1" applyBorder="1" applyAlignment="1" applyProtection="1">
      <alignment horizontal="center" vertical="center"/>
      <protection locked="0"/>
    </xf>
    <xf numFmtId="0" fontId="33" fillId="3" borderId="37" xfId="4" applyFont="1" applyFill="1" applyBorder="1" applyAlignment="1" applyProtection="1">
      <alignment horizontal="center" vertical="center"/>
      <protection locked="0"/>
    </xf>
    <xf numFmtId="0" fontId="33" fillId="7" borderId="137" xfId="4" applyNumberFormat="1" applyFont="1" applyFill="1" applyBorder="1" applyAlignment="1" applyProtection="1">
      <alignment horizontal="center" vertical="center"/>
      <protection locked="0"/>
    </xf>
    <xf numFmtId="0" fontId="33" fillId="7" borderId="138" xfId="4" applyNumberFormat="1" applyFont="1" applyFill="1" applyBorder="1" applyAlignment="1" applyProtection="1">
      <alignment horizontal="center" vertical="center"/>
      <protection locked="0"/>
    </xf>
    <xf numFmtId="0" fontId="33" fillId="7" borderId="139" xfId="4" applyNumberFormat="1" applyFont="1" applyFill="1" applyBorder="1" applyAlignment="1" applyProtection="1">
      <alignment horizontal="center" vertical="center"/>
      <protection locked="0"/>
    </xf>
    <xf numFmtId="0" fontId="7" fillId="0" borderId="0" xfId="0" applyFont="1" applyAlignment="1">
      <alignment horizontal="left" vertical="top" wrapText="1"/>
    </xf>
    <xf numFmtId="0" fontId="0" fillId="0" borderId="0" xfId="0" applyAlignment="1">
      <alignment horizontal="left" vertical="top" wrapText="1"/>
    </xf>
    <xf numFmtId="0" fontId="9" fillId="0" borderId="0" xfId="0" applyFont="1" applyAlignment="1">
      <alignment horizontal="left" vertical="center" wrapText="1"/>
    </xf>
    <xf numFmtId="0" fontId="33" fillId="0" borderId="0" xfId="4" applyFont="1" applyBorder="1" applyAlignment="1" applyProtection="1">
      <alignment horizontal="left" vertical="center"/>
    </xf>
    <xf numFmtId="0" fontId="35" fillId="0" borderId="0" xfId="0" applyFont="1" applyAlignment="1" applyProtection="1">
      <alignment horizontal="left" vertical="center"/>
    </xf>
    <xf numFmtId="0" fontId="11" fillId="4" borderId="45" xfId="0" applyFont="1" applyFill="1" applyBorder="1" applyAlignment="1" applyProtection="1">
      <alignment vertical="center"/>
    </xf>
    <xf numFmtId="0" fontId="0" fillId="0" borderId="46" xfId="0" applyFont="1" applyBorder="1" applyAlignment="1" applyProtection="1">
      <alignment vertical="center"/>
    </xf>
    <xf numFmtId="0" fontId="11" fillId="4" borderId="72" xfId="0" applyFont="1" applyFill="1" applyBorder="1" applyAlignment="1" applyProtection="1">
      <alignment vertical="center"/>
    </xf>
    <xf numFmtId="0" fontId="0" fillId="0" borderId="71" xfId="0" applyFont="1" applyBorder="1" applyAlignment="1" applyProtection="1">
      <alignment vertical="center"/>
    </xf>
    <xf numFmtId="0" fontId="11" fillId="4" borderId="30" xfId="0" applyFont="1" applyFill="1" applyBorder="1" applyAlignment="1" applyProtection="1">
      <alignment horizontal="left" vertical="center"/>
    </xf>
    <xf numFmtId="0" fontId="0" fillId="0" borderId="13" xfId="0" applyFont="1" applyBorder="1" applyAlignment="1" applyProtection="1">
      <alignment horizontal="left" vertical="center"/>
    </xf>
    <xf numFmtId="0" fontId="11" fillId="4" borderId="7" xfId="4" applyFont="1" applyFill="1" applyBorder="1" applyAlignment="1" applyProtection="1">
      <alignment horizontal="left" vertical="center"/>
    </xf>
    <xf numFmtId="0" fontId="44" fillId="4" borderId="31" xfId="4" applyFont="1" applyFill="1" applyBorder="1" applyAlignment="1" applyProtection="1">
      <alignment horizontal="left" vertical="center"/>
    </xf>
    <xf numFmtId="0" fontId="11" fillId="4" borderId="7" xfId="0" applyFont="1" applyFill="1" applyBorder="1" applyAlignment="1" applyProtection="1">
      <alignment vertical="center"/>
    </xf>
    <xf numFmtId="0" fontId="0" fillId="0" borderId="17" xfId="0" applyFont="1" applyBorder="1" applyAlignment="1" applyProtection="1">
      <alignment vertical="center"/>
    </xf>
    <xf numFmtId="0" fontId="11" fillId="4" borderId="30" xfId="0" applyFont="1" applyFill="1" applyBorder="1" applyAlignment="1" applyProtection="1">
      <alignment vertical="center"/>
    </xf>
    <xf numFmtId="0" fontId="0" fillId="0" borderId="32" xfId="0" applyFont="1" applyBorder="1" applyAlignment="1" applyProtection="1">
      <alignment vertical="center"/>
    </xf>
    <xf numFmtId="0" fontId="11" fillId="4" borderId="52" xfId="0" applyFont="1" applyFill="1" applyBorder="1" applyAlignment="1" applyProtection="1">
      <alignment vertical="center"/>
    </xf>
    <xf numFmtId="0" fontId="0" fillId="0" borderId="86" xfId="0" applyFont="1" applyBorder="1" applyAlignment="1" applyProtection="1">
      <alignment vertical="center"/>
    </xf>
    <xf numFmtId="0" fontId="11" fillId="4" borderId="7" xfId="0" applyFont="1" applyFill="1" applyBorder="1" applyAlignment="1" applyProtection="1">
      <alignment horizontal="left" vertical="center"/>
    </xf>
    <xf numFmtId="0" fontId="11" fillId="4" borderId="31" xfId="0" applyFont="1" applyFill="1" applyBorder="1" applyAlignment="1" applyProtection="1">
      <alignment horizontal="left" vertical="center"/>
    </xf>
    <xf numFmtId="0" fontId="14" fillId="8" borderId="17" xfId="2" applyFont="1" applyFill="1" applyBorder="1" applyAlignment="1" applyProtection="1">
      <alignment horizontal="center" vertical="center" wrapText="1"/>
    </xf>
    <xf numFmtId="0" fontId="14" fillId="8" borderId="65" xfId="2" applyFont="1" applyFill="1" applyBorder="1" applyAlignment="1" applyProtection="1">
      <alignment horizontal="center" vertical="center" wrapText="1"/>
    </xf>
    <xf numFmtId="0" fontId="45" fillId="0" borderId="0" xfId="0" applyFont="1" applyFill="1" applyBorder="1" applyAlignment="1" applyProtection="1">
      <alignment horizontal="center" vertical="center"/>
    </xf>
    <xf numFmtId="0" fontId="47" fillId="0" borderId="0" xfId="0" applyFont="1" applyBorder="1" applyAlignment="1" applyProtection="1">
      <alignment horizontal="right" vertical="center"/>
    </xf>
    <xf numFmtId="0" fontId="0" fillId="0" borderId="0" xfId="0" applyAlignment="1" applyProtection="1">
      <alignment horizontal="center" vertical="center"/>
    </xf>
    <xf numFmtId="0" fontId="74" fillId="10" borderId="0" xfId="0" applyFont="1" applyFill="1" applyAlignment="1" applyProtection="1">
      <alignment horizontal="center" vertical="center"/>
    </xf>
    <xf numFmtId="3" fontId="9" fillId="0" borderId="54" xfId="0" applyNumberFormat="1" applyFont="1" applyBorder="1" applyAlignment="1" applyProtection="1">
      <alignment horizontal="right" vertical="center"/>
    </xf>
    <xf numFmtId="3" fontId="9" fillId="0" borderId="55" xfId="0" applyNumberFormat="1" applyFont="1" applyBorder="1" applyAlignment="1" applyProtection="1">
      <alignment horizontal="right" vertical="center"/>
    </xf>
    <xf numFmtId="3" fontId="9" fillId="0" borderId="56" xfId="0" applyNumberFormat="1" applyFont="1" applyBorder="1" applyAlignment="1" applyProtection="1">
      <alignment horizontal="right" vertical="center"/>
    </xf>
    <xf numFmtId="0" fontId="17" fillId="0" borderId="47" xfId="0" applyFont="1" applyBorder="1" applyAlignment="1" applyProtection="1">
      <alignment horizontal="left" vertical="center"/>
    </xf>
    <xf numFmtId="0" fontId="17" fillId="0" borderId="48" xfId="0" applyFont="1" applyBorder="1" applyAlignment="1" applyProtection="1">
      <alignment horizontal="left" vertical="center"/>
    </xf>
    <xf numFmtId="3" fontId="9" fillId="0" borderId="57" xfId="0" applyNumberFormat="1" applyFont="1" applyBorder="1" applyAlignment="1" applyProtection="1">
      <alignment vertical="center"/>
      <protection locked="0"/>
    </xf>
    <xf numFmtId="3" fontId="9" fillId="0" borderId="58" xfId="0" applyNumberFormat="1" applyFont="1" applyBorder="1" applyAlignment="1" applyProtection="1">
      <alignment vertical="center"/>
      <protection locked="0"/>
    </xf>
    <xf numFmtId="3" fontId="9" fillId="0" borderId="59" xfId="0" applyNumberFormat="1" applyFont="1" applyBorder="1" applyAlignment="1" applyProtection="1">
      <alignment vertical="center"/>
      <protection locked="0"/>
    </xf>
    <xf numFmtId="0" fontId="42" fillId="0" borderId="0" xfId="0" applyFont="1" applyFill="1" applyBorder="1" applyAlignment="1" applyProtection="1">
      <alignment horizontal="left" vertical="top" wrapText="1"/>
    </xf>
    <xf numFmtId="0" fontId="17" fillId="0" borderId="45" xfId="0" applyFont="1" applyBorder="1" applyAlignment="1" applyProtection="1">
      <alignment horizontal="left" vertical="center"/>
    </xf>
    <xf numFmtId="0" fontId="17" fillId="0" borderId="44" xfId="0" applyFont="1" applyBorder="1" applyAlignment="1" applyProtection="1">
      <alignment horizontal="left" vertical="center"/>
    </xf>
    <xf numFmtId="0" fontId="17" fillId="0" borderId="46" xfId="0" applyFont="1" applyBorder="1" applyAlignment="1" applyProtection="1">
      <alignment horizontal="left" vertical="center"/>
    </xf>
    <xf numFmtId="0" fontId="10" fillId="0" borderId="60" xfId="0" applyFont="1" applyBorder="1" applyAlignment="1" applyProtection="1">
      <alignment horizontal="left" vertical="center"/>
    </xf>
    <xf numFmtId="0" fontId="10" fillId="0" borderId="51" xfId="0" applyFont="1" applyBorder="1" applyAlignment="1" applyProtection="1">
      <alignment horizontal="left" vertical="center"/>
    </xf>
    <xf numFmtId="3" fontId="9" fillId="0" borderId="33" xfId="0" applyNumberFormat="1" applyFont="1" applyBorder="1" applyAlignment="1" applyProtection="1">
      <alignment vertical="center"/>
    </xf>
    <xf numFmtId="3" fontId="9" fillId="0" borderId="10" xfId="0" applyNumberFormat="1" applyFont="1" applyBorder="1" applyAlignment="1" applyProtection="1">
      <alignment vertical="center"/>
    </xf>
    <xf numFmtId="3" fontId="9" fillId="0" borderId="12" xfId="0" applyNumberFormat="1" applyFont="1" applyBorder="1" applyAlignment="1" applyProtection="1">
      <alignment vertical="center"/>
    </xf>
    <xf numFmtId="3" fontId="9" fillId="0" borderId="60" xfId="0" applyNumberFormat="1" applyFont="1" applyBorder="1" applyAlignment="1" applyProtection="1">
      <alignment horizontal="right" vertical="center"/>
    </xf>
    <xf numFmtId="3" fontId="9" fillId="0" borderId="51" xfId="0" applyNumberFormat="1" applyFont="1" applyBorder="1" applyAlignment="1" applyProtection="1">
      <alignment horizontal="right" vertical="center"/>
    </xf>
    <xf numFmtId="3" fontId="9" fillId="0" borderId="61" xfId="0" applyNumberFormat="1" applyFont="1" applyBorder="1" applyAlignment="1" applyProtection="1">
      <alignment horizontal="right" vertical="center"/>
    </xf>
    <xf numFmtId="0" fontId="11" fillId="0" borderId="88" xfId="0" applyFont="1" applyBorder="1" applyAlignment="1" applyProtection="1">
      <alignment horizontal="center" vertical="center"/>
    </xf>
    <xf numFmtId="0" fontId="11" fillId="0" borderId="103" xfId="0" applyFont="1" applyBorder="1" applyAlignment="1" applyProtection="1">
      <alignment horizontal="center" vertical="center"/>
    </xf>
    <xf numFmtId="0" fontId="11" fillId="0" borderId="106" xfId="0" applyFont="1" applyBorder="1" applyAlignment="1" applyProtection="1">
      <alignment horizontal="center" vertical="center"/>
    </xf>
    <xf numFmtId="0" fontId="11" fillId="0" borderId="30"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33"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31" xfId="0" applyFont="1" applyBorder="1" applyAlignment="1" applyProtection="1">
      <alignment horizontal="center" vertical="center"/>
    </xf>
    <xf numFmtId="0" fontId="11" fillId="0" borderId="30" xfId="0" applyFont="1" applyBorder="1" applyAlignment="1" applyProtection="1">
      <alignment horizontal="center" vertical="center" wrapText="1"/>
    </xf>
    <xf numFmtId="0" fontId="11" fillId="0" borderId="32" xfId="0" applyFont="1" applyBorder="1" applyAlignment="1" applyProtection="1">
      <alignment horizontal="center" vertical="center"/>
    </xf>
    <xf numFmtId="0" fontId="11" fillId="0" borderId="38" xfId="0" applyFont="1" applyBorder="1" applyAlignment="1" applyProtection="1">
      <alignment horizontal="center" vertical="center"/>
    </xf>
    <xf numFmtId="0" fontId="11" fillId="0" borderId="12" xfId="0" applyFont="1" applyBorder="1" applyAlignment="1" applyProtection="1">
      <alignment horizontal="center" vertical="center"/>
    </xf>
    <xf numFmtId="3" fontId="9" fillId="0" borderId="45" xfId="0" applyNumberFormat="1" applyFont="1" applyBorder="1" applyAlignment="1" applyProtection="1">
      <alignment vertical="center"/>
      <protection locked="0"/>
    </xf>
    <xf numFmtId="3" fontId="9" fillId="0" borderId="44" xfId="0" applyNumberFormat="1" applyFont="1" applyBorder="1" applyAlignment="1" applyProtection="1">
      <alignment vertical="center"/>
      <protection locked="0"/>
    </xf>
    <xf numFmtId="3" fontId="9" fillId="0" borderId="46" xfId="0" applyNumberFormat="1" applyFont="1" applyBorder="1" applyAlignment="1" applyProtection="1">
      <alignment vertical="center"/>
      <protection locked="0"/>
    </xf>
    <xf numFmtId="0" fontId="12" fillId="0" borderId="62" xfId="0" applyFont="1" applyBorder="1" applyAlignment="1" applyProtection="1">
      <alignment horizontal="center" vertical="center" wrapText="1"/>
    </xf>
    <xf numFmtId="0" fontId="12" fillId="0" borderId="13" xfId="0" applyFont="1" applyBorder="1" applyAlignment="1" applyProtection="1">
      <alignment horizontal="center" vertical="center"/>
    </xf>
    <xf numFmtId="0" fontId="12" fillId="0" borderId="32" xfId="0" applyFont="1" applyBorder="1" applyAlignment="1" applyProtection="1">
      <alignment horizontal="center" vertical="center"/>
    </xf>
    <xf numFmtId="0" fontId="12" fillId="0" borderId="64"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12" xfId="0" applyFont="1" applyBorder="1" applyAlignment="1" applyProtection="1">
      <alignment horizontal="center" vertical="center"/>
    </xf>
    <xf numFmtId="3" fontId="18" fillId="0" borderId="7" xfId="0" applyNumberFormat="1" applyFont="1" applyBorder="1" applyAlignment="1" applyProtection="1">
      <alignment horizontal="right" vertical="center"/>
    </xf>
    <xf numFmtId="3" fontId="18" fillId="0" borderId="17" xfId="0" applyNumberFormat="1" applyFont="1" applyBorder="1" applyAlignment="1" applyProtection="1">
      <alignment horizontal="right" vertical="center"/>
    </xf>
    <xf numFmtId="3" fontId="18" fillId="0" borderId="66" xfId="0" applyNumberFormat="1" applyFont="1" applyBorder="1" applyAlignment="1" applyProtection="1">
      <alignment horizontal="right" vertical="center"/>
    </xf>
    <xf numFmtId="3" fontId="18" fillId="0" borderId="66" xfId="0" applyNumberFormat="1" applyFont="1" applyFill="1" applyBorder="1" applyAlignment="1" applyProtection="1">
      <alignment horizontal="right" vertical="center"/>
    </xf>
    <xf numFmtId="3" fontId="18" fillId="0" borderId="17" xfId="0" applyNumberFormat="1" applyFont="1" applyFill="1" applyBorder="1" applyAlignment="1" applyProtection="1">
      <alignment horizontal="right" vertical="center"/>
    </xf>
    <xf numFmtId="0" fontId="12" fillId="0" borderId="30" xfId="0" applyFont="1" applyBorder="1" applyAlignment="1" applyProtection="1">
      <alignment horizontal="center" vertical="center" wrapText="1"/>
    </xf>
    <xf numFmtId="0" fontId="12" fillId="0" borderId="33" xfId="0" applyFont="1" applyBorder="1" applyAlignment="1" applyProtection="1">
      <alignment horizontal="center" vertical="center"/>
    </xf>
    <xf numFmtId="0" fontId="12" fillId="0" borderId="63" xfId="0" applyFont="1" applyBorder="1" applyAlignment="1" applyProtection="1">
      <alignment horizontal="center" vertical="center" wrapText="1"/>
    </xf>
    <xf numFmtId="0" fontId="12" fillId="0" borderId="64" xfId="0" applyFont="1" applyBorder="1" applyAlignment="1" applyProtection="1">
      <alignment horizontal="center" vertical="center" wrapText="1"/>
    </xf>
    <xf numFmtId="0" fontId="12" fillId="0" borderId="50"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8" fillId="0" borderId="17" xfId="0" applyFont="1" applyBorder="1" applyAlignment="1" applyProtection="1">
      <alignment horizontal="right" vertical="center"/>
    </xf>
    <xf numFmtId="3" fontId="9" fillId="0" borderId="97" xfId="0" applyNumberFormat="1" applyFont="1" applyBorder="1" applyAlignment="1" applyProtection="1">
      <alignment horizontal="right" vertical="center"/>
    </xf>
    <xf numFmtId="3" fontId="9" fillId="0" borderId="98" xfId="0" applyNumberFormat="1" applyFont="1" applyBorder="1" applyAlignment="1" applyProtection="1">
      <alignment horizontal="right" vertical="center"/>
    </xf>
    <xf numFmtId="3" fontId="9" fillId="0" borderId="99" xfId="0" applyNumberFormat="1" applyFont="1" applyBorder="1" applyAlignment="1" applyProtection="1">
      <alignment horizontal="right" vertical="center"/>
    </xf>
    <xf numFmtId="0" fontId="17" fillId="0" borderId="52" xfId="0" applyFont="1" applyBorder="1" applyAlignment="1" applyProtection="1">
      <alignment horizontal="left" vertical="center"/>
    </xf>
    <xf numFmtId="0" fontId="17" fillId="0" borderId="53" xfId="0" applyFont="1" applyBorder="1" applyAlignment="1" applyProtection="1">
      <alignment horizontal="left" vertical="center"/>
    </xf>
    <xf numFmtId="3" fontId="9" fillId="0" borderId="8" xfId="0" applyNumberFormat="1" applyFont="1" applyBorder="1" applyAlignment="1" applyProtection="1">
      <alignment vertical="center"/>
      <protection locked="0"/>
    </xf>
    <xf numFmtId="3" fontId="9" fillId="0" borderId="0" xfId="0" applyNumberFormat="1" applyFont="1" applyBorder="1" applyAlignment="1" applyProtection="1">
      <alignment vertical="center"/>
      <protection locked="0"/>
    </xf>
    <xf numFmtId="3" fontId="9" fillId="0" borderId="38" xfId="0" applyNumberFormat="1" applyFont="1" applyBorder="1" applyAlignment="1" applyProtection="1">
      <alignment vertical="center"/>
      <protection locked="0"/>
    </xf>
    <xf numFmtId="0" fontId="77" fillId="0" borderId="13" xfId="0" applyFont="1" applyBorder="1" applyAlignment="1" applyProtection="1">
      <alignment horizontal="left" vertical="center" wrapText="1"/>
    </xf>
    <xf numFmtId="3" fontId="9" fillId="0" borderId="105" xfId="0" applyNumberFormat="1" applyFont="1" applyBorder="1" applyAlignment="1" applyProtection="1">
      <alignment horizontal="center" vertical="center"/>
    </xf>
    <xf numFmtId="3" fontId="9" fillId="0" borderId="104" xfId="0" applyNumberFormat="1" applyFont="1" applyBorder="1" applyAlignment="1" applyProtection="1">
      <alignment horizontal="center" vertical="center"/>
    </xf>
    <xf numFmtId="0" fontId="10" fillId="0" borderId="97" xfId="0" applyFont="1" applyBorder="1" applyAlignment="1" applyProtection="1">
      <alignment horizontal="left" vertical="center" wrapText="1"/>
    </xf>
    <xf numFmtId="0" fontId="18" fillId="0" borderId="98" xfId="0" applyFont="1" applyBorder="1" applyAlignment="1" applyProtection="1">
      <alignment horizontal="left" vertical="center"/>
    </xf>
    <xf numFmtId="0" fontId="34" fillId="0" borderId="0" xfId="0" applyFont="1" applyBorder="1" applyAlignment="1" applyProtection="1">
      <alignment horizontal="left" vertical="center" wrapText="1"/>
    </xf>
    <xf numFmtId="3" fontId="9" fillId="0" borderId="8" xfId="0" applyNumberFormat="1" applyFont="1" applyBorder="1" applyAlignment="1" applyProtection="1">
      <alignment horizontal="right" vertical="center"/>
    </xf>
    <xf numFmtId="3" fontId="9" fillId="0" borderId="0" xfId="0" applyNumberFormat="1" applyFont="1" applyBorder="1" applyAlignment="1" applyProtection="1">
      <alignment horizontal="right" vertical="center"/>
    </xf>
    <xf numFmtId="3" fontId="9" fillId="0" borderId="38" xfId="0" applyNumberFormat="1" applyFont="1" applyBorder="1" applyAlignment="1" applyProtection="1">
      <alignment horizontal="right" vertical="center"/>
    </xf>
    <xf numFmtId="0" fontId="10" fillId="0" borderId="94" xfId="0" applyFont="1" applyBorder="1" applyAlignment="1" applyProtection="1">
      <alignment horizontal="left" vertical="center"/>
    </xf>
    <xf numFmtId="0" fontId="10" fillId="0" borderId="95" xfId="0" applyFont="1" applyBorder="1" applyAlignment="1" applyProtection="1">
      <alignment horizontal="left" vertical="center"/>
    </xf>
    <xf numFmtId="3" fontId="9" fillId="0" borderId="94" xfId="0" applyNumberFormat="1" applyFont="1" applyBorder="1" applyAlignment="1" applyProtection="1">
      <alignment horizontal="right" vertical="center"/>
    </xf>
    <xf numFmtId="3" fontId="9" fillId="0" borderId="95" xfId="0" applyNumberFormat="1" applyFont="1" applyBorder="1" applyAlignment="1" applyProtection="1">
      <alignment horizontal="right" vertical="center"/>
    </xf>
    <xf numFmtId="3" fontId="9" fillId="0" borderId="96" xfId="0" applyNumberFormat="1" applyFont="1" applyBorder="1" applyAlignment="1" applyProtection="1">
      <alignment horizontal="right" vertical="center"/>
    </xf>
    <xf numFmtId="0" fontId="7" fillId="0" borderId="49" xfId="0" applyFont="1" applyBorder="1" applyAlignment="1" applyProtection="1">
      <alignment horizontal="left" vertical="center"/>
    </xf>
    <xf numFmtId="0" fontId="7" fillId="0" borderId="48" xfId="0" applyFont="1" applyBorder="1" applyAlignment="1" applyProtection="1">
      <alignment horizontal="left" vertical="center"/>
    </xf>
    <xf numFmtId="0" fontId="7" fillId="0" borderId="93" xfId="0" applyFont="1" applyBorder="1" applyAlignment="1" applyProtection="1">
      <alignment horizontal="left" vertical="center"/>
    </xf>
    <xf numFmtId="3" fontId="9" fillId="0" borderId="47" xfId="0" applyNumberFormat="1" applyFont="1" applyBorder="1" applyAlignment="1" applyProtection="1">
      <alignment horizontal="right" vertical="center"/>
    </xf>
    <xf numFmtId="3" fontId="9" fillId="0" borderId="48" xfId="0" applyNumberFormat="1" applyFont="1" applyBorder="1" applyAlignment="1" applyProtection="1">
      <alignment horizontal="right" vertical="center"/>
    </xf>
    <xf numFmtId="3" fontId="9" fillId="0" borderId="93" xfId="0" applyNumberFormat="1" applyFont="1" applyBorder="1" applyAlignment="1" applyProtection="1">
      <alignment horizontal="right" vertical="center"/>
    </xf>
    <xf numFmtId="3" fontId="26" fillId="0" borderId="47" xfId="0" applyNumberFormat="1" applyFont="1" applyBorder="1" applyAlignment="1" applyProtection="1">
      <alignment horizontal="right" vertical="center"/>
      <protection locked="0"/>
    </xf>
    <xf numFmtId="3" fontId="26" fillId="0" borderId="48" xfId="0" applyNumberFormat="1" applyFont="1" applyBorder="1" applyAlignment="1" applyProtection="1">
      <alignment horizontal="right" vertical="center"/>
      <protection locked="0"/>
    </xf>
    <xf numFmtId="3" fontId="26" fillId="0" borderId="93" xfId="0" applyNumberFormat="1" applyFont="1" applyBorder="1" applyAlignment="1" applyProtection="1">
      <alignment horizontal="right" vertical="center"/>
      <protection locked="0"/>
    </xf>
    <xf numFmtId="0" fontId="11" fillId="0" borderId="88" xfId="0" applyFont="1" applyBorder="1" applyAlignment="1" applyProtection="1">
      <alignment horizontal="center" vertical="center" wrapText="1"/>
    </xf>
    <xf numFmtId="0" fontId="11" fillId="0" borderId="103" xfId="0" applyFont="1" applyBorder="1" applyAlignment="1" applyProtection="1">
      <alignment horizontal="center" vertical="center" wrapText="1"/>
    </xf>
    <xf numFmtId="0" fontId="11" fillId="0" borderId="104" xfId="0" applyFont="1" applyBorder="1" applyAlignment="1" applyProtection="1">
      <alignment horizontal="center" vertical="center" wrapText="1"/>
    </xf>
    <xf numFmtId="3" fontId="26" fillId="0" borderId="45" xfId="0" applyNumberFormat="1" applyFont="1" applyBorder="1" applyAlignment="1" applyProtection="1">
      <alignment horizontal="right" vertical="center"/>
      <protection locked="0"/>
    </xf>
    <xf numFmtId="3" fontId="26" fillId="0" borderId="44" xfId="0" applyNumberFormat="1" applyFont="1" applyBorder="1" applyAlignment="1" applyProtection="1">
      <alignment horizontal="right" vertical="center"/>
      <protection locked="0"/>
    </xf>
    <xf numFmtId="3" fontId="26" fillId="0" borderId="46" xfId="0" applyNumberFormat="1" applyFont="1" applyBorder="1" applyAlignment="1" applyProtection="1">
      <alignment horizontal="right" vertical="center"/>
      <protection locked="0"/>
    </xf>
    <xf numFmtId="3" fontId="9" fillId="0" borderId="45" xfId="0" applyNumberFormat="1" applyFont="1" applyBorder="1" applyAlignment="1" applyProtection="1">
      <alignment horizontal="right" vertical="center"/>
    </xf>
    <xf numFmtId="3" fontId="9" fillId="0" borderId="44" xfId="0" applyNumberFormat="1" applyFont="1" applyBorder="1" applyAlignment="1" applyProtection="1">
      <alignment horizontal="right" vertical="center"/>
    </xf>
    <xf numFmtId="3" fontId="9" fillId="0" borderId="46" xfId="0" applyNumberFormat="1" applyFont="1" applyBorder="1" applyAlignment="1" applyProtection="1">
      <alignment horizontal="right" vertical="center"/>
    </xf>
    <xf numFmtId="0" fontId="7" fillId="0" borderId="43" xfId="0" applyFont="1" applyBorder="1" applyAlignment="1" applyProtection="1">
      <alignment horizontal="left" vertical="center"/>
    </xf>
    <xf numFmtId="0" fontId="7" fillId="0" borderId="44" xfId="0" applyFont="1" applyBorder="1" applyAlignment="1" applyProtection="1">
      <alignment horizontal="left" vertical="center"/>
    </xf>
    <xf numFmtId="0" fontId="16" fillId="0" borderId="8" xfId="0" applyFont="1" applyBorder="1" applyAlignment="1" applyProtection="1">
      <alignment horizontal="left" vertical="center"/>
    </xf>
    <xf numFmtId="0" fontId="16" fillId="0" borderId="0" xfId="0" applyFont="1" applyBorder="1" applyAlignment="1" applyProtection="1">
      <alignment horizontal="left" vertical="center"/>
    </xf>
    <xf numFmtId="0" fontId="16" fillId="0" borderId="29" xfId="0" applyFont="1" applyBorder="1" applyAlignment="1" applyProtection="1">
      <alignment horizontal="left" vertical="center"/>
    </xf>
    <xf numFmtId="0" fontId="7" fillId="0" borderId="27" xfId="0" applyFont="1" applyBorder="1" applyAlignment="1" applyProtection="1">
      <alignment horizontal="left" vertical="center"/>
    </xf>
    <xf numFmtId="0" fontId="7" fillId="0" borderId="0" xfId="0" applyFont="1" applyBorder="1" applyAlignment="1" applyProtection="1">
      <alignment horizontal="left" vertical="center"/>
    </xf>
    <xf numFmtId="0" fontId="11" fillId="0" borderId="8" xfId="0" applyFont="1" applyBorder="1" applyAlignment="1" applyProtection="1">
      <alignment horizontal="left" vertical="center"/>
    </xf>
    <xf numFmtId="0" fontId="11" fillId="0" borderId="0" xfId="0" applyFont="1" applyBorder="1" applyAlignment="1" applyProtection="1">
      <alignment horizontal="left" vertical="center"/>
    </xf>
    <xf numFmtId="0" fontId="11" fillId="0" borderId="29" xfId="0" applyFont="1" applyBorder="1" applyAlignment="1" applyProtection="1">
      <alignment horizontal="left" vertical="center"/>
    </xf>
    <xf numFmtId="3" fontId="26" fillId="0" borderId="41" xfId="0" applyNumberFormat="1" applyFont="1" applyBorder="1" applyAlignment="1" applyProtection="1">
      <alignment horizontal="right" vertical="center"/>
      <protection locked="0"/>
    </xf>
    <xf numFmtId="3" fontId="26" fillId="0" borderId="40" xfId="0" applyNumberFormat="1" applyFont="1" applyBorder="1" applyAlignment="1" applyProtection="1">
      <alignment horizontal="right" vertical="center"/>
      <protection locked="0"/>
    </xf>
    <xf numFmtId="3" fontId="26" fillId="0" borderId="42" xfId="0" applyNumberFormat="1" applyFont="1" applyBorder="1" applyAlignment="1" applyProtection="1">
      <alignment horizontal="right" vertical="center"/>
      <protection locked="0"/>
    </xf>
    <xf numFmtId="3" fontId="9" fillId="0" borderId="41" xfId="0" applyNumberFormat="1" applyFont="1" applyBorder="1" applyAlignment="1" applyProtection="1">
      <alignment horizontal="right" vertical="center"/>
    </xf>
    <xf numFmtId="3" fontId="9" fillId="0" borderId="40" xfId="0" applyNumberFormat="1" applyFont="1" applyBorder="1" applyAlignment="1" applyProtection="1">
      <alignment horizontal="right" vertical="center"/>
    </xf>
    <xf numFmtId="3" fontId="9" fillId="0" borderId="42" xfId="0" applyNumberFormat="1" applyFont="1" applyBorder="1" applyAlignment="1" applyProtection="1">
      <alignment horizontal="right" vertical="center"/>
    </xf>
    <xf numFmtId="0" fontId="7" fillId="0" borderId="46" xfId="0" applyFont="1" applyBorder="1" applyAlignment="1" applyProtection="1">
      <alignment horizontal="left" vertical="center"/>
    </xf>
    <xf numFmtId="3" fontId="9" fillId="0" borderId="37" xfId="0" applyNumberFormat="1" applyFont="1" applyBorder="1" applyAlignment="1" applyProtection="1">
      <alignment horizontal="right" vertical="center"/>
    </xf>
    <xf numFmtId="3" fontId="9" fillId="0" borderId="19" xfId="0" applyNumberFormat="1" applyFont="1" applyBorder="1" applyAlignment="1" applyProtection="1">
      <alignment horizontal="right" vertical="center"/>
    </xf>
    <xf numFmtId="3" fontId="9" fillId="0" borderId="16" xfId="0" applyNumberFormat="1" applyFont="1" applyBorder="1" applyAlignment="1" applyProtection="1">
      <alignment horizontal="right" vertical="center"/>
    </xf>
    <xf numFmtId="0" fontId="7" fillId="0" borderId="19" xfId="0" applyFont="1" applyBorder="1" applyAlignment="1" applyProtection="1">
      <alignment horizontal="right" vertical="center"/>
    </xf>
    <xf numFmtId="3" fontId="26" fillId="0" borderId="37" xfId="0" applyNumberFormat="1" applyFont="1" applyBorder="1" applyAlignment="1" applyProtection="1">
      <alignment horizontal="right" vertical="center"/>
    </xf>
    <xf numFmtId="3" fontId="26" fillId="0" borderId="19" xfId="0" applyNumberFormat="1" applyFont="1" applyBorder="1" applyAlignment="1" applyProtection="1">
      <alignment horizontal="right" vertical="center"/>
    </xf>
    <xf numFmtId="3" fontId="26" fillId="0" borderId="16" xfId="0" applyNumberFormat="1" applyFont="1" applyBorder="1" applyAlignment="1" applyProtection="1">
      <alignment horizontal="right" vertical="center"/>
    </xf>
    <xf numFmtId="0" fontId="11" fillId="0" borderId="37" xfId="0" applyFont="1" applyBorder="1" applyAlignment="1" applyProtection="1">
      <alignment horizontal="left" vertical="center"/>
    </xf>
    <xf numFmtId="0" fontId="11" fillId="0" borderId="19" xfId="0" applyFont="1" applyBorder="1" applyAlignment="1" applyProtection="1">
      <alignment horizontal="left" vertical="center"/>
    </xf>
    <xf numFmtId="3" fontId="26" fillId="0" borderId="67" xfId="0" applyNumberFormat="1" applyFont="1" applyBorder="1" applyAlignment="1" applyProtection="1">
      <alignment horizontal="right" vertical="center"/>
      <protection locked="0"/>
    </xf>
    <xf numFmtId="3" fontId="26" fillId="0" borderId="25" xfId="0" applyNumberFormat="1" applyFont="1" applyBorder="1" applyAlignment="1" applyProtection="1">
      <alignment horizontal="right" vertical="center"/>
      <protection locked="0"/>
    </xf>
    <xf numFmtId="3" fontId="26" fillId="0" borderId="15" xfId="0" applyNumberFormat="1" applyFont="1" applyBorder="1" applyAlignment="1" applyProtection="1">
      <alignment horizontal="right" vertical="center"/>
      <protection locked="0"/>
    </xf>
    <xf numFmtId="3" fontId="26" fillId="0" borderId="34" xfId="0" applyNumberFormat="1" applyFont="1" applyBorder="1" applyAlignment="1" applyProtection="1">
      <alignment horizontal="right" vertical="center"/>
      <protection locked="0"/>
    </xf>
    <xf numFmtId="3" fontId="26" fillId="0" borderId="35" xfId="0" applyNumberFormat="1" applyFont="1" applyBorder="1" applyAlignment="1" applyProtection="1">
      <alignment horizontal="right" vertical="center"/>
      <protection locked="0"/>
    </xf>
    <xf numFmtId="3" fontId="26" fillId="0" borderId="36" xfId="0" applyNumberFormat="1" applyFont="1" applyBorder="1" applyAlignment="1" applyProtection="1">
      <alignment horizontal="right" vertical="center"/>
      <protection locked="0"/>
    </xf>
    <xf numFmtId="3" fontId="9" fillId="0" borderId="34" xfId="0" applyNumberFormat="1" applyFont="1" applyBorder="1" applyAlignment="1" applyProtection="1">
      <alignment horizontal="right" vertical="center"/>
    </xf>
    <xf numFmtId="3" fontId="9" fillId="0" borderId="35" xfId="0" applyNumberFormat="1" applyFont="1" applyBorder="1" applyAlignment="1" applyProtection="1">
      <alignment horizontal="right" vertical="center"/>
    </xf>
    <xf numFmtId="3" fontId="9" fillId="0" borderId="36" xfId="0" applyNumberFormat="1" applyFont="1" applyBorder="1" applyAlignment="1" applyProtection="1">
      <alignment horizontal="right" vertical="center"/>
    </xf>
    <xf numFmtId="0" fontId="12" fillId="0" borderId="66" xfId="0" applyFont="1" applyBorder="1" applyAlignment="1" applyProtection="1">
      <alignment horizontal="center" vertical="center"/>
    </xf>
    <xf numFmtId="0" fontId="12" fillId="0" borderId="65" xfId="0" applyFont="1" applyBorder="1" applyAlignment="1" applyProtection="1">
      <alignment horizontal="center" vertical="center"/>
    </xf>
    <xf numFmtId="0" fontId="12" fillId="0" borderId="17" xfId="0" applyFont="1" applyBorder="1" applyAlignment="1" applyProtection="1">
      <alignment horizontal="center" vertical="center"/>
    </xf>
    <xf numFmtId="0" fontId="33" fillId="0" borderId="0" xfId="4" applyFont="1" applyAlignment="1" applyProtection="1">
      <alignment horizontal="left" vertical="center"/>
    </xf>
    <xf numFmtId="0" fontId="11" fillId="0" borderId="25" xfId="0" applyFont="1" applyBorder="1" applyAlignment="1" applyProtection="1">
      <alignment horizontal="center" vertical="center"/>
    </xf>
    <xf numFmtId="0" fontId="11" fillId="0" borderId="25" xfId="0" applyFont="1" applyBorder="1" applyAlignment="1" applyProtection="1">
      <alignment horizontal="left" vertical="center"/>
    </xf>
    <xf numFmtId="0" fontId="35" fillId="0" borderId="0" xfId="0" applyFont="1" applyAlignment="1" applyProtection="1">
      <alignment horizontal="center" vertical="center"/>
    </xf>
    <xf numFmtId="3" fontId="9" fillId="0" borderId="97" xfId="0" applyNumberFormat="1" applyFont="1" applyBorder="1" applyAlignment="1" applyProtection="1">
      <alignment horizontal="right" vertical="center"/>
      <protection locked="0"/>
    </xf>
    <xf numFmtId="3" fontId="9" fillId="0" borderId="98" xfId="0" applyNumberFormat="1" applyFont="1" applyBorder="1" applyAlignment="1" applyProtection="1">
      <alignment horizontal="right" vertical="center"/>
      <protection locked="0"/>
    </xf>
    <xf numFmtId="3" fontId="9" fillId="0" borderId="99" xfId="0" applyNumberFormat="1" applyFont="1" applyBorder="1" applyAlignment="1" applyProtection="1">
      <alignment horizontal="right" vertical="center"/>
      <protection locked="0"/>
    </xf>
    <xf numFmtId="0" fontId="34" fillId="0" borderId="13" xfId="0" applyFont="1" applyBorder="1" applyAlignment="1" applyProtection="1">
      <alignment horizontal="left" vertical="top"/>
    </xf>
    <xf numFmtId="0" fontId="14" fillId="0" borderId="10" xfId="0" applyFont="1" applyBorder="1" applyAlignment="1" applyProtection="1">
      <alignment horizontal="left"/>
    </xf>
    <xf numFmtId="178" fontId="9" fillId="0" borderId="117" xfId="0" applyNumberFormat="1" applyFont="1" applyBorder="1" applyAlignment="1" applyProtection="1">
      <alignment horizontal="center" vertical="center"/>
      <protection locked="0"/>
    </xf>
    <xf numFmtId="178" fontId="9" fillId="0" borderId="118" xfId="0" applyNumberFormat="1" applyFont="1" applyBorder="1" applyAlignment="1" applyProtection="1">
      <alignment horizontal="center" vertical="center"/>
      <protection locked="0"/>
    </xf>
    <xf numFmtId="0" fontId="17" fillId="0" borderId="119" xfId="0" applyFont="1" applyBorder="1" applyAlignment="1" applyProtection="1">
      <alignment horizontal="left" vertical="center" wrapText="1"/>
      <protection locked="0"/>
    </xf>
    <xf numFmtId="0" fontId="17" fillId="0" borderId="118" xfId="0" applyFont="1" applyBorder="1" applyAlignment="1" applyProtection="1">
      <alignment horizontal="left" vertical="center" wrapText="1"/>
      <protection locked="0"/>
    </xf>
    <xf numFmtId="0" fontId="17" fillId="0" borderId="119" xfId="0" applyFont="1" applyBorder="1" applyAlignment="1" applyProtection="1">
      <alignment horizontal="center" vertical="center" wrapText="1"/>
      <protection locked="0"/>
    </xf>
    <xf numFmtId="0" fontId="17" fillId="0" borderId="118" xfId="0" applyFont="1" applyBorder="1" applyAlignment="1" applyProtection="1">
      <alignment horizontal="center" vertical="center" wrapText="1"/>
      <protection locked="0"/>
    </xf>
    <xf numFmtId="0" fontId="17" fillId="0" borderId="119" xfId="0" applyFont="1" applyBorder="1" applyAlignment="1" applyProtection="1">
      <alignment horizontal="center" vertical="center"/>
      <protection locked="0"/>
    </xf>
    <xf numFmtId="0" fontId="17" fillId="0" borderId="118" xfId="0" applyFont="1" applyBorder="1" applyAlignment="1" applyProtection="1">
      <alignment horizontal="center" vertical="center"/>
      <protection locked="0"/>
    </xf>
    <xf numFmtId="0" fontId="17" fillId="0" borderId="120" xfId="0" applyFont="1" applyBorder="1" applyAlignment="1" applyProtection="1">
      <alignment horizontal="left" vertical="center" wrapText="1"/>
      <protection locked="0"/>
    </xf>
    <xf numFmtId="178" fontId="9" fillId="0" borderId="121" xfId="0" applyNumberFormat="1" applyFont="1" applyBorder="1" applyAlignment="1" applyProtection="1">
      <alignment horizontal="center" vertical="center"/>
      <protection locked="0"/>
    </xf>
    <xf numFmtId="178" fontId="9" fillId="0" borderId="123" xfId="0" applyNumberFormat="1" applyFont="1" applyBorder="1" applyAlignment="1" applyProtection="1">
      <alignment horizontal="center" vertical="center"/>
      <protection locked="0"/>
    </xf>
    <xf numFmtId="0" fontId="7" fillId="0" borderId="0" xfId="0" applyFont="1" applyAlignment="1" applyProtection="1">
      <alignment horizontal="left" vertical="center"/>
    </xf>
    <xf numFmtId="0" fontId="7" fillId="0" borderId="30"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32"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38" xfId="0" applyFont="1" applyBorder="1" applyAlignment="1" applyProtection="1">
      <alignment horizontal="left" vertical="center" wrapText="1"/>
      <protection locked="0"/>
    </xf>
    <xf numFmtId="0" fontId="7" fillId="0" borderId="33"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12" fillId="0" borderId="66" xfId="0" applyFont="1" applyBorder="1" applyAlignment="1" applyProtection="1">
      <alignment horizontal="center" vertical="center" wrapText="1"/>
    </xf>
    <xf numFmtId="0" fontId="12" fillId="0" borderId="17" xfId="0" applyFont="1" applyBorder="1" applyAlignment="1" applyProtection="1">
      <alignment horizontal="center" vertical="center" wrapText="1"/>
    </xf>
    <xf numFmtId="0" fontId="12" fillId="0" borderId="31" xfId="0" applyFont="1" applyBorder="1" applyAlignment="1" applyProtection="1">
      <alignment horizontal="center" vertical="center" wrapText="1"/>
    </xf>
    <xf numFmtId="178" fontId="9" fillId="0" borderId="116" xfId="0" applyNumberFormat="1" applyFont="1" applyBorder="1" applyAlignment="1" applyProtection="1">
      <alignment horizontal="center" vertical="center"/>
      <protection locked="0"/>
    </xf>
    <xf numFmtId="178" fontId="9" fillId="0" borderId="122" xfId="0" applyNumberFormat="1" applyFont="1" applyBorder="1" applyAlignment="1" applyProtection="1">
      <alignment horizontal="center" vertical="center"/>
      <protection locked="0"/>
    </xf>
    <xf numFmtId="178" fontId="9" fillId="0" borderId="124" xfId="0" applyNumberFormat="1" applyFont="1" applyBorder="1" applyAlignment="1" applyProtection="1">
      <alignment horizontal="center" vertical="center"/>
      <protection locked="0"/>
    </xf>
    <xf numFmtId="178" fontId="9" fillId="0" borderId="125" xfId="0" applyNumberFormat="1" applyFont="1" applyBorder="1" applyAlignment="1" applyProtection="1">
      <alignment horizontal="center" vertical="center"/>
      <protection locked="0"/>
    </xf>
    <xf numFmtId="178" fontId="9" fillId="0" borderId="34" xfId="0" applyNumberFormat="1" applyFont="1" applyBorder="1" applyAlignment="1" applyProtection="1">
      <alignment horizontal="center" vertical="center"/>
      <protection locked="0"/>
    </xf>
    <xf numFmtId="178" fontId="9" fillId="0" borderId="114" xfId="0" applyNumberFormat="1" applyFont="1" applyBorder="1" applyAlignment="1" applyProtection="1">
      <alignment horizontal="center" vertical="center"/>
      <protection locked="0"/>
    </xf>
    <xf numFmtId="0" fontId="17" fillId="0" borderId="115" xfId="0" applyFont="1" applyBorder="1" applyAlignment="1" applyProtection="1">
      <alignment horizontal="left" vertical="center" wrapText="1"/>
      <protection locked="0"/>
    </xf>
    <xf numFmtId="0" fontId="17" fillId="0" borderId="114" xfId="0" applyFont="1" applyBorder="1" applyAlignment="1" applyProtection="1">
      <alignment horizontal="left" vertical="center" wrapText="1"/>
      <protection locked="0"/>
    </xf>
    <xf numFmtId="0" fontId="17" fillId="0" borderId="115" xfId="0" applyFont="1" applyBorder="1" applyAlignment="1" applyProtection="1">
      <alignment horizontal="center" vertical="center" wrapText="1"/>
      <protection locked="0"/>
    </xf>
    <xf numFmtId="0" fontId="17" fillId="0" borderId="114" xfId="0" applyFont="1" applyBorder="1" applyAlignment="1" applyProtection="1">
      <alignment horizontal="center" vertical="center" wrapText="1"/>
      <protection locked="0"/>
    </xf>
    <xf numFmtId="0" fontId="17" fillId="0" borderId="115" xfId="0" applyFont="1" applyBorder="1" applyAlignment="1" applyProtection="1">
      <alignment horizontal="center" vertical="center"/>
      <protection locked="0"/>
    </xf>
    <xf numFmtId="0" fontId="17" fillId="0" borderId="114" xfId="0" applyFont="1" applyBorder="1" applyAlignment="1" applyProtection="1">
      <alignment horizontal="center" vertical="center"/>
      <protection locked="0"/>
    </xf>
    <xf numFmtId="0" fontId="17" fillId="0" borderId="35" xfId="0" applyFont="1" applyBorder="1" applyAlignment="1" applyProtection="1">
      <alignment horizontal="left" vertical="center" wrapText="1"/>
      <protection locked="0"/>
    </xf>
    <xf numFmtId="178" fontId="9" fillId="0" borderId="126" xfId="0" applyNumberFormat="1" applyFont="1" applyBorder="1" applyAlignment="1" applyProtection="1">
      <alignment horizontal="center" vertical="center"/>
      <protection locked="0"/>
    </xf>
    <xf numFmtId="178" fontId="9" fillId="0" borderId="22" xfId="0" applyNumberFormat="1" applyFont="1" applyBorder="1" applyAlignment="1" applyProtection="1">
      <alignment horizontal="center" vertical="center"/>
      <protection locked="0"/>
    </xf>
    <xf numFmtId="0" fontId="17" fillId="0" borderId="28" xfId="0" applyFont="1" applyBorder="1" applyAlignment="1" applyProtection="1">
      <alignment horizontal="left" vertical="center" wrapText="1"/>
      <protection locked="0"/>
    </xf>
    <xf numFmtId="0" fontId="17" fillId="0" borderId="22" xfId="0" applyFont="1" applyBorder="1" applyAlignment="1" applyProtection="1">
      <alignment horizontal="left" vertical="center" wrapText="1"/>
      <protection locked="0"/>
    </xf>
    <xf numFmtId="0" fontId="17" fillId="0" borderId="28" xfId="0" applyFont="1" applyBorder="1" applyAlignment="1" applyProtection="1">
      <alignment horizontal="center" vertical="center" wrapText="1"/>
      <protection locked="0"/>
    </xf>
    <xf numFmtId="0" fontId="17" fillId="0" borderId="22" xfId="0" applyFont="1" applyBorder="1" applyAlignment="1" applyProtection="1">
      <alignment horizontal="center" vertical="center" wrapText="1"/>
      <protection locked="0"/>
    </xf>
    <xf numFmtId="0" fontId="17" fillId="0" borderId="28" xfId="0" applyFont="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0" fontId="17" fillId="0" borderId="23" xfId="0" applyFont="1" applyBorder="1" applyAlignment="1" applyProtection="1">
      <alignment horizontal="left" vertical="center" wrapText="1"/>
      <protection locked="0"/>
    </xf>
    <xf numFmtId="0" fontId="14" fillId="0" borderId="0" xfId="0" applyFont="1" applyBorder="1" applyAlignment="1" applyProtection="1">
      <alignment horizontal="left"/>
    </xf>
    <xf numFmtId="0" fontId="12" fillId="0" borderId="7" xfId="0" applyFont="1" applyBorder="1" applyAlignment="1" applyProtection="1">
      <alignment horizontal="center" vertical="center"/>
    </xf>
    <xf numFmtId="0" fontId="11" fillId="5" borderId="60" xfId="0" applyFont="1" applyFill="1" applyBorder="1" applyAlignment="1" applyProtection="1">
      <alignment horizontal="center" vertical="center"/>
    </xf>
    <xf numFmtId="0" fontId="11" fillId="5" borderId="51" xfId="0" applyFont="1" applyFill="1" applyBorder="1" applyAlignment="1" applyProtection="1">
      <alignment horizontal="center" vertical="center"/>
    </xf>
    <xf numFmtId="0" fontId="11" fillId="3" borderId="92" xfId="0" applyFont="1" applyFill="1" applyBorder="1" applyAlignment="1" applyProtection="1">
      <alignment horizontal="right" vertical="center"/>
    </xf>
    <xf numFmtId="49" fontId="11" fillId="3" borderId="90" xfId="0" applyNumberFormat="1" applyFont="1" applyFill="1" applyBorder="1" applyAlignment="1" applyProtection="1">
      <alignment horizontal="right" vertical="center"/>
    </xf>
    <xf numFmtId="0" fontId="32" fillId="3" borderId="113" xfId="0" applyFont="1" applyFill="1" applyBorder="1" applyAlignment="1" applyProtection="1">
      <alignment horizontal="right" vertical="center"/>
    </xf>
    <xf numFmtId="0" fontId="32" fillId="3" borderId="112" xfId="0" applyFont="1" applyFill="1" applyBorder="1" applyAlignment="1" applyProtection="1">
      <alignment horizontal="right" vertical="center"/>
    </xf>
    <xf numFmtId="0" fontId="40" fillId="5" borderId="2" xfId="0" applyFont="1" applyFill="1" applyBorder="1" applyAlignment="1" applyProtection="1">
      <alignment horizontal="center" vertical="center"/>
    </xf>
    <xf numFmtId="0" fontId="40" fillId="0" borderId="2" xfId="0" applyFont="1" applyBorder="1" applyAlignment="1" applyProtection="1">
      <alignment horizontal="center" vertical="center"/>
    </xf>
    <xf numFmtId="0" fontId="40" fillId="0" borderId="3" xfId="0" applyFont="1" applyBorder="1" applyAlignment="1" applyProtection="1">
      <alignment horizontal="center" vertical="center"/>
    </xf>
    <xf numFmtId="0" fontId="25" fillId="0" borderId="21" xfId="0" applyFont="1" applyBorder="1" applyAlignment="1" applyProtection="1">
      <alignment horizontal="center" vertical="center"/>
    </xf>
    <xf numFmtId="0" fontId="25" fillId="0" borderId="28" xfId="0" applyFont="1" applyBorder="1" applyAlignment="1" applyProtection="1">
      <alignment horizontal="center" vertical="center"/>
      <protection locked="0"/>
    </xf>
    <xf numFmtId="0" fontId="25" fillId="0" borderId="23" xfId="0" applyFont="1" applyBorder="1" applyAlignment="1" applyProtection="1">
      <alignment horizontal="center" vertical="center"/>
      <protection locked="0"/>
    </xf>
    <xf numFmtId="0" fontId="25" fillId="0" borderId="22" xfId="0" applyFont="1" applyBorder="1" applyAlignment="1" applyProtection="1">
      <alignment horizontal="center" vertical="center"/>
      <protection locked="0"/>
    </xf>
    <xf numFmtId="0" fontId="25" fillId="0" borderId="24" xfId="0" applyFont="1" applyBorder="1" applyAlignment="1" applyProtection="1">
      <alignment horizontal="center" vertical="center"/>
      <protection locked="0"/>
    </xf>
    <xf numFmtId="0" fontId="25" fillId="0" borderId="25" xfId="0" applyFont="1" applyBorder="1" applyAlignment="1" applyProtection="1">
      <alignment horizontal="center" vertical="center"/>
      <protection locked="0"/>
    </xf>
    <xf numFmtId="0" fontId="25" fillId="0" borderId="26"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5" fillId="0" borderId="28" xfId="0" applyFont="1" applyBorder="1" applyAlignment="1" applyProtection="1">
      <alignment horizontal="center" vertical="center"/>
    </xf>
    <xf numFmtId="0" fontId="25" fillId="0" borderId="22" xfId="0" applyFont="1" applyBorder="1" applyAlignment="1" applyProtection="1">
      <alignment horizontal="center" vertical="center"/>
    </xf>
    <xf numFmtId="0" fontId="25" fillId="0" borderId="27" xfId="0" applyFont="1" applyBorder="1" applyAlignment="1" applyProtection="1">
      <alignment horizontal="center" vertical="center"/>
    </xf>
    <xf numFmtId="0" fontId="25" fillId="0" borderId="29" xfId="0" applyFont="1" applyBorder="1" applyAlignment="1" applyProtection="1">
      <alignment horizontal="center" vertical="center"/>
    </xf>
    <xf numFmtId="0" fontId="25" fillId="0" borderId="24" xfId="0" applyFont="1" applyBorder="1" applyAlignment="1" applyProtection="1">
      <alignment horizontal="center" vertical="center"/>
    </xf>
    <xf numFmtId="0" fontId="25" fillId="0" borderId="26" xfId="0" applyFont="1" applyBorder="1" applyAlignment="1" applyProtection="1">
      <alignment horizontal="center" vertical="center"/>
    </xf>
    <xf numFmtId="0" fontId="25" fillId="0" borderId="18" xfId="0" applyFont="1" applyBorder="1" applyAlignment="1" applyProtection="1">
      <alignment horizontal="center" vertical="center"/>
    </xf>
    <xf numFmtId="0" fontId="25" fillId="0" borderId="20" xfId="0" applyFont="1" applyBorder="1" applyAlignment="1" applyProtection="1">
      <alignment horizontal="center" vertical="center"/>
    </xf>
    <xf numFmtId="0" fontId="21" fillId="0" borderId="28"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7" xfId="0" applyFont="1" applyBorder="1" applyAlignment="1" applyProtection="1">
      <alignment horizontal="center" vertical="center"/>
    </xf>
    <xf numFmtId="0" fontId="21" fillId="0" borderId="29"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26" xfId="0" applyFont="1" applyBorder="1" applyAlignment="1" applyProtection="1">
      <alignment horizontal="center" vertical="center"/>
    </xf>
    <xf numFmtId="0" fontId="24" fillId="0" borderId="21" xfId="0" applyFont="1" applyBorder="1" applyAlignment="1" applyProtection="1">
      <alignment horizontal="center" vertical="center" wrapText="1"/>
    </xf>
    <xf numFmtId="0" fontId="24" fillId="0" borderId="21" xfId="0" applyFont="1" applyBorder="1" applyAlignment="1" applyProtection="1">
      <alignment horizontal="center" vertical="center"/>
    </xf>
    <xf numFmtId="3" fontId="24" fillId="0" borderId="18" xfId="0" applyNumberFormat="1" applyFont="1" applyBorder="1" applyAlignment="1" applyProtection="1">
      <alignment horizontal="right" vertical="center"/>
    </xf>
    <xf numFmtId="0" fontId="24" fillId="0" borderId="19" xfId="0" applyFont="1" applyBorder="1" applyAlignment="1" applyProtection="1">
      <alignment horizontal="right" vertical="center"/>
    </xf>
    <xf numFmtId="0" fontId="22" fillId="0" borderId="21" xfId="0" applyFont="1" applyBorder="1" applyAlignment="1" applyProtection="1">
      <alignment horizontal="center" vertical="center" wrapText="1"/>
    </xf>
    <xf numFmtId="0" fontId="21" fillId="0" borderId="0" xfId="0" applyFont="1" applyAlignment="1" applyProtection="1">
      <alignment horizontal="left" vertical="center"/>
    </xf>
    <xf numFmtId="0" fontId="21" fillId="0" borderId="25" xfId="0" applyFont="1" applyBorder="1" applyAlignment="1" applyProtection="1">
      <alignment horizontal="left" vertical="center"/>
    </xf>
    <xf numFmtId="0" fontId="0" fillId="0" borderId="25" xfId="0" applyBorder="1" applyAlignment="1" applyProtection="1">
      <alignment horizontal="left" vertical="center"/>
    </xf>
    <xf numFmtId="38" fontId="21" fillId="0" borderId="0" xfId="1" applyFont="1" applyAlignment="1" applyProtection="1">
      <alignment horizontal="center" vertical="center"/>
    </xf>
    <xf numFmtId="0" fontId="72" fillId="0" borderId="0" xfId="0" applyFont="1" applyAlignment="1" applyProtection="1">
      <alignment horizontal="center" vertical="center"/>
    </xf>
    <xf numFmtId="0" fontId="25" fillId="0" borderId="0" xfId="0" applyFont="1" applyAlignment="1" applyProtection="1">
      <alignment horizontal="center" vertical="center" wrapText="1"/>
    </xf>
    <xf numFmtId="0" fontId="21" fillId="0" borderId="0" xfId="0" applyFont="1" applyAlignment="1" applyProtection="1">
      <alignment horizontal="distributed" vertical="center"/>
    </xf>
    <xf numFmtId="0" fontId="21" fillId="0" borderId="0" xfId="0" applyFont="1" applyFill="1" applyAlignment="1" applyProtection="1">
      <alignment horizontal="left" vertical="center" wrapText="1" indent="2"/>
    </xf>
    <xf numFmtId="0" fontId="21" fillId="0" borderId="0" xfId="0" applyFont="1" applyFill="1" applyAlignment="1" applyProtection="1">
      <alignment horizontal="left" vertical="center" indent="2"/>
    </xf>
    <xf numFmtId="0" fontId="21" fillId="0" borderId="18" xfId="0" applyFont="1" applyBorder="1" applyAlignment="1" applyProtection="1">
      <alignment horizontal="left" vertical="center"/>
    </xf>
    <xf numFmtId="0" fontId="21" fillId="0" borderId="19" xfId="0" applyFont="1" applyBorder="1" applyAlignment="1" applyProtection="1">
      <alignment horizontal="left" vertical="center"/>
    </xf>
    <xf numFmtId="0" fontId="21" fillId="0" borderId="18" xfId="0" applyFont="1" applyBorder="1" applyAlignment="1" applyProtection="1">
      <alignment horizontal="center" vertical="center"/>
    </xf>
    <xf numFmtId="0" fontId="21" fillId="0" borderId="19" xfId="0" applyFont="1" applyBorder="1" applyAlignment="1" applyProtection="1">
      <alignment horizontal="center" vertical="center"/>
    </xf>
    <xf numFmtId="0" fontId="21" fillId="0" borderId="20" xfId="0" applyFont="1" applyBorder="1" applyAlignment="1" applyProtection="1">
      <alignment horizontal="center" vertical="center"/>
    </xf>
    <xf numFmtId="0" fontId="21" fillId="0" borderId="0" xfId="0" applyFont="1" applyAlignment="1" applyProtection="1">
      <alignment horizontal="right" vertical="center"/>
      <protection locked="0"/>
    </xf>
    <xf numFmtId="0" fontId="21" fillId="0" borderId="0" xfId="0" applyFont="1" applyAlignment="1" applyProtection="1">
      <alignment horizontal="center" vertical="center"/>
    </xf>
    <xf numFmtId="0" fontId="23" fillId="0" borderId="0" xfId="0" applyFont="1" applyAlignment="1" applyProtection="1">
      <alignment horizontal="right" vertical="center"/>
    </xf>
    <xf numFmtId="0" fontId="21" fillId="0" borderId="0" xfId="0" applyFont="1" applyFill="1" applyAlignment="1" applyProtection="1">
      <alignment horizontal="left" vertical="center" wrapText="1"/>
    </xf>
    <xf numFmtId="49" fontId="21" fillId="0" borderId="21" xfId="0" applyNumberFormat="1" applyFont="1" applyBorder="1" applyAlignment="1" applyProtection="1">
      <alignment horizontal="center" vertical="center"/>
      <protection locked="0"/>
    </xf>
    <xf numFmtId="0" fontId="24" fillId="0" borderId="28" xfId="0" applyFont="1" applyBorder="1" applyAlignment="1" applyProtection="1">
      <alignment horizontal="center" vertical="center"/>
    </xf>
    <xf numFmtId="0" fontId="24" fillId="0" borderId="23" xfId="0" applyFont="1" applyBorder="1" applyAlignment="1" applyProtection="1">
      <alignment horizontal="center" vertical="center"/>
    </xf>
    <xf numFmtId="0" fontId="24" fillId="0" borderId="22" xfId="0" applyFont="1" applyBorder="1" applyAlignment="1" applyProtection="1">
      <alignment horizontal="center" vertical="center"/>
    </xf>
    <xf numFmtId="0" fontId="24" fillId="0" borderId="24" xfId="0" applyFont="1" applyBorder="1" applyAlignment="1" applyProtection="1">
      <alignment horizontal="center" vertical="center"/>
    </xf>
    <xf numFmtId="0" fontId="24" fillId="0" borderId="25" xfId="0" applyFont="1" applyBorder="1" applyAlignment="1" applyProtection="1">
      <alignment horizontal="center" vertical="center"/>
    </xf>
    <xf numFmtId="0" fontId="24" fillId="0" borderId="26" xfId="0" applyFont="1" applyBorder="1" applyAlignment="1" applyProtection="1">
      <alignment horizontal="center" vertical="center"/>
    </xf>
    <xf numFmtId="0" fontId="21" fillId="0" borderId="21" xfId="0" applyFont="1" applyBorder="1" applyAlignment="1" applyProtection="1">
      <alignment horizontal="center" vertical="center"/>
      <protection locked="0"/>
    </xf>
    <xf numFmtId="0" fontId="21" fillId="0" borderId="0" xfId="0" applyFont="1" applyFill="1" applyAlignment="1" applyProtection="1">
      <alignment horizontal="left" vertical="center"/>
    </xf>
    <xf numFmtId="0" fontId="0" fillId="5" borderId="0" xfId="0" applyFill="1" applyAlignment="1" applyProtection="1">
      <alignment horizontal="center" vertical="center"/>
    </xf>
  </cellXfs>
  <cellStyles count="6">
    <cellStyle name="パーセント" xfId="5" builtinId="5"/>
    <cellStyle name="ハイパーリンク" xfId="4" builtinId="8"/>
    <cellStyle name="桁区切り" xfId="1" builtinId="6"/>
    <cellStyle name="桁区切り 2" xfId="3" xr:uid="{00000000-0005-0000-0000-000003000000}"/>
    <cellStyle name="標準" xfId="0" builtinId="0"/>
    <cellStyle name="標準 2" xfId="2" xr:uid="{00000000-0005-0000-0000-000005000000}"/>
  </cellStyles>
  <dxfs count="224">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5" tint="0.79998168889431442"/>
        </patternFill>
      </fill>
    </dxf>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7" tint="0.79998168889431442"/>
        </patternFill>
      </fill>
    </dxf>
    <dxf>
      <fill>
        <patternFill>
          <bgColor rgb="FFFFCCCC"/>
        </patternFill>
      </fill>
    </dxf>
    <dxf>
      <font>
        <color auto="1"/>
      </font>
      <fill>
        <patternFill>
          <fgColor rgb="FFFF0000"/>
        </patternFill>
      </fill>
    </dxf>
    <dxf>
      <fill>
        <patternFill patternType="solid">
          <fgColor auto="1"/>
          <bgColor rgb="FFFF0000"/>
        </patternFill>
      </fill>
    </dxf>
    <dxf>
      <font>
        <b/>
        <i val="0"/>
        <u val="double"/>
        <color rgb="FFFF0000"/>
      </font>
    </dxf>
    <dxf>
      <font>
        <b/>
        <i val="0"/>
        <u val="double"/>
        <color rgb="FFFF0000"/>
      </font>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0000"/>
        </patternFill>
      </fill>
    </dxf>
    <dxf>
      <font>
        <b/>
        <i val="0"/>
        <u val="double"/>
        <color rgb="FFFF0000"/>
      </font>
    </dxf>
    <dxf>
      <fill>
        <patternFill>
          <bgColor rgb="FFFF0000"/>
        </patternFill>
      </fill>
    </dxf>
    <dxf>
      <fill>
        <patternFill>
          <bgColor rgb="FFFFFF00"/>
        </patternFill>
      </fill>
    </dxf>
    <dxf>
      <fill>
        <patternFill>
          <bgColor rgb="FFFFCCCC"/>
        </patternFill>
      </fill>
    </dxf>
    <dxf>
      <fill>
        <patternFill>
          <bgColor rgb="FFFFCCCC"/>
        </patternFill>
      </fill>
    </dxf>
    <dxf>
      <fill>
        <patternFill>
          <bgColor rgb="FFFF0000"/>
        </patternFill>
      </fill>
    </dxf>
    <dxf>
      <fill>
        <patternFill>
          <bgColor rgb="FFFFFF00"/>
        </patternFill>
      </fill>
    </dxf>
    <dxf>
      <fill>
        <patternFill>
          <bgColor rgb="FFFFFF00"/>
        </patternFill>
      </fill>
    </dxf>
    <dxf>
      <fill>
        <patternFill>
          <bgColor rgb="FFFFCCCC"/>
        </patternFill>
      </fill>
    </dxf>
    <dxf>
      <fill>
        <patternFill>
          <bgColor rgb="FFFFCCCC"/>
        </patternFill>
      </fill>
    </dxf>
    <dxf>
      <fill>
        <patternFill>
          <bgColor rgb="FFFFCCCC"/>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CCC"/>
        </patternFill>
      </fill>
    </dxf>
    <dxf>
      <fill>
        <patternFill patternType="none">
          <bgColor auto="1"/>
        </patternFill>
      </fill>
    </dxf>
    <dxf>
      <fill>
        <patternFill>
          <bgColor theme="0" tint="-0.24994659260841701"/>
        </patternFill>
      </fill>
    </dxf>
    <dxf>
      <fill>
        <patternFill>
          <bgColor theme="0"/>
        </patternFill>
      </fill>
    </dxf>
    <dxf>
      <fill>
        <patternFill>
          <bgColor rgb="FFFFCCCC"/>
        </patternFill>
      </fill>
    </dxf>
    <dxf>
      <fill>
        <patternFill>
          <bgColor rgb="FFFFC7CE"/>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0"/>
        </patternFill>
      </fill>
    </dxf>
    <dxf>
      <fill>
        <patternFill>
          <bgColor rgb="FFFFCCCC"/>
        </patternFill>
      </fill>
    </dxf>
    <dxf>
      <fill>
        <patternFill>
          <bgColor rgb="FFFFFF00"/>
        </patternFill>
      </fill>
    </dxf>
    <dxf>
      <fill>
        <patternFill>
          <bgColor rgb="FFFFFF00"/>
        </patternFill>
      </fill>
    </dxf>
    <dxf>
      <fill>
        <patternFill>
          <bgColor theme="0" tint="-0.24994659260841701"/>
        </patternFill>
      </fill>
    </dxf>
    <dxf>
      <fill>
        <patternFill>
          <bgColor rgb="FFFFCCCC"/>
        </patternFill>
      </fill>
    </dxf>
    <dxf>
      <fill>
        <patternFill patternType="solid">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CCCC"/>
      <color rgb="FFFFCCFF"/>
      <color rgb="FFBFBFBF"/>
      <color rgb="FFBFBFFF"/>
      <color rgb="FFBFFFFF"/>
      <color rgb="FFFF99CC"/>
      <color rgb="FFCCECFF"/>
      <color rgb="FFFF99FF"/>
      <color rgb="FF99FF9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hyperlink" Target="#&#12513;&#12491;&#12517;&#12540;&#30011;&#38754;!B7"/></Relationships>
</file>

<file path=xl/drawings/_rels/drawing7.xml.rels><?xml version="1.0" encoding="UTF-8" standalone="yes"?>
<Relationships xmlns="http://schemas.openxmlformats.org/package/2006/relationships"><Relationship Id="rId1" Type="http://schemas.openxmlformats.org/officeDocument/2006/relationships/hyperlink" Target="#&#12513;&#12491;&#12517;&#12540;&#30011;&#38754;!B7"/></Relationships>
</file>

<file path=xl/drawings/drawing1.xml><?xml version="1.0" encoding="utf-8"?>
<xdr:wsDr xmlns:xdr="http://schemas.openxmlformats.org/drawingml/2006/spreadsheetDrawing" xmlns:a="http://schemas.openxmlformats.org/drawingml/2006/main">
  <xdr:twoCellAnchor editAs="oneCell">
    <xdr:from>
      <xdr:col>6</xdr:col>
      <xdr:colOff>392906</xdr:colOff>
      <xdr:row>4</xdr:row>
      <xdr:rowOff>128587</xdr:rowOff>
    </xdr:from>
    <xdr:to>
      <xdr:col>8</xdr:col>
      <xdr:colOff>564796</xdr:colOff>
      <xdr:row>4</xdr:row>
      <xdr:rowOff>376237</xdr:rowOff>
    </xdr:to>
    <xdr:pic>
      <xdr:nvPicPr>
        <xdr:cNvPr id="9" name="図 8">
          <a:extLst>
            <a:ext uri="{FF2B5EF4-FFF2-40B4-BE49-F238E27FC236}">
              <a16:creationId xmlns:a16="http://schemas.microsoft.com/office/drawing/2014/main" id="{E3B29C85-A326-40C7-9DD2-330BB321D611}"/>
            </a:ext>
          </a:extLst>
        </xdr:cNvPr>
        <xdr:cNvPicPr>
          <a:picLocks noChangeAspect="1"/>
        </xdr:cNvPicPr>
      </xdr:nvPicPr>
      <xdr:blipFill rotWithShape="1">
        <a:blip xmlns:r="http://schemas.openxmlformats.org/officeDocument/2006/relationships" r:embed="rId1"/>
        <a:srcRect l="23795" t="39198" r="56584" b="55202"/>
        <a:stretch/>
      </xdr:blipFill>
      <xdr:spPr>
        <a:xfrm>
          <a:off x="7346156" y="2450306"/>
          <a:ext cx="1553014" cy="247650"/>
        </a:xfrm>
        <a:prstGeom prst="rect">
          <a:avLst/>
        </a:prstGeom>
      </xdr:spPr>
    </xdr:pic>
    <xdr:clientData/>
  </xdr:twoCellAnchor>
  <xdr:twoCellAnchor>
    <xdr:from>
      <xdr:col>3</xdr:col>
      <xdr:colOff>23813</xdr:colOff>
      <xdr:row>2</xdr:row>
      <xdr:rowOff>488156</xdr:rowOff>
    </xdr:from>
    <xdr:to>
      <xdr:col>4</xdr:col>
      <xdr:colOff>202406</xdr:colOff>
      <xdr:row>2</xdr:row>
      <xdr:rowOff>488156</xdr:rowOff>
    </xdr:to>
    <xdr:cxnSp macro="">
      <xdr:nvCxnSpPr>
        <xdr:cNvPr id="11" name="直線矢印コネクタ 10">
          <a:extLst>
            <a:ext uri="{FF2B5EF4-FFF2-40B4-BE49-F238E27FC236}">
              <a16:creationId xmlns:a16="http://schemas.microsoft.com/office/drawing/2014/main" id="{9EE6E335-E181-41DF-95E0-C1594D4A2D11}"/>
            </a:ext>
          </a:extLst>
        </xdr:cNvPr>
        <xdr:cNvCxnSpPr/>
      </xdr:nvCxnSpPr>
      <xdr:spPr>
        <a:xfrm>
          <a:off x="5810251" y="952500"/>
          <a:ext cx="416718" cy="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0</xdr:colOff>
      <xdr:row>3</xdr:row>
      <xdr:rowOff>0</xdr:rowOff>
    </xdr:from>
    <xdr:to>
      <xdr:col>4</xdr:col>
      <xdr:colOff>127001</xdr:colOff>
      <xdr:row>4</xdr:row>
      <xdr:rowOff>638176</xdr:rowOff>
    </xdr:to>
    <xdr:sp macro="" textlink="">
      <xdr:nvSpPr>
        <xdr:cNvPr id="12" name="右中かっこ 11">
          <a:extLst>
            <a:ext uri="{FF2B5EF4-FFF2-40B4-BE49-F238E27FC236}">
              <a16:creationId xmlns:a16="http://schemas.microsoft.com/office/drawing/2014/main" id="{B827CC55-9245-41A7-A440-3031AB54BFF9}"/>
            </a:ext>
          </a:extLst>
        </xdr:cNvPr>
        <xdr:cNvSpPr/>
      </xdr:nvSpPr>
      <xdr:spPr>
        <a:xfrm>
          <a:off x="5786438" y="1393031"/>
          <a:ext cx="365126" cy="1566864"/>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93928</xdr:colOff>
      <xdr:row>3</xdr:row>
      <xdr:rowOff>493447</xdr:rowOff>
    </xdr:from>
    <xdr:to>
      <xdr:col>2</xdr:col>
      <xdr:colOff>682746</xdr:colOff>
      <xdr:row>3</xdr:row>
      <xdr:rowOff>763849</xdr:rowOff>
    </xdr:to>
    <xdr:sp macro="" textlink="">
      <xdr:nvSpPr>
        <xdr:cNvPr id="5" name="正方形/長方形 4">
          <a:extLst>
            <a:ext uri="{FF2B5EF4-FFF2-40B4-BE49-F238E27FC236}">
              <a16:creationId xmlns:a16="http://schemas.microsoft.com/office/drawing/2014/main" id="{7463CE13-F2A6-4DDB-BBE6-37CECB0BBFE3}"/>
            </a:ext>
          </a:extLst>
        </xdr:cNvPr>
        <xdr:cNvSpPr/>
      </xdr:nvSpPr>
      <xdr:spPr bwMode="auto">
        <a:xfrm>
          <a:off x="2041261" y="1911614"/>
          <a:ext cx="588818" cy="270402"/>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84667</xdr:colOff>
      <xdr:row>4</xdr:row>
      <xdr:rowOff>497417</xdr:rowOff>
    </xdr:from>
    <xdr:to>
      <xdr:col>2</xdr:col>
      <xdr:colOff>673485</xdr:colOff>
      <xdr:row>4</xdr:row>
      <xdr:rowOff>767819</xdr:rowOff>
    </xdr:to>
    <xdr:sp macro="" textlink="">
      <xdr:nvSpPr>
        <xdr:cNvPr id="6" name="正方形/長方形 5">
          <a:extLst>
            <a:ext uri="{FF2B5EF4-FFF2-40B4-BE49-F238E27FC236}">
              <a16:creationId xmlns:a16="http://schemas.microsoft.com/office/drawing/2014/main" id="{F3C57B19-1ADE-40C1-8827-02A5E4C5CA9D}"/>
            </a:ext>
          </a:extLst>
        </xdr:cNvPr>
        <xdr:cNvSpPr/>
      </xdr:nvSpPr>
      <xdr:spPr bwMode="auto">
        <a:xfrm>
          <a:off x="2032000" y="2857500"/>
          <a:ext cx="588818" cy="270402"/>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3549952</xdr:colOff>
      <xdr:row>5</xdr:row>
      <xdr:rowOff>415773</xdr:rowOff>
    </xdr:from>
    <xdr:to>
      <xdr:col>2</xdr:col>
      <xdr:colOff>4138770</xdr:colOff>
      <xdr:row>5</xdr:row>
      <xdr:rowOff>686175</xdr:rowOff>
    </xdr:to>
    <xdr:sp macro="" textlink="">
      <xdr:nvSpPr>
        <xdr:cNvPr id="7" name="正方形/長方形 6">
          <a:extLst>
            <a:ext uri="{FF2B5EF4-FFF2-40B4-BE49-F238E27FC236}">
              <a16:creationId xmlns:a16="http://schemas.microsoft.com/office/drawing/2014/main" id="{F2CC9D09-0E69-4074-8A61-5AA92D825C36}"/>
            </a:ext>
          </a:extLst>
        </xdr:cNvPr>
        <xdr:cNvSpPr/>
      </xdr:nvSpPr>
      <xdr:spPr bwMode="auto">
        <a:xfrm>
          <a:off x="5497285" y="3717773"/>
          <a:ext cx="588818" cy="270402"/>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105833</xdr:colOff>
      <xdr:row>7</xdr:row>
      <xdr:rowOff>571500</xdr:rowOff>
    </xdr:from>
    <xdr:to>
      <xdr:col>2</xdr:col>
      <xdr:colOff>685127</xdr:colOff>
      <xdr:row>7</xdr:row>
      <xdr:rowOff>828675</xdr:rowOff>
    </xdr:to>
    <xdr:sp macro="" textlink="">
      <xdr:nvSpPr>
        <xdr:cNvPr id="8" name="正方形/長方形 7">
          <a:extLst>
            <a:ext uri="{FF2B5EF4-FFF2-40B4-BE49-F238E27FC236}">
              <a16:creationId xmlns:a16="http://schemas.microsoft.com/office/drawing/2014/main" id="{9142C0BC-4D61-48EB-9A4D-8B337CB19F6D}"/>
            </a:ext>
          </a:extLst>
        </xdr:cNvPr>
        <xdr:cNvSpPr/>
      </xdr:nvSpPr>
      <xdr:spPr bwMode="auto">
        <a:xfrm>
          <a:off x="2053166" y="4815417"/>
          <a:ext cx="579294" cy="257175"/>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418419</xdr:colOff>
      <xdr:row>4</xdr:row>
      <xdr:rowOff>71437</xdr:rowOff>
    </xdr:from>
    <xdr:to>
      <xdr:col>7</xdr:col>
      <xdr:colOff>4762</xdr:colOff>
      <xdr:row>6</xdr:row>
      <xdr:rowOff>90487</xdr:rowOff>
    </xdr:to>
    <xdr:sp macro="" textlink="">
      <xdr:nvSpPr>
        <xdr:cNvPr id="7" name="四角形: 角を丸くする 6">
          <a:extLst>
            <a:ext uri="{FF2B5EF4-FFF2-40B4-BE49-F238E27FC236}">
              <a16:creationId xmlns:a16="http://schemas.microsoft.com/office/drawing/2014/main" id="{ED146344-DD81-498A-9258-3F398F607C6B}"/>
            </a:ext>
          </a:extLst>
        </xdr:cNvPr>
        <xdr:cNvSpPr/>
      </xdr:nvSpPr>
      <xdr:spPr>
        <a:xfrm>
          <a:off x="5657169" y="1336901"/>
          <a:ext cx="2008414" cy="590550"/>
        </a:xfrm>
        <a:prstGeom prst="roundRect">
          <a:avLst/>
        </a:prstGeom>
        <a:ln w="38100">
          <a:solidFill>
            <a:srgbClr val="FFC00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4</xdr:col>
      <xdr:colOff>411276</xdr:colOff>
      <xdr:row>4</xdr:row>
      <xdr:rowOff>86405</xdr:rowOff>
    </xdr:from>
    <xdr:ext cx="2076450" cy="564514"/>
    <xdr:sp macro="" textlink="">
      <xdr:nvSpPr>
        <xdr:cNvPr id="6" name="テキスト ボックス 5">
          <a:extLst>
            <a:ext uri="{FF2B5EF4-FFF2-40B4-BE49-F238E27FC236}">
              <a16:creationId xmlns:a16="http://schemas.microsoft.com/office/drawing/2014/main" id="{3DBFFAAF-D53F-4392-B34F-274418E3F53D}"/>
            </a:ext>
          </a:extLst>
        </xdr:cNvPr>
        <xdr:cNvSpPr txBox="1"/>
      </xdr:nvSpPr>
      <xdr:spPr>
        <a:xfrm>
          <a:off x="5650026" y="1351869"/>
          <a:ext cx="2076450"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該当する「助成区分」を、</a:t>
          </a:r>
          <a:endParaRPr kumimoji="1" lang="en-US" altLang="ja-JP" sz="1100" b="1"/>
        </a:p>
        <a:p>
          <a:r>
            <a:rPr kumimoji="1" lang="ja-JP" altLang="en-US" sz="1100" b="1"/>
            <a:t>プルダウンでご選択ください。</a:t>
          </a:r>
          <a:endParaRPr kumimoji="1" lang="en-US" altLang="ja-JP" sz="1100" b="1"/>
        </a:p>
      </xdr:txBody>
    </xdr:sp>
    <xdr:clientData/>
  </xdr:oneCellAnchor>
  <xdr:twoCellAnchor>
    <xdr:from>
      <xdr:col>4</xdr:col>
      <xdr:colOff>328083</xdr:colOff>
      <xdr:row>13</xdr:row>
      <xdr:rowOff>201082</xdr:rowOff>
    </xdr:from>
    <xdr:to>
      <xdr:col>6</xdr:col>
      <xdr:colOff>571499</xdr:colOff>
      <xdr:row>16</xdr:row>
      <xdr:rowOff>95250</xdr:rowOff>
    </xdr:to>
    <xdr:sp macro="" textlink="">
      <xdr:nvSpPr>
        <xdr:cNvPr id="5" name="四角形: 角を丸くする 4">
          <a:extLst>
            <a:ext uri="{FF2B5EF4-FFF2-40B4-BE49-F238E27FC236}">
              <a16:creationId xmlns:a16="http://schemas.microsoft.com/office/drawing/2014/main" id="{4E5D2BAD-B75A-48D9-8079-38A9D5ADDA9B}"/>
            </a:ext>
          </a:extLst>
        </xdr:cNvPr>
        <xdr:cNvSpPr/>
      </xdr:nvSpPr>
      <xdr:spPr>
        <a:xfrm>
          <a:off x="5566833" y="4269618"/>
          <a:ext cx="1985130" cy="628953"/>
        </a:xfrm>
        <a:prstGeom prst="roundRect">
          <a:avLst/>
        </a:prstGeom>
        <a:solidFill>
          <a:sysClr val="window" lastClr="FFFFFF"/>
        </a:solidFill>
        <a:ln w="38100" cap="flat" cmpd="sng" algn="ctr">
          <a:solidFill>
            <a:srgbClr val="FFC000"/>
          </a:solidFill>
          <a:prstDash val="solid"/>
          <a:miter lim="800000"/>
        </a:ln>
        <a:effectLst/>
      </xdr:spPr>
      <xdr:txBody>
        <a:bodyPr vertOverflow="clip" horzOverflow="clip" rtlCol="0" anchor="t"/>
        <a:lstStyle/>
        <a:p>
          <a:r>
            <a:rPr kumimoji="1" lang="ja-JP" altLang="ja-JP" sz="1100" b="1">
              <a:effectLst/>
              <a:latin typeface="+mn-lt"/>
              <a:ea typeface="+mn-ea"/>
              <a:cs typeface="+mn-cs"/>
            </a:rPr>
            <a:t>要望書にご記載の柱を</a:t>
          </a:r>
          <a:endParaRPr lang="ja-JP" altLang="ja-JP">
            <a:effectLst/>
          </a:endParaRPr>
        </a:p>
        <a:p>
          <a:r>
            <a:rPr kumimoji="1" lang="ja-JP" altLang="ja-JP" sz="1100" b="1">
              <a:effectLst/>
              <a:latin typeface="+mn-lt"/>
              <a:ea typeface="+mn-ea"/>
              <a:cs typeface="+mn-cs"/>
            </a:rPr>
            <a:t>ご記入ください。</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2793999</xdr:colOff>
      <xdr:row>14</xdr:row>
      <xdr:rowOff>201084</xdr:rowOff>
    </xdr:from>
    <xdr:to>
      <xdr:col>4</xdr:col>
      <xdr:colOff>332316</xdr:colOff>
      <xdr:row>14</xdr:row>
      <xdr:rowOff>201085</xdr:rowOff>
    </xdr:to>
    <xdr:cxnSp macro="">
      <xdr:nvCxnSpPr>
        <xdr:cNvPr id="8" name="直線矢印コネクタ 7">
          <a:extLst>
            <a:ext uri="{FF2B5EF4-FFF2-40B4-BE49-F238E27FC236}">
              <a16:creationId xmlns:a16="http://schemas.microsoft.com/office/drawing/2014/main" id="{812CE1E3-E720-4A74-B97B-BE0E5A1D72B0}"/>
            </a:ext>
          </a:extLst>
        </xdr:cNvPr>
        <xdr:cNvCxnSpPr/>
      </xdr:nvCxnSpPr>
      <xdr:spPr>
        <a:xfrm flipH="1">
          <a:off x="5228166" y="4497917"/>
          <a:ext cx="342900" cy="1"/>
        </a:xfrm>
        <a:prstGeom prst="straightConnector1">
          <a:avLst/>
        </a:prstGeom>
        <a:noFill/>
        <a:ln w="57150" cap="flat" cmpd="sng" algn="ctr">
          <a:solidFill>
            <a:srgbClr val="FFC000"/>
          </a:solidFill>
          <a:prstDash val="solid"/>
          <a:miter lim="800000"/>
          <a:tailEnd type="triangle"/>
        </a:ln>
        <a:effectLst/>
      </xdr:spPr>
    </xdr:cxnSp>
    <xdr:clientData/>
  </xdr:twoCellAnchor>
  <xdr:twoCellAnchor>
    <xdr:from>
      <xdr:col>4</xdr:col>
      <xdr:colOff>421821</xdr:colOff>
      <xdr:row>1</xdr:row>
      <xdr:rowOff>299357</xdr:rowOff>
    </xdr:from>
    <xdr:to>
      <xdr:col>6</xdr:col>
      <xdr:colOff>643542</xdr:colOff>
      <xdr:row>3</xdr:row>
      <xdr:rowOff>278832</xdr:rowOff>
    </xdr:to>
    <xdr:sp macro="" textlink="">
      <xdr:nvSpPr>
        <xdr:cNvPr id="9" name="四角形: 角を丸くする 8">
          <a:extLst>
            <a:ext uri="{FF2B5EF4-FFF2-40B4-BE49-F238E27FC236}">
              <a16:creationId xmlns:a16="http://schemas.microsoft.com/office/drawing/2014/main" id="{62E31795-32DF-400A-94BF-925434526604}"/>
            </a:ext>
          </a:extLst>
        </xdr:cNvPr>
        <xdr:cNvSpPr/>
      </xdr:nvSpPr>
      <xdr:spPr>
        <a:xfrm>
          <a:off x="5660571" y="625928"/>
          <a:ext cx="1963435" cy="632618"/>
        </a:xfrm>
        <a:prstGeom prst="roundRect">
          <a:avLst/>
        </a:prstGeom>
        <a:solidFill>
          <a:sysClr val="window" lastClr="FFFFFF"/>
        </a:solidFill>
        <a:ln w="38100" cap="flat" cmpd="sng" algn="ctr">
          <a:solidFill>
            <a:srgbClr val="FFC000"/>
          </a:solidFill>
          <a:prstDash val="solid"/>
          <a:miter lim="800000"/>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変更がない場合は</a:t>
          </a:r>
          <a:r>
            <a:rPr kumimoji="1" lang="ja-JP" altLang="en-US" sz="1100" b="1" i="1"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決定通知</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の情報をご入力ください。</a:t>
          </a:r>
          <a:endParaRPr kumimoji="0" lang="ja-JP" altLang="ja-JP" sz="18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2775857</xdr:colOff>
      <xdr:row>4</xdr:row>
      <xdr:rowOff>272143</xdr:rowOff>
    </xdr:from>
    <xdr:to>
      <xdr:col>4</xdr:col>
      <xdr:colOff>408216</xdr:colOff>
      <xdr:row>5</xdr:row>
      <xdr:rowOff>95250</xdr:rowOff>
    </xdr:to>
    <xdr:cxnSp macro="">
      <xdr:nvCxnSpPr>
        <xdr:cNvPr id="11" name="直線矢印コネクタ 10">
          <a:extLst>
            <a:ext uri="{FF2B5EF4-FFF2-40B4-BE49-F238E27FC236}">
              <a16:creationId xmlns:a16="http://schemas.microsoft.com/office/drawing/2014/main" id="{417135D6-6E96-4A23-9C0B-7B36B12D4D58}"/>
            </a:ext>
          </a:extLst>
        </xdr:cNvPr>
        <xdr:cNvCxnSpPr/>
      </xdr:nvCxnSpPr>
      <xdr:spPr>
        <a:xfrm flipH="1" flipV="1">
          <a:off x="5211536" y="1537607"/>
          <a:ext cx="435430" cy="108857"/>
        </a:xfrm>
        <a:prstGeom prst="straightConnector1">
          <a:avLst/>
        </a:prstGeom>
        <a:noFill/>
        <a:ln w="57150" cap="flat" cmpd="sng" algn="ctr">
          <a:solidFill>
            <a:srgbClr val="FFC000"/>
          </a:solidFill>
          <a:prstDash val="solid"/>
          <a:miter lim="800000"/>
          <a:tailEnd type="triangle"/>
        </a:ln>
        <a:effectLst/>
      </xdr:spPr>
    </xdr:cxnSp>
    <xdr:clientData/>
  </xdr:twoCellAnchor>
  <xdr:twoCellAnchor>
    <xdr:from>
      <xdr:col>3</xdr:col>
      <xdr:colOff>2762249</xdr:colOff>
      <xdr:row>2</xdr:row>
      <xdr:rowOff>289094</xdr:rowOff>
    </xdr:from>
    <xdr:to>
      <xdr:col>4</xdr:col>
      <xdr:colOff>421821</xdr:colOff>
      <xdr:row>3</xdr:row>
      <xdr:rowOff>136072</xdr:rowOff>
    </xdr:to>
    <xdr:cxnSp macro="">
      <xdr:nvCxnSpPr>
        <xdr:cNvPr id="14" name="直線矢印コネクタ 13">
          <a:extLst>
            <a:ext uri="{FF2B5EF4-FFF2-40B4-BE49-F238E27FC236}">
              <a16:creationId xmlns:a16="http://schemas.microsoft.com/office/drawing/2014/main" id="{369F3C2E-9F5A-4AA5-BD96-717EAFCC6057}"/>
            </a:ext>
          </a:extLst>
        </xdr:cNvPr>
        <xdr:cNvCxnSpPr>
          <a:stCxn id="9" idx="1"/>
        </xdr:cNvCxnSpPr>
      </xdr:nvCxnSpPr>
      <xdr:spPr>
        <a:xfrm flipH="1">
          <a:off x="5197928" y="942237"/>
          <a:ext cx="462643" cy="173549"/>
        </a:xfrm>
        <a:prstGeom prst="straightConnector1">
          <a:avLst/>
        </a:prstGeom>
        <a:noFill/>
        <a:ln w="57150" cap="flat" cmpd="sng" algn="ctr">
          <a:solidFill>
            <a:srgbClr val="FFC000"/>
          </a:solidFill>
          <a:prstDash val="solid"/>
          <a:miter lim="800000"/>
          <a:tailEnd type="triangle"/>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228023</xdr:colOff>
      <xdr:row>0</xdr:row>
      <xdr:rowOff>196272</xdr:rowOff>
    </xdr:from>
    <xdr:to>
      <xdr:col>34</xdr:col>
      <xdr:colOff>469034</xdr:colOff>
      <xdr:row>13</xdr:row>
      <xdr:rowOff>90053</xdr:rowOff>
    </xdr:to>
    <xdr:sp macro="" textlink="">
      <xdr:nvSpPr>
        <xdr:cNvPr id="5" name="テキスト ボックス 4">
          <a:extLst>
            <a:ext uri="{FF2B5EF4-FFF2-40B4-BE49-F238E27FC236}">
              <a16:creationId xmlns:a16="http://schemas.microsoft.com/office/drawing/2014/main" id="{3E6DF85A-AB3C-4654-8FC9-56C5F17A995C}"/>
            </a:ext>
          </a:extLst>
        </xdr:cNvPr>
        <xdr:cNvSpPr txBox="1"/>
      </xdr:nvSpPr>
      <xdr:spPr>
        <a:xfrm>
          <a:off x="23119773" y="196272"/>
          <a:ext cx="10718511" cy="497378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1" baseline="0">
              <a:latin typeface="ＭＳ Ｐゴシック" panose="020B0600070205080204" pitchFamily="50" charset="-128"/>
              <a:ea typeface="ＭＳ Ｐゴシック" panose="020B0600070205080204" pitchFamily="50" charset="-128"/>
            </a:rPr>
            <a:t>【</a:t>
          </a:r>
          <a:r>
            <a:rPr kumimoji="1" lang="ja-JP" altLang="en-US" sz="1800" b="1" baseline="0">
              <a:latin typeface="ＭＳ Ｐゴシック" panose="020B0600070205080204" pitchFamily="50" charset="-128"/>
              <a:ea typeface="ＭＳ Ｐゴシック" panose="020B0600070205080204" pitchFamily="50" charset="-128"/>
            </a:rPr>
            <a:t>重要</a:t>
          </a:r>
          <a:r>
            <a:rPr kumimoji="1" lang="en-US" altLang="ja-JP" sz="1800" b="1" baseline="0">
              <a:latin typeface="ＭＳ Ｐゴシック" panose="020B0600070205080204" pitchFamily="50" charset="-128"/>
              <a:ea typeface="ＭＳ Ｐゴシック" panose="020B0600070205080204" pitchFamily="50" charset="-128"/>
            </a:rPr>
            <a:t>】</a:t>
          </a:r>
          <a:r>
            <a:rPr kumimoji="1" lang="ja-JP" altLang="en-US" sz="1800" b="1" baseline="0">
              <a:latin typeface="ＭＳ Ｐゴシック" panose="020B0600070205080204" pitchFamily="50" charset="-128"/>
              <a:ea typeface="ＭＳ Ｐゴシック" panose="020B0600070205080204" pitchFamily="50" charset="-128"/>
            </a:rPr>
            <a:t>入力時の注意点</a:t>
          </a:r>
          <a:r>
            <a:rPr kumimoji="1" lang="ja-JP" altLang="en-US" sz="1600" b="1" baseline="0">
              <a:latin typeface="ＭＳ Ｐゴシック" panose="020B0600070205080204" pitchFamily="50" charset="-128"/>
              <a:ea typeface="ＭＳ Ｐゴシック" panose="020B0600070205080204" pitchFamily="50" charset="-128"/>
            </a:rPr>
            <a:t>　　　　　　　　　　　　　　　　　　　　　　　　　　　　　　　 　</a:t>
          </a:r>
          <a:r>
            <a:rPr kumimoji="1" lang="ja-JP" altLang="en-US" sz="1400" b="1" baseline="0">
              <a:latin typeface="ＭＳ Ｐゴシック" panose="020B0600070205080204" pitchFamily="50" charset="-128"/>
              <a:ea typeface="ＭＳ Ｐゴシック" panose="020B0600070205080204" pitchFamily="50" charset="-128"/>
            </a:rPr>
            <a:t>　　　　　　　　　　　　　　　　　　　　　　　　　　　　　　　　　　　　　　　　　</a:t>
          </a:r>
          <a:r>
            <a:rPr kumimoji="1" lang="ja-JP" altLang="en-US" sz="1400" b="0" baseline="0">
              <a:solidFill>
                <a:schemeClr val="dk1"/>
              </a:solidFill>
              <a:effectLst/>
              <a:latin typeface="ＭＳ Ｐゴシック" panose="020B0600070205080204" pitchFamily="50" charset="-128"/>
              <a:ea typeface="ＭＳ Ｐゴシック" panose="020B0600070205080204" pitchFamily="50" charset="-128"/>
              <a:cs typeface="+mn-cs"/>
            </a:rPr>
            <a:t>　</a:t>
          </a:r>
          <a:endParaRPr kumimoji="1" lang="en-US" altLang="ja-JP" sz="1400" b="0" baseline="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①</a:t>
          </a:r>
          <a:r>
            <a:rPr kumimoji="1" lang="en-US"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ピンク色</a:t>
          </a: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のセルが入力</a:t>
          </a:r>
          <a:r>
            <a:rPr kumimoji="1" lang="en-US"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a:t>
          </a: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プルダウン選択をする箇所</a:t>
          </a:r>
          <a:r>
            <a:rPr kumimoji="1" lang="ja-JP"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です。</a:t>
          </a: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②必ずしも支出の年月日順に並んでいる必要はありません。</a:t>
          </a: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　入力漏れが判明した場合は、判明時点での最終行にご入力ください。　　　 　　</a:t>
          </a:r>
          <a:endParaRPr kumimoji="1" lang="en-US" altLang="ja-JP" sz="1600" b="0" baseline="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③</a:t>
          </a: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「行」の挿入及び削除はできません。</a:t>
          </a: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0" baseline="0">
            <a:solidFill>
              <a:schemeClr val="tx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　既に入力した文字や数値を削除する場合は、その行のセルの入力内容を全てクリアしてください。 　　　　 </a:t>
          </a:r>
          <a:endParaRPr kumimoji="1" lang="en-US" altLang="ja-JP" sz="1600" b="0" baseline="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④支出年月日は、赤色は「エラー」で</a:t>
          </a: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助成</a:t>
          </a: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対象外となり、黄色は「注意」となります。</a:t>
          </a:r>
          <a:r>
            <a:rPr kumimoji="1" lang="ja-JP" altLang="en-US" sz="1400" b="1"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a:t>
          </a:r>
          <a:endParaRPr kumimoji="1" lang="en-US" altLang="ja-JP" sz="1400" b="1"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「黄色」は、</a:t>
          </a: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助成</a:t>
          </a: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期間内の前払・</a:t>
          </a: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後</a:t>
          </a:r>
          <a:r>
            <a:rPr kumimoji="1" lang="ja-JP"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払金であれば「対象経費」となる場合があります。</a:t>
          </a: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（事務の手引き７ページ参照）</a:t>
          </a: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⑤立替払いの場合は、立替者ではなく実際の支払い相手（役務者や購入先）をご入力ください。</a:t>
          </a: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⑥複数の柱立てにかかる費用の場合、その中で</a:t>
          </a:r>
          <a:r>
            <a:rPr kumimoji="0" lang="ja-JP" altLang="en-US" sz="1600" b="0" i="0" u="sng"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最も費用の割合が高い柱立て番号</a:t>
          </a:r>
          <a:r>
            <a:rPr kumimoji="0"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を入力してください。</a:t>
          </a:r>
          <a:endParaRPr kumimoji="0"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eaLnBrk="1" fontAlgn="auto" latinLnBrk="0" hangingPunct="1"/>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⑦</a:t>
          </a: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未入力</a:t>
          </a:r>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チェック欄では必要項目が入力されているかをご確認いただけます。「ピンク色のセルを全て入</a:t>
          </a:r>
          <a:endParaRPr lang="ja-JP" altLang="ja-JP" sz="16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　力してください」と出てきた場合は、今一度入力漏れがないかご確認ください。旅費を計上する場合は、</a:t>
          </a:r>
          <a:endParaRPr lang="ja-JP" altLang="ja-JP" sz="1600">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　旅行区間および宿泊地の入力を確認する注意喚起のメッセージが表示されます。</a:t>
          </a:r>
          <a:endParaRPr lang="ja-JP" altLang="ja-JP" sz="1600">
            <a:effectLst/>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⑧謝金の対象経費欄が黄色の場合は、「注意」表示です。謝金は一日一人あたり</a:t>
          </a:r>
          <a:r>
            <a:rPr kumimoji="0"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15,700</a:t>
          </a:r>
          <a:r>
            <a:rPr kumimoji="0"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円が上限となっております（外部の人</a:t>
          </a:r>
          <a:r>
            <a:rPr kumimoji="0"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+3</a:t>
          </a:r>
          <a:r>
            <a:rPr kumimoji="0"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時間以上の従事の場合は</a:t>
          </a:r>
          <a:r>
            <a:rPr kumimoji="0"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47,100</a:t>
          </a:r>
          <a:r>
            <a:rPr kumimoji="0" lang="ja-JP" altLang="en-US"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円）。そのため、数日分をまとめて計上される場合には摘要欄に支払いの内容とともに「〇日分」との記載をお願いいたします。</a:t>
          </a:r>
          <a:endParaRPr kumimoji="0"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a:t>
          </a:r>
          <a:endParaRPr lang="ja-JP" altLang="ja-JP" sz="1600">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81644</xdr:colOff>
      <xdr:row>4</xdr:row>
      <xdr:rowOff>99322</xdr:rowOff>
    </xdr:from>
    <xdr:to>
      <xdr:col>16</xdr:col>
      <xdr:colOff>326571</xdr:colOff>
      <xdr:row>4</xdr:row>
      <xdr:rowOff>1074965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865430" y="1242322"/>
          <a:ext cx="5687784" cy="97564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1" baseline="0">
              <a:solidFill>
                <a:schemeClr val="dk1"/>
              </a:solidFill>
              <a:latin typeface="ＭＳ Ｐゴシック" panose="020B0600070205080204" pitchFamily="50" charset="-128"/>
              <a:ea typeface="ＭＳ Ｐゴシック" panose="020B0600070205080204" pitchFamily="50" charset="-128"/>
              <a:cs typeface="+mn-cs"/>
            </a:rPr>
            <a:t>【</a:t>
          </a:r>
          <a:r>
            <a:rPr kumimoji="1" lang="ja-JP" altLang="ja-JP" sz="1800" b="1" baseline="0">
              <a:solidFill>
                <a:schemeClr val="dk1"/>
              </a:solidFill>
              <a:latin typeface="ＭＳ Ｐゴシック" panose="020B0600070205080204" pitchFamily="50" charset="-128"/>
              <a:ea typeface="ＭＳ Ｐゴシック" panose="020B0600070205080204" pitchFamily="50" charset="-128"/>
              <a:cs typeface="+mn-cs"/>
            </a:rPr>
            <a:t>重要</a:t>
          </a:r>
          <a:r>
            <a:rPr kumimoji="1" lang="en-US" altLang="ja-JP" sz="1800" b="1" baseline="0">
              <a:solidFill>
                <a:schemeClr val="dk1"/>
              </a:solidFill>
              <a:latin typeface="ＭＳ Ｐゴシック" panose="020B0600070205080204" pitchFamily="50" charset="-128"/>
              <a:ea typeface="ＭＳ Ｐゴシック" panose="020B0600070205080204" pitchFamily="50" charset="-128"/>
              <a:cs typeface="+mn-cs"/>
            </a:rPr>
            <a:t>】</a:t>
          </a:r>
          <a:r>
            <a:rPr kumimoji="1" lang="ja-JP" altLang="ja-JP" sz="1800" b="1" baseline="0">
              <a:solidFill>
                <a:schemeClr val="dk1"/>
              </a:solidFill>
              <a:latin typeface="ＭＳ Ｐゴシック" panose="020B0600070205080204" pitchFamily="50" charset="-128"/>
              <a:ea typeface="ＭＳ Ｐゴシック" panose="020B0600070205080204" pitchFamily="50" charset="-128"/>
              <a:cs typeface="+mn-cs"/>
            </a:rPr>
            <a:t>入力時の注意点</a:t>
          </a:r>
          <a:endParaRPr kumimoji="1" lang="en-US" altLang="ja-JP" sz="1800" b="1" baseline="0">
            <a:solidFill>
              <a:schemeClr val="dk1"/>
            </a:solid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latin typeface="ＭＳ Ｐゴシック" panose="020B0600070205080204" pitchFamily="50" charset="-128"/>
              <a:ea typeface="ＭＳ Ｐゴシック" panose="020B0600070205080204" pitchFamily="50" charset="-128"/>
            </a:rPr>
            <a:t>① ピンク色のセルが入力</a:t>
          </a:r>
          <a:r>
            <a:rPr kumimoji="1" lang="en-US" altLang="ja-JP" sz="1600" b="0">
              <a:latin typeface="ＭＳ Ｐゴシック" panose="020B0600070205080204" pitchFamily="50" charset="-128"/>
              <a:ea typeface="ＭＳ Ｐゴシック" panose="020B0600070205080204" pitchFamily="50" charset="-128"/>
            </a:rPr>
            <a:t>/</a:t>
          </a:r>
          <a:r>
            <a:rPr kumimoji="1" lang="ja-JP" altLang="en-US" sz="1600" b="0">
              <a:latin typeface="ＭＳ Ｐゴシック" panose="020B0600070205080204" pitchFamily="50" charset="-128"/>
              <a:ea typeface="ＭＳ Ｐゴシック" panose="020B0600070205080204" pitchFamily="50" charset="-128"/>
            </a:rPr>
            <a:t>プルダウン選択をする箇所です。</a:t>
          </a:r>
          <a:endParaRPr kumimoji="1" lang="en-US" altLang="ja-JP" sz="1600" b="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solidFill>
                <a:schemeClr val="dk1"/>
              </a:solidFill>
              <a:effectLst/>
              <a:latin typeface="ＭＳ Ｐゴシック" panose="020B0600070205080204" pitchFamily="50" charset="-128"/>
              <a:ea typeface="ＭＳ Ｐゴシック" panose="020B0600070205080204" pitchFamily="50" charset="-128"/>
              <a:cs typeface="+mn-cs"/>
            </a:rPr>
            <a:t>②</a:t>
          </a:r>
          <a:r>
            <a:rPr kumimoji="1" lang="en-US" altLang="ja-JP" sz="1600" b="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en-US" altLang="ja-JP" sz="1600" b="0">
              <a:solidFill>
                <a:schemeClr val="dk1"/>
              </a:solidFill>
              <a:latin typeface="ＭＳ Ｐゴシック" panose="020B0600070205080204" pitchFamily="50" charset="-128"/>
              <a:ea typeface="ＭＳ Ｐゴシック" panose="020B0600070205080204" pitchFamily="50" charset="-128"/>
              <a:cs typeface="+mn-cs"/>
            </a:rPr>
            <a:t>WAM</a:t>
          </a:r>
          <a:r>
            <a:rPr kumimoji="1" lang="ja-JP" altLang="en-US" sz="1600" b="0">
              <a:solidFill>
                <a:schemeClr val="dk1"/>
              </a:solidFill>
              <a:latin typeface="ＭＳ Ｐゴシック" panose="020B0600070205080204" pitchFamily="50" charset="-128"/>
              <a:ea typeface="ＭＳ Ｐゴシック" panose="020B0600070205080204" pitchFamily="50" charset="-128"/>
              <a:cs typeface="+mn-cs"/>
            </a:rPr>
            <a:t>から</a:t>
          </a:r>
          <a:r>
            <a:rPr kumimoji="1" lang="ja-JP" altLang="en-US" sz="1600" b="0">
              <a:latin typeface="ＭＳ Ｐゴシック" panose="020B0600070205080204" pitchFamily="50" charset="-128"/>
              <a:ea typeface="ＭＳ Ｐゴシック" panose="020B0600070205080204" pitchFamily="50" charset="-128"/>
            </a:rPr>
            <a:t>の助成金額は入力しないでください。</a:t>
          </a:r>
          <a:endParaRPr kumimoji="1" lang="en-US" altLang="ja-JP" sz="1400" b="0">
            <a:solidFill>
              <a:schemeClr val="dk1"/>
            </a:solidFill>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12700</xdr:colOff>
      <xdr:row>0</xdr:row>
      <xdr:rowOff>190500</xdr:rowOff>
    </xdr:from>
    <xdr:to>
      <xdr:col>24</xdr:col>
      <xdr:colOff>6794500</xdr:colOff>
      <xdr:row>10</xdr:row>
      <xdr:rowOff>26458</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9474200" y="190500"/>
          <a:ext cx="9321800" cy="256645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a:t>
          </a:r>
          <a:r>
            <a:rPr kumimoji="1" lang="ja-JP" altLang="en-US" sz="1600" b="1" i="0" u="none"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重要</a:t>
          </a:r>
          <a:r>
            <a:rPr kumimoji="1" lang="en-US" altLang="ja-JP" sz="1600" b="1" i="0" u="none"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a:t>
          </a:r>
          <a:r>
            <a:rPr kumimoji="1" lang="ja-JP" altLang="en-US" sz="1600" b="1" i="0" u="none" strike="noStrike" kern="0" cap="none" spc="0" normalizeH="0" baseline="0" noProof="0">
              <a:ln>
                <a:noFill/>
              </a:ln>
              <a:solidFill>
                <a:prstClr val="black"/>
              </a:solidFill>
              <a:effectLst/>
              <a:uLnTx/>
              <a:uFillTx/>
              <a:latin typeface="+mn-lt"/>
              <a:ea typeface="ＭＳ Ｐゴシック" panose="020B0600070205080204" pitchFamily="50" charset="-128"/>
              <a:cs typeface="+mn-cs"/>
            </a:rPr>
            <a:t>入力時の注意点</a:t>
          </a:r>
          <a:endParaRPr kumimoji="1" lang="en-US" altLang="ja-JP" sz="1600" b="1" i="0" u="none" strike="noStrike" kern="0" cap="none" spc="0" normalizeH="0" baseline="0" noProof="0">
            <a:ln>
              <a:noFill/>
            </a:ln>
            <a:solidFill>
              <a:prstClr val="black"/>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・「要望時」のピンク色の箇所は、</a:t>
          </a:r>
          <a:r>
            <a:rPr kumimoji="1" lang="ja-JP" altLang="en-US" sz="1400" b="1" i="0" u="none"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応募時の「助成金額調書」にご記載の金額</a:t>
          </a: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をご入力ください。</a:t>
          </a: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もし、「助成金申請書兼請求書」のご提出時に</a:t>
          </a:r>
          <a:r>
            <a:rPr kumimoji="1" lang="ja-JP" altLang="en-US" sz="1400" b="1" i="0" u="dbl" strike="noStrike" kern="0" cap="none" spc="0" normalizeH="0" baseline="0" noProof="0">
              <a:ln>
                <a:noFill/>
              </a:ln>
              <a:solidFill>
                <a:srgbClr val="FF0000"/>
              </a:solidFill>
              <a:effectLst/>
              <a:uLnTx/>
              <a:uFillTx/>
              <a:latin typeface="+mn-lt"/>
              <a:ea typeface="ＭＳ Ｐゴシック" panose="020B0600070205080204" pitchFamily="50" charset="-128"/>
              <a:cs typeface="+mn-cs"/>
            </a:rPr>
            <a:t>予算変更をした場合は、変更後の金額</a:t>
          </a: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をご入力ください。</a:t>
          </a: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決定通知が届き、事業実施期間中に予算変更が生じた場合であっても、その金額は入力しないでください。</a:t>
          </a: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（ご不明な場合は、機構担当者までお問合せください。）</a:t>
          </a: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・事業完了時に「③助成金額の決定」の箇所で返還金が発生した場合は、「④返還金について（該当団体のみ）」の欄を必ずご入力ください。</a:t>
          </a: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rPr>
            <a:t>（入力がない場合は、機構担当者より別途お伺いすることがあります。）</a:t>
          </a:r>
          <a:endParaRPr kumimoji="1" lang="en-US" altLang="ja-JP" sz="1400" b="0" i="0" u="none" strike="noStrike" kern="0" cap="none" spc="0" normalizeH="0" baseline="0" noProof="0">
            <a:ln>
              <a:noFill/>
            </a:ln>
            <a:solidFill>
              <a:sysClr val="windowText" lastClr="000000"/>
            </a:solidFill>
            <a:effectLst/>
            <a:uLnTx/>
            <a:uFillTx/>
            <a:latin typeface="+mn-lt"/>
            <a:ea typeface="ＭＳ Ｐゴシック" panose="020B0600070205080204" pitchFamily="50" charset="-128"/>
            <a:cs typeface="+mn-cs"/>
          </a:endParaRPr>
        </a:p>
        <a:p>
          <a:endParaRPr kumimoji="1" lang="en-US" altLang="ja-JP" sz="1600" b="0">
            <a:solidFill>
              <a:sysClr val="windowText" lastClr="000000"/>
            </a:solidFill>
            <a:latin typeface="+mn-lt"/>
            <a:ea typeface="ＭＳ Ｐゴシック" panose="020B0600070205080204"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205740</xdr:colOff>
      <xdr:row>0</xdr:row>
      <xdr:rowOff>271779</xdr:rowOff>
    </xdr:from>
    <xdr:to>
      <xdr:col>27</xdr:col>
      <xdr:colOff>47625</xdr:colOff>
      <xdr:row>6</xdr:row>
      <xdr:rowOff>71437</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E43B0BE0-C1D1-4A1D-80DF-CCE8890DE3D7}"/>
            </a:ext>
          </a:extLst>
        </xdr:cNvPr>
        <xdr:cNvSpPr txBox="1"/>
      </xdr:nvSpPr>
      <xdr:spPr>
        <a:xfrm>
          <a:off x="8273415" y="271779"/>
          <a:ext cx="3499485" cy="117125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重要</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入力時の注意点</a:t>
          </a:r>
          <a:endParaRPr kumimoji="1" lang="en-US" altLang="ja-JP" sz="1600" b="1">
            <a:latin typeface="ＭＳ Ｐゴシック" panose="020B0600070205080204" pitchFamily="50" charset="-128"/>
            <a:ea typeface="ＭＳ Ｐゴシック" panose="020B0600070205080204" pitchFamily="50" charset="-128"/>
          </a:endParaRPr>
        </a:p>
        <a:p>
          <a:r>
            <a:rPr kumimoji="1" lang="ja-JP" altLang="en-US" sz="1400" b="0">
              <a:latin typeface="ＭＳ Ｐゴシック" panose="020B0600070205080204" pitchFamily="50" charset="-128"/>
              <a:ea typeface="ＭＳ Ｐゴシック" panose="020B0600070205080204" pitchFamily="50" charset="-128"/>
            </a:rPr>
            <a:t>　ピンク色の箇所に入力してください。</a:t>
          </a:r>
          <a:endParaRPr kumimoji="0" lang="en-US" altLang="ja-JP" sz="1100" b="1" i="0" u="sng" strike="noStrike">
            <a:solidFill>
              <a:schemeClr val="dk1"/>
            </a:solidFill>
            <a:effectLst/>
            <a:latin typeface="+mn-lt"/>
            <a:ea typeface="+mn-ea"/>
            <a:cs typeface="+mn-cs"/>
          </a:endParaRPr>
        </a:p>
        <a:p>
          <a:endParaRPr kumimoji="0" lang="en-US" altLang="ja-JP" sz="1100" b="1" i="0" u="none" strike="noStrike">
            <a:solidFill>
              <a:schemeClr val="dk1"/>
            </a:solidFill>
            <a:effectLst/>
            <a:latin typeface="+mn-lt"/>
            <a:ea typeface="+mn-ea"/>
            <a:cs typeface="+mn-cs"/>
          </a:endParaRPr>
        </a:p>
        <a:p>
          <a:r>
            <a:rPr kumimoji="0" lang="ja-JP" altLang="en-US" sz="1100" b="1" i="0" u="none" strike="noStrike">
              <a:solidFill>
                <a:schemeClr val="dk1"/>
              </a:solidFill>
              <a:effectLst/>
              <a:latin typeface="+mn-lt"/>
              <a:ea typeface="+mn-ea"/>
              <a:cs typeface="+mn-cs"/>
            </a:rPr>
            <a:t>　</a:t>
          </a:r>
          <a:r>
            <a:rPr kumimoji="0" lang="ja-JP" altLang="en-US" sz="1400" b="1" i="0" u="sng" strike="noStrike">
              <a:solidFill>
                <a:schemeClr val="accent1">
                  <a:lumMod val="75000"/>
                </a:schemeClr>
              </a:solidFill>
              <a:effectLst/>
              <a:latin typeface="ＭＳ Ｐゴシック" panose="020B0600070205080204" pitchFamily="50" charset="-128"/>
              <a:ea typeface="ＭＳ Ｐゴシック" panose="020B0600070205080204" pitchFamily="50" charset="-128"/>
              <a:cs typeface="+mn-cs"/>
            </a:rPr>
            <a:t>メニュー画面へ</a:t>
          </a:r>
          <a:endParaRPr kumimoji="1" lang="en-US" altLang="ja-JP" sz="1400" b="0" u="sng">
            <a:solidFill>
              <a:schemeClr val="accent1">
                <a:lumMod val="75000"/>
              </a:schemeClr>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205740</xdr:colOff>
      <xdr:row>0</xdr:row>
      <xdr:rowOff>271779</xdr:rowOff>
    </xdr:from>
    <xdr:to>
      <xdr:col>27</xdr:col>
      <xdr:colOff>47625</xdr:colOff>
      <xdr:row>6</xdr:row>
      <xdr:rowOff>71437</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A00-000003000000}"/>
            </a:ext>
          </a:extLst>
        </xdr:cNvPr>
        <xdr:cNvSpPr txBox="1"/>
      </xdr:nvSpPr>
      <xdr:spPr>
        <a:xfrm>
          <a:off x="8254365" y="271779"/>
          <a:ext cx="3520916" cy="116887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重要</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入力時の注意点</a:t>
          </a:r>
          <a:endParaRPr kumimoji="1" lang="en-US" altLang="ja-JP" sz="1600" b="1">
            <a:latin typeface="ＭＳ Ｐゴシック" panose="020B0600070205080204" pitchFamily="50" charset="-128"/>
            <a:ea typeface="ＭＳ Ｐゴシック" panose="020B0600070205080204" pitchFamily="50" charset="-128"/>
          </a:endParaRPr>
        </a:p>
        <a:p>
          <a:r>
            <a:rPr kumimoji="1" lang="ja-JP" altLang="en-US" sz="1400" b="0">
              <a:latin typeface="ＭＳ Ｐゴシック" panose="020B0600070205080204" pitchFamily="50" charset="-128"/>
              <a:ea typeface="ＭＳ Ｐゴシック" panose="020B0600070205080204" pitchFamily="50" charset="-128"/>
            </a:rPr>
            <a:t>　ピンク色の箇所に入力してください。</a:t>
          </a:r>
          <a:endParaRPr kumimoji="0" lang="en-US" altLang="ja-JP" sz="1100" b="1" i="0" u="sng" strike="noStrike">
            <a:solidFill>
              <a:schemeClr val="dk1"/>
            </a:solidFill>
            <a:effectLst/>
            <a:latin typeface="+mn-lt"/>
            <a:ea typeface="+mn-ea"/>
            <a:cs typeface="+mn-cs"/>
          </a:endParaRPr>
        </a:p>
        <a:p>
          <a:endParaRPr kumimoji="0" lang="en-US" altLang="ja-JP" sz="1100" b="1" i="0" u="none" strike="noStrike">
            <a:solidFill>
              <a:schemeClr val="dk1"/>
            </a:solidFill>
            <a:effectLst/>
            <a:latin typeface="+mn-lt"/>
            <a:ea typeface="+mn-ea"/>
            <a:cs typeface="+mn-cs"/>
          </a:endParaRPr>
        </a:p>
        <a:p>
          <a:r>
            <a:rPr kumimoji="0" lang="ja-JP" altLang="en-US" sz="1100" b="1" i="0" u="none" strike="noStrike">
              <a:solidFill>
                <a:schemeClr val="dk1"/>
              </a:solidFill>
              <a:effectLst/>
              <a:latin typeface="+mn-lt"/>
              <a:ea typeface="+mn-ea"/>
              <a:cs typeface="+mn-cs"/>
            </a:rPr>
            <a:t>　</a:t>
          </a:r>
          <a:r>
            <a:rPr kumimoji="0" lang="ja-JP" altLang="en-US" sz="1400" b="1" i="0" u="sng" strike="noStrike">
              <a:solidFill>
                <a:schemeClr val="accent1">
                  <a:lumMod val="75000"/>
                </a:schemeClr>
              </a:solidFill>
              <a:effectLst/>
              <a:latin typeface="ＭＳ Ｐゴシック" panose="020B0600070205080204" pitchFamily="50" charset="-128"/>
              <a:ea typeface="ＭＳ Ｐゴシック" panose="020B0600070205080204" pitchFamily="50" charset="-128"/>
              <a:cs typeface="+mn-cs"/>
            </a:rPr>
            <a:t>メニュー画面へ</a:t>
          </a:r>
          <a:endParaRPr kumimoji="1" lang="en-US" altLang="ja-JP" sz="1400" b="0" u="sng">
            <a:solidFill>
              <a:schemeClr val="accent1">
                <a:lumMod val="75000"/>
              </a:schemeClr>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9"/>
  <sheetViews>
    <sheetView showGridLines="0" tabSelected="1" view="pageBreakPreview" zoomScale="90" zoomScaleNormal="100" zoomScaleSheetLayoutView="90" workbookViewId="0">
      <selection activeCell="B1" sqref="B1"/>
    </sheetView>
  </sheetViews>
  <sheetFormatPr defaultRowHeight="18.75"/>
  <cols>
    <col min="1" max="1" width="2.625" style="9" customWidth="1"/>
    <col min="2" max="2" width="22.875" style="9" customWidth="1"/>
    <col min="3" max="3" width="67.625" style="9" customWidth="1"/>
    <col min="4" max="5" width="3.125" customWidth="1"/>
  </cols>
  <sheetData>
    <row r="1" spans="1:13">
      <c r="B1" s="40" t="s">
        <v>62</v>
      </c>
      <c r="D1" s="245"/>
      <c r="E1" s="245"/>
      <c r="F1" s="245"/>
      <c r="G1" s="245"/>
      <c r="H1" s="245"/>
      <c r="I1" s="245"/>
      <c r="J1" s="245"/>
      <c r="K1" s="245"/>
      <c r="L1" s="245"/>
      <c r="M1" s="245"/>
    </row>
    <row r="2" spans="1:13" s="1" customFormat="1" ht="18" thickBot="1">
      <c r="A2" s="14"/>
      <c r="B2" s="197" t="s">
        <v>255</v>
      </c>
      <c r="C2" s="14"/>
      <c r="D2" s="248"/>
      <c r="E2" s="246"/>
      <c r="F2" s="246"/>
      <c r="G2" s="246"/>
      <c r="H2" s="246"/>
      <c r="I2" s="246"/>
      <c r="J2" s="246"/>
      <c r="K2" s="246"/>
      <c r="L2" s="246"/>
      <c r="M2" s="246"/>
    </row>
    <row r="3" spans="1:13" ht="74.25" customHeight="1">
      <c r="B3" s="314" t="s">
        <v>250</v>
      </c>
      <c r="C3" s="210" t="s">
        <v>276</v>
      </c>
      <c r="D3" s="248"/>
      <c r="E3" s="246"/>
      <c r="F3" s="322" t="s">
        <v>273</v>
      </c>
      <c r="G3" s="322"/>
      <c r="H3" s="322"/>
      <c r="I3" s="322"/>
      <c r="J3" s="322"/>
      <c r="K3" s="322"/>
      <c r="L3" s="322"/>
      <c r="M3" s="322"/>
    </row>
    <row r="4" spans="1:13" ht="74.25" customHeight="1">
      <c r="B4" s="315" t="s">
        <v>63</v>
      </c>
      <c r="C4" s="211" t="s">
        <v>281</v>
      </c>
      <c r="D4" s="248"/>
      <c r="E4" s="246"/>
      <c r="F4" s="320" t="s">
        <v>274</v>
      </c>
      <c r="G4" s="320"/>
      <c r="H4" s="320"/>
      <c r="I4" s="320"/>
      <c r="J4" s="320"/>
      <c r="K4" s="320"/>
      <c r="L4" s="320"/>
      <c r="M4" s="320"/>
    </row>
    <row r="5" spans="1:13" ht="74.25" customHeight="1" thickBot="1">
      <c r="B5" s="316" t="s">
        <v>97</v>
      </c>
      <c r="C5" s="212" t="s">
        <v>282</v>
      </c>
      <c r="D5" s="248"/>
      <c r="E5" s="246"/>
      <c r="F5" s="320"/>
      <c r="G5" s="320"/>
      <c r="H5" s="320"/>
      <c r="I5" s="320"/>
      <c r="J5" s="320"/>
      <c r="K5" s="320"/>
      <c r="L5" s="320"/>
      <c r="M5" s="320"/>
    </row>
    <row r="6" spans="1:13" ht="74.25" customHeight="1" thickTop="1">
      <c r="B6" s="317" t="s">
        <v>64</v>
      </c>
      <c r="C6" s="213" t="s">
        <v>283</v>
      </c>
      <c r="D6" s="248"/>
      <c r="E6" s="246"/>
      <c r="F6" s="246"/>
      <c r="G6" s="320"/>
      <c r="H6" s="321"/>
      <c r="I6" s="321"/>
      <c r="J6" s="321"/>
      <c r="K6" s="321"/>
      <c r="L6" s="321"/>
      <c r="M6" s="245"/>
    </row>
    <row r="7" spans="1:13" ht="40.35" hidden="1" customHeight="1">
      <c r="B7" s="318" t="s">
        <v>95</v>
      </c>
      <c r="C7" s="147" t="s">
        <v>188</v>
      </c>
      <c r="D7" s="248"/>
      <c r="E7" s="246"/>
      <c r="F7" s="246"/>
      <c r="G7" s="245"/>
      <c r="H7" s="246"/>
      <c r="I7" s="245"/>
      <c r="J7" s="245"/>
      <c r="K7" s="245"/>
      <c r="L7" s="245"/>
      <c r="M7" s="245"/>
    </row>
    <row r="8" spans="1:13" ht="74.25" customHeight="1" thickBot="1">
      <c r="B8" s="319" t="s">
        <v>96</v>
      </c>
      <c r="C8" s="214" t="s">
        <v>293</v>
      </c>
      <c r="D8" s="248"/>
      <c r="E8" s="246"/>
      <c r="F8" s="246"/>
      <c r="G8" s="253"/>
      <c r="H8" s="246"/>
      <c r="I8" s="245"/>
      <c r="J8" s="245"/>
      <c r="K8" s="245"/>
      <c r="L8" s="245"/>
      <c r="M8" s="245"/>
    </row>
    <row r="9" spans="1:13" ht="19.5" thickTop="1">
      <c r="B9" s="4"/>
      <c r="D9" s="245"/>
      <c r="E9" s="245"/>
      <c r="F9" s="245"/>
      <c r="G9" s="245"/>
      <c r="H9" s="245"/>
      <c r="I9" s="245"/>
      <c r="J9" s="245"/>
      <c r="K9" s="245"/>
      <c r="L9" s="245"/>
      <c r="M9" s="245"/>
    </row>
  </sheetData>
  <sheetProtection algorithmName="SHA-512" hashValue="sMcxwiHniOtY983bm56p2NL/uXWTb6CkAa88tgpaY+sXOMQrywoFUX81XDESzkhzQtqxhpO7JrPdH1hnuAtAJw==" saltValue="ATPi5HpEKJCfLccE751CYQ==" spinCount="100000" sheet="1" autoFilter="0"/>
  <mergeCells count="3">
    <mergeCell ref="G6:L6"/>
    <mergeCell ref="F4:M5"/>
    <mergeCell ref="F3:M3"/>
  </mergeCells>
  <phoneticPr fontId="4"/>
  <hyperlinks>
    <hyperlink ref="B7" location="総事業費の支出額内訳!B4" display="支出額内訳" xr:uid="{00000000-0004-0000-0000-000003000000}"/>
    <hyperlink ref="B4" location="支出入力表!B5" display="支出入力表" xr:uid="{00000000-0004-0000-0000-000004000000}"/>
    <hyperlink ref="B8" location="'事業完了報告書 '!Print_Area" display="事業完了報告書" xr:uid="{00000000-0004-0000-0000-000005000000}"/>
    <hyperlink ref="B6" location="精算額計算書!J8" display="精算額計算書" xr:uid="{00000000-0004-0000-0000-000006000000}"/>
    <hyperlink ref="B5" location="収入入力表!B5" display="収入入力表" xr:uid="{00000000-0004-0000-0000-000009000000}"/>
    <hyperlink ref="B3" location="団体基本情報入力!A1" display="団体基本情報入力" xr:uid="{F031CC3F-95C5-40B5-951E-17E74AA5354C}"/>
  </hyperlinks>
  <pageMargins left="0.7" right="0.7" top="0.75" bottom="0.75" header="0.3" footer="0.3"/>
  <pageSetup paperSize="9"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pageSetUpPr fitToPage="1"/>
  </sheetPr>
  <dimension ref="B1:N24"/>
  <sheetViews>
    <sheetView showGridLines="0" view="pageBreakPreview" zoomScale="80" zoomScaleNormal="100" zoomScaleSheetLayoutView="80" workbookViewId="0">
      <selection activeCell="D4" sqref="D4"/>
    </sheetView>
  </sheetViews>
  <sheetFormatPr defaultRowHeight="18.75"/>
  <cols>
    <col min="1" max="1" width="2.125" customWidth="1"/>
    <col min="2" max="2" width="6.125" style="9" customWidth="1"/>
    <col min="3" max="3" width="23.75" style="9" bestFit="1" customWidth="1"/>
    <col min="4" max="4" width="36.75" style="9" customWidth="1"/>
    <col min="5" max="5" width="5.625" style="56" customWidth="1"/>
    <col min="6" max="6" width="17.125" style="9" customWidth="1"/>
  </cols>
  <sheetData>
    <row r="1" spans="2:13" ht="26.1" customHeight="1">
      <c r="B1" s="324" t="s">
        <v>100</v>
      </c>
      <c r="C1" s="324"/>
      <c r="D1" s="324"/>
      <c r="E1" s="62"/>
      <c r="F1" s="14"/>
    </row>
    <row r="2" spans="2:13" ht="26.1" customHeight="1" thickBot="1">
      <c r="B2" s="323" t="s">
        <v>101</v>
      </c>
      <c r="C2" s="323"/>
      <c r="D2" s="14"/>
      <c r="E2" s="63"/>
      <c r="F2" s="14"/>
    </row>
    <row r="3" spans="2:13" ht="26.1" customHeight="1" thickBot="1">
      <c r="B3" s="331" t="s">
        <v>159</v>
      </c>
      <c r="C3" s="332"/>
      <c r="D3" s="152">
        <v>7</v>
      </c>
      <c r="E3" s="64" t="s">
        <v>162</v>
      </c>
      <c r="F3" s="41"/>
    </row>
    <row r="4" spans="2:13" ht="23.1" customHeight="1" thickBot="1">
      <c r="B4" s="335" t="s">
        <v>160</v>
      </c>
      <c r="C4" s="336"/>
      <c r="D4" s="209"/>
      <c r="E4" s="41"/>
    </row>
    <row r="5" spans="2:13" ht="23.1" customHeight="1" thickBot="1">
      <c r="B5" s="339" t="s">
        <v>210</v>
      </c>
      <c r="C5" s="340"/>
      <c r="D5" s="173"/>
      <c r="E5" s="41"/>
    </row>
    <row r="6" spans="2:13" ht="23.1" customHeight="1" thickBot="1">
      <c r="B6" s="339" t="s">
        <v>194</v>
      </c>
      <c r="C6" s="340"/>
      <c r="D6" s="173"/>
      <c r="E6" s="41"/>
    </row>
    <row r="7" spans="2:13" ht="35.85" customHeight="1">
      <c r="B7" s="337" t="s">
        <v>13</v>
      </c>
      <c r="C7" s="338"/>
      <c r="D7" s="122"/>
      <c r="E7" s="63"/>
      <c r="F7" s="14"/>
    </row>
    <row r="8" spans="2:13">
      <c r="B8" s="325" t="s">
        <v>94</v>
      </c>
      <c r="C8" s="326"/>
      <c r="D8" s="80"/>
      <c r="E8" s="63"/>
      <c r="F8" s="14"/>
      <c r="I8" s="2"/>
    </row>
    <row r="9" spans="2:13" ht="35.1" customHeight="1">
      <c r="B9" s="325" t="s">
        <v>14</v>
      </c>
      <c r="C9" s="326"/>
      <c r="D9" s="123"/>
      <c r="E9" s="63"/>
      <c r="F9" s="14"/>
      <c r="H9" s="2"/>
      <c r="I9" s="2"/>
    </row>
    <row r="10" spans="2:13">
      <c r="B10" s="325" t="s">
        <v>15</v>
      </c>
      <c r="C10" s="326"/>
      <c r="D10" s="80"/>
      <c r="E10" s="63"/>
      <c r="F10" s="14"/>
    </row>
    <row r="11" spans="2:13" ht="19.5" thickBot="1">
      <c r="B11" s="327" t="s">
        <v>16</v>
      </c>
      <c r="C11" s="328"/>
      <c r="D11" s="81"/>
      <c r="E11" s="63"/>
      <c r="F11" s="14"/>
      <c r="H11" s="2"/>
    </row>
    <row r="12" spans="2:13" ht="13.35" customHeight="1" thickBot="1">
      <c r="B12" s="42"/>
      <c r="C12" s="43"/>
      <c r="D12" s="42"/>
      <c r="E12" s="63"/>
      <c r="F12" s="14"/>
      <c r="G12" s="2"/>
      <c r="H12" s="2"/>
      <c r="M12" s="2"/>
    </row>
    <row r="13" spans="2:13" ht="35.85" customHeight="1" thickBot="1">
      <c r="B13" s="329" t="s">
        <v>163</v>
      </c>
      <c r="C13" s="330"/>
      <c r="D13" s="153"/>
      <c r="E13" s="41" t="s">
        <v>161</v>
      </c>
      <c r="L13" s="2"/>
      <c r="M13" s="2"/>
    </row>
    <row r="14" spans="2:13" ht="19.5" thickBot="1">
      <c r="B14" s="333" t="s">
        <v>128</v>
      </c>
      <c r="C14" s="334"/>
      <c r="D14" s="125"/>
      <c r="E14" s="41"/>
    </row>
    <row r="15" spans="2:13">
      <c r="B15" s="82">
        <v>1</v>
      </c>
      <c r="C15" s="154" t="s">
        <v>164</v>
      </c>
      <c r="D15" s="122"/>
      <c r="E15" s="41"/>
    </row>
    <row r="16" spans="2:13">
      <c r="B16" s="83">
        <v>2</v>
      </c>
      <c r="C16" s="155" t="s">
        <v>165</v>
      </c>
      <c r="D16" s="123"/>
      <c r="E16" s="63"/>
      <c r="F16" s="14"/>
    </row>
    <row r="17" spans="2:14">
      <c r="B17" s="83">
        <v>3</v>
      </c>
      <c r="C17" s="155" t="s">
        <v>166</v>
      </c>
      <c r="D17" s="123"/>
      <c r="E17" s="63"/>
      <c r="F17" s="14"/>
      <c r="M17" s="2"/>
      <c r="N17" s="2"/>
    </row>
    <row r="18" spans="2:14">
      <c r="B18" s="83">
        <v>4</v>
      </c>
      <c r="C18" s="155" t="s">
        <v>167</v>
      </c>
      <c r="D18" s="123"/>
      <c r="E18" s="63"/>
      <c r="F18" s="14"/>
    </row>
    <row r="19" spans="2:14">
      <c r="B19" s="83">
        <v>5</v>
      </c>
      <c r="C19" s="155" t="s">
        <v>168</v>
      </c>
      <c r="D19" s="123"/>
      <c r="E19" s="63"/>
      <c r="F19" s="14"/>
    </row>
    <row r="20" spans="2:14">
      <c r="B20" s="83">
        <v>6</v>
      </c>
      <c r="C20" s="155" t="s">
        <v>169</v>
      </c>
      <c r="D20" s="123"/>
      <c r="E20" s="63"/>
      <c r="F20" s="14"/>
    </row>
    <row r="21" spans="2:14">
      <c r="B21" s="83">
        <v>7</v>
      </c>
      <c r="C21" s="155" t="s">
        <v>170</v>
      </c>
      <c r="D21" s="123"/>
      <c r="E21" s="63"/>
      <c r="F21" s="14"/>
    </row>
    <row r="22" spans="2:14">
      <c r="B22" s="83">
        <v>8</v>
      </c>
      <c r="C22" s="155" t="s">
        <v>171</v>
      </c>
      <c r="D22" s="123"/>
      <c r="E22" s="63"/>
      <c r="F22" s="14"/>
    </row>
    <row r="23" spans="2:14">
      <c r="B23" s="83">
        <v>9</v>
      </c>
      <c r="C23" s="155" t="s">
        <v>172</v>
      </c>
      <c r="D23" s="123"/>
      <c r="E23" s="63"/>
      <c r="F23" s="14"/>
    </row>
    <row r="24" spans="2:14" ht="19.5" thickBot="1">
      <c r="B24" s="84">
        <v>10</v>
      </c>
      <c r="C24" s="156" t="s">
        <v>173</v>
      </c>
      <c r="D24" s="124"/>
      <c r="E24" s="63"/>
      <c r="F24" s="14"/>
    </row>
  </sheetData>
  <sheetProtection algorithmName="SHA-512" hashValue="tuNECW+dcJhg4ZE9LwFW1/SzgKvsBrTCFvWm1Exvue/GkpuxDeXAWHFy6rwQ5VIp3x7XzkMOyEDcRXr2I2fqCw==" saltValue="YGcNaj9kBIRYmC/4OYqPrQ==" spinCount="100000" sheet="1" autoFilter="0"/>
  <mergeCells count="13">
    <mergeCell ref="B14:C14"/>
    <mergeCell ref="B4:C4"/>
    <mergeCell ref="B7:C7"/>
    <mergeCell ref="B8:C8"/>
    <mergeCell ref="B9:C9"/>
    <mergeCell ref="B5:C5"/>
    <mergeCell ref="B6:C6"/>
    <mergeCell ref="B2:C2"/>
    <mergeCell ref="B1:D1"/>
    <mergeCell ref="B10:C10"/>
    <mergeCell ref="B11:C11"/>
    <mergeCell ref="B13:C13"/>
    <mergeCell ref="B3:C3"/>
  </mergeCells>
  <phoneticPr fontId="4"/>
  <conditionalFormatting sqref="D7:D11">
    <cfRule type="cellIs" dxfId="223" priority="3" operator="equal">
      <formula>""</formula>
    </cfRule>
  </conditionalFormatting>
  <conditionalFormatting sqref="D3:D6">
    <cfRule type="cellIs" dxfId="222" priority="2" operator="equal">
      <formula>""</formula>
    </cfRule>
  </conditionalFormatting>
  <conditionalFormatting sqref="D13:D24">
    <cfRule type="cellIs" dxfId="221" priority="1" operator="equal">
      <formula>""</formula>
    </cfRule>
  </conditionalFormatting>
  <dataValidations xWindow="412" yWindow="451" count="4">
    <dataValidation imeMode="disabled" allowBlank="1" showInputMessage="1" showErrorMessage="1" sqref="D8" xr:uid="{FF5CA655-53F5-4FED-AB6B-7B6EB840915A}"/>
    <dataValidation type="whole" imeMode="disabled" allowBlank="1" showInputMessage="1" showErrorMessage="1" promptTitle="千円単位" prompt="金額のみ入力してください。" sqref="D13" xr:uid="{5179AADB-CDEA-4BC3-9B33-FBB4FF20D288}">
      <formula1>0</formula1>
      <formula2>30000</formula2>
    </dataValidation>
    <dataValidation allowBlank="1" showInputMessage="1" showErrorMessage="1" promptTitle="柱立てについて" prompt="助成事業が複数の取り組みの組み合わせで成立する場合の各取り組みの単位を「柱立て」といいます。" sqref="D15 D16:D24" xr:uid="{8F63A813-372D-4F0F-9EC0-387883BA2333}"/>
    <dataValidation type="whole" allowBlank="1" showInputMessage="1" showErrorMessage="1" promptTitle="ご注意ください" prompt="11桁の数字を入れてください" sqref="D4" xr:uid="{84659C9B-DA32-4FF1-BEC2-06746AD5AA74}">
      <formula1>0</formula1>
      <formula2>100000000000000</formula2>
    </dataValidation>
  </dataValidations>
  <hyperlinks>
    <hyperlink ref="B2:C2" location="メニュー画面!B2" display="メニュー画面へ" xr:uid="{00000000-0004-0000-0100-000000000000}"/>
  </hyperlinks>
  <pageMargins left="0.7" right="0.7" top="0.75" bottom="0.75" header="0.3" footer="0.3"/>
  <pageSetup paperSize="9" scale="73" orientation="portrait" r:id="rId1"/>
  <drawing r:id="rId2"/>
  <extLst>
    <ext xmlns:x14="http://schemas.microsoft.com/office/spreadsheetml/2009/9/main" uri="{CCE6A557-97BC-4b89-ADB6-D9C93CAAB3DF}">
      <x14:dataValidations xmlns:xm="http://schemas.microsoft.com/office/excel/2006/main" xWindow="412" yWindow="451" count="2">
        <x14:dataValidation type="list" allowBlank="1" showInputMessage="1" showErrorMessage="1" xr:uid="{FD0B6036-76F3-4D40-9F75-B952602E90EF}">
          <x14:formula1>
            <xm:f>プルダウン用リスト!$Q$1:$Q$2</xm:f>
          </x14:formula1>
          <xm:sqref>D6</xm:sqref>
        </x14:dataValidation>
        <x14:dataValidation type="list" allowBlank="1" showInputMessage="1" showErrorMessage="1" xr:uid="{59DC3C93-3E2C-4E6E-9990-C8E983CCAB89}">
          <x14:formula1>
            <xm:f>プルダウン用リスト!$Q$4:$Q$6</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B1:S1006"/>
  <sheetViews>
    <sheetView showGridLines="0" view="pageBreakPreview" zoomScale="70" zoomScaleNormal="70" zoomScaleSheetLayoutView="70" workbookViewId="0">
      <selection activeCell="G6" sqref="G6"/>
    </sheetView>
  </sheetViews>
  <sheetFormatPr defaultRowHeight="18.75"/>
  <cols>
    <col min="1" max="1" width="2.375" customWidth="1"/>
    <col min="2" max="2" width="15.625" style="9" customWidth="1"/>
    <col min="3" max="3" width="6.625" style="9" customWidth="1"/>
    <col min="4" max="4" width="4.375" style="56" customWidth="1"/>
    <col min="5" max="5" width="14.75" style="56" customWidth="1"/>
    <col min="6" max="6" width="4.375" style="128" customWidth="1"/>
    <col min="7" max="7" width="15.25" style="56" customWidth="1"/>
    <col min="8" max="8" width="22.625" style="9" customWidth="1"/>
    <col min="9" max="9" width="29.625" style="9" customWidth="1"/>
    <col min="10" max="10" width="29.625" style="240" customWidth="1"/>
    <col min="11" max="11" width="29.625" style="9" customWidth="1"/>
    <col min="12" max="12" width="13.625" style="9" customWidth="1"/>
    <col min="13" max="13" width="12.375" style="9" customWidth="1"/>
    <col min="14" max="14" width="13.75" style="9" customWidth="1"/>
    <col min="15" max="15" width="15.25" style="9" bestFit="1" customWidth="1"/>
    <col min="16" max="16" width="16.375" style="9" hidden="1" customWidth="1"/>
    <col min="17" max="17" width="5.125" style="247" hidden="1" customWidth="1"/>
    <col min="18" max="18" width="5.125" style="224" hidden="1" customWidth="1"/>
    <col min="19" max="19" width="41.375" style="224" customWidth="1"/>
  </cols>
  <sheetData>
    <row r="1" spans="2:19">
      <c r="J1" s="56"/>
      <c r="P1" s="29"/>
      <c r="Q1" s="29"/>
      <c r="R1" s="223"/>
      <c r="S1" s="223"/>
    </row>
    <row r="2" spans="2:19" s="2" customFormat="1" ht="33.75" customHeight="1" thickBot="1">
      <c r="B2" s="67" t="s">
        <v>63</v>
      </c>
      <c r="C2" s="29"/>
      <c r="D2" s="39"/>
      <c r="E2" s="218" t="s">
        <v>266</v>
      </c>
      <c r="F2" s="67" t="str">
        <f>団体基本情報入力!D7&amp;""</f>
        <v/>
      </c>
      <c r="G2" s="39"/>
      <c r="H2" s="29"/>
      <c r="I2" s="29"/>
      <c r="J2" s="39"/>
      <c r="K2" s="29"/>
      <c r="L2" s="29"/>
      <c r="M2" s="29"/>
      <c r="N2" s="29"/>
      <c r="O2" s="29"/>
      <c r="P2" s="9"/>
      <c r="Q2" s="247"/>
      <c r="R2" s="224"/>
      <c r="S2" s="224"/>
    </row>
    <row r="3" spans="2:19" ht="24" customHeight="1" thickBot="1">
      <c r="B3" s="73" t="s">
        <v>99</v>
      </c>
      <c r="C3" s="73"/>
      <c r="D3" s="73"/>
      <c r="J3" s="238" t="s">
        <v>272</v>
      </c>
      <c r="K3" s="127" t="s">
        <v>142</v>
      </c>
      <c r="M3" s="343"/>
      <c r="N3" s="343"/>
      <c r="O3" s="343"/>
      <c r="P3" s="216"/>
      <c r="Q3" s="258"/>
      <c r="R3" s="225"/>
      <c r="S3" s="225"/>
    </row>
    <row r="4" spans="2:19" ht="7.35" customHeight="1" thickBot="1">
      <c r="D4" s="268"/>
      <c r="E4" s="268"/>
      <c r="F4" s="267"/>
      <c r="G4" s="268"/>
      <c r="J4" s="56"/>
      <c r="M4" s="129"/>
      <c r="N4" s="129"/>
      <c r="O4" s="129"/>
      <c r="P4" s="39"/>
      <c r="Q4" s="39"/>
      <c r="R4" s="226"/>
      <c r="S4" s="226"/>
    </row>
    <row r="5" spans="2:19" ht="152.25" customHeight="1" thickBot="1">
      <c r="B5" s="130" t="s">
        <v>275</v>
      </c>
      <c r="C5" s="157" t="s">
        <v>262</v>
      </c>
      <c r="D5" s="341" t="s">
        <v>174</v>
      </c>
      <c r="E5" s="342"/>
      <c r="F5" s="269"/>
      <c r="G5" s="266" t="s">
        <v>258</v>
      </c>
      <c r="H5" s="286" t="s">
        <v>290</v>
      </c>
      <c r="I5" s="131" t="s">
        <v>291</v>
      </c>
      <c r="J5" s="239" t="s">
        <v>285</v>
      </c>
      <c r="K5" s="132" t="s">
        <v>257</v>
      </c>
      <c r="L5" s="270" t="s">
        <v>253</v>
      </c>
      <c r="M5" s="195" t="s">
        <v>256</v>
      </c>
      <c r="N5" s="196" t="s">
        <v>263</v>
      </c>
      <c r="O5" s="263" t="s">
        <v>277</v>
      </c>
      <c r="P5" s="227" t="s">
        <v>268</v>
      </c>
      <c r="Q5" s="228" t="s">
        <v>279</v>
      </c>
      <c r="R5" s="228" t="s">
        <v>280</v>
      </c>
      <c r="S5" s="229" t="s">
        <v>269</v>
      </c>
    </row>
    <row r="6" spans="2:19">
      <c r="B6" s="68"/>
      <c r="C6" s="69"/>
      <c r="D6" s="259" t="str">
        <f t="shared" ref="D6:D70" si="0">IF(E6="","",IF(E6="謝金","01.",IF(E6="旅費","02.",IF(E6="その他","04.","03."))))</f>
        <v/>
      </c>
      <c r="E6" s="260" t="str">
        <f t="shared" ref="E6:E70" si="1">IF(G6="","",IF(OR(G6="謝金（内部）",G6="謝金（外部）"),"謝金",IF(G6="旅費","旅費",IF(G6="対象外経費","その他","所費"))))</f>
        <v/>
      </c>
      <c r="F6" s="271" t="str">
        <f>IF(G6="","",VLOOKUP(G6,プルダウン用リスト!$K$1:$M$16,2,FALSE))</f>
        <v/>
      </c>
      <c r="G6" s="70"/>
      <c r="H6" s="70"/>
      <c r="I6" s="70"/>
      <c r="J6" s="135"/>
      <c r="K6" s="135"/>
      <c r="L6" s="71"/>
      <c r="M6" s="72"/>
      <c r="N6" s="72"/>
      <c r="O6" s="264" t="str">
        <f>IF(G6="対象外経費",M6,IF(N6="","",M6-N6))</f>
        <v/>
      </c>
      <c r="P6" s="230">
        <f>COUNTA(B6,C6,G6,H6,I6,L6,M6,J6,K6,N6)</f>
        <v>0</v>
      </c>
      <c r="Q6" s="231" t="str">
        <f t="shared" ref="Q6:Q69" si="2">IF(G6="旅費","〇","×")</f>
        <v>×</v>
      </c>
      <c r="R6" s="231" t="str">
        <f>IF(E6="謝金","〇","×")</f>
        <v>×</v>
      </c>
      <c r="S6" s="232" t="str">
        <f>_xlfn.IFS(P6=0,"",AND(G6="対象外経費",P6=7),"OK",P6&lt;=7,"ピンク色のセルを全て入力してください",P6=9,"OK",Q6="〇","ピンク色のセルを全て入力してください",R6="〇","ピンク色のセルを全て入力してください",P6=8,"OK")</f>
        <v/>
      </c>
    </row>
    <row r="7" spans="2:19">
      <c r="B7" s="68"/>
      <c r="C7" s="69"/>
      <c r="D7" s="259" t="str">
        <f t="shared" si="0"/>
        <v/>
      </c>
      <c r="E7" s="260" t="str">
        <f t="shared" si="1"/>
        <v/>
      </c>
      <c r="F7" s="271" t="str">
        <f>IF(G7="","",VLOOKUP(G7,プルダウン用リスト!$K$1:$M$16,2,FALSE))</f>
        <v/>
      </c>
      <c r="G7" s="70"/>
      <c r="H7" s="70"/>
      <c r="I7" s="70"/>
      <c r="J7" s="135"/>
      <c r="K7" s="136"/>
      <c r="L7" s="71"/>
      <c r="M7" s="72"/>
      <c r="N7" s="72"/>
      <c r="O7" s="264" t="str">
        <f t="shared" ref="O7:O70" si="3">IF(G7="対象外経費",M7,IF(N7="","",M7-N7))</f>
        <v/>
      </c>
      <c r="P7" s="230">
        <f>COUNTA(B7,C7,G7,H7,I7,L7,M7,J7,K7,N7)</f>
        <v>0</v>
      </c>
      <c r="Q7" s="231" t="str">
        <f t="shared" si="2"/>
        <v>×</v>
      </c>
      <c r="R7" s="231" t="str">
        <f>IF(E7="謝金","〇","×")</f>
        <v>×</v>
      </c>
      <c r="S7" s="232" t="str">
        <f>_xlfn.IFS(P7=0,"",AND(G7="対象外経費",P7=7),"OK",P7&lt;=7,"ピンク色のセルを全て入力してください",P7=9,"OK",Q7="〇","ピンク色のセルを全て入力してください",R7="〇","ピンク色のセルを全て入力してください",P7=8,"OK")</f>
        <v/>
      </c>
    </row>
    <row r="8" spans="2:19">
      <c r="B8" s="68"/>
      <c r="C8" s="57"/>
      <c r="D8" s="259" t="str">
        <f t="shared" si="0"/>
        <v/>
      </c>
      <c r="E8" s="260" t="str">
        <f t="shared" si="1"/>
        <v/>
      </c>
      <c r="F8" s="271" t="str">
        <f>IF(G8="","",VLOOKUP(G8,プルダウン用リスト!$K$1:$M$16,2,FALSE))</f>
        <v/>
      </c>
      <c r="G8" s="70"/>
      <c r="H8" s="70"/>
      <c r="I8" s="70"/>
      <c r="J8" s="135"/>
      <c r="K8" s="136"/>
      <c r="L8" s="71"/>
      <c r="M8" s="72"/>
      <c r="N8" s="72"/>
      <c r="O8" s="264" t="str">
        <f t="shared" si="3"/>
        <v/>
      </c>
      <c r="P8" s="230">
        <f t="shared" ref="P8:P71" si="4">COUNTA(B8,C8,G8,H8,I8,L8,M8,J8,K8,N8)</f>
        <v>0</v>
      </c>
      <c r="Q8" s="231" t="str">
        <f t="shared" si="2"/>
        <v>×</v>
      </c>
      <c r="R8" s="231" t="str">
        <f>IF(E8="謝金","〇","×")</f>
        <v>×</v>
      </c>
      <c r="S8" s="232" t="str">
        <f>_xlfn.IFS(P8=0,"",AND(G8="対象外経費",P8=7),"OK",P8&lt;=7,"ピンク色のセルを全て入力してください",P8=9,"OK",Q8="〇","ピンク色のセルを全て入力してください",R8="〇","ピンク色のセルを全て入力してください",P8=8,"OK")</f>
        <v/>
      </c>
    </row>
    <row r="9" spans="2:19">
      <c r="B9" s="68"/>
      <c r="C9" s="57"/>
      <c r="D9" s="259" t="str">
        <f t="shared" si="0"/>
        <v/>
      </c>
      <c r="E9" s="260" t="str">
        <f t="shared" si="1"/>
        <v/>
      </c>
      <c r="F9" s="271" t="str">
        <f>IF(G9="","",VLOOKUP(G9,プルダウン用リスト!$K$1:$M$16,2,FALSE))</f>
        <v/>
      </c>
      <c r="G9" s="70"/>
      <c r="H9" s="70"/>
      <c r="I9" s="70"/>
      <c r="J9" s="135"/>
      <c r="K9" s="136"/>
      <c r="L9" s="71"/>
      <c r="M9" s="72"/>
      <c r="N9" s="72"/>
      <c r="O9" s="264" t="str">
        <f t="shared" si="3"/>
        <v/>
      </c>
      <c r="P9" s="230">
        <f t="shared" si="4"/>
        <v>0</v>
      </c>
      <c r="Q9" s="231" t="str">
        <f t="shared" si="2"/>
        <v>×</v>
      </c>
      <c r="R9" s="231" t="str">
        <f t="shared" ref="R9:R72" si="5">IF(E9="謝金","〇","×")</f>
        <v>×</v>
      </c>
      <c r="S9" s="232" t="str">
        <f t="shared" ref="S9:S72" si="6">_xlfn.IFS(P9=0,"",AND(G9="対象外経費",P9=7),"OK",P9&lt;=7,"ピンク色のセルを全て入力してください",P9=9,"OK",Q9="〇","ピンク色のセルを全て入力してください",R9="〇","ピンク色のセルを全て入力してください",P9=8,"OK")</f>
        <v/>
      </c>
    </row>
    <row r="10" spans="2:19">
      <c r="B10" s="68"/>
      <c r="C10" s="57"/>
      <c r="D10" s="259" t="str">
        <f t="shared" si="0"/>
        <v/>
      </c>
      <c r="E10" s="260" t="str">
        <f t="shared" si="1"/>
        <v/>
      </c>
      <c r="F10" s="271" t="str">
        <f>IF(G10="","",VLOOKUP(G10,プルダウン用リスト!$K$1:$M$16,2,FALSE))</f>
        <v/>
      </c>
      <c r="G10" s="70"/>
      <c r="H10" s="70"/>
      <c r="I10" s="70"/>
      <c r="J10" s="135"/>
      <c r="K10" s="136"/>
      <c r="L10" s="71"/>
      <c r="M10" s="72"/>
      <c r="N10" s="72"/>
      <c r="O10" s="264" t="str">
        <f>IF(G10="対象外経費",M10,IF(N10="","",M10-N10))</f>
        <v/>
      </c>
      <c r="P10" s="230">
        <f t="shared" si="4"/>
        <v>0</v>
      </c>
      <c r="Q10" s="231" t="str">
        <f t="shared" si="2"/>
        <v>×</v>
      </c>
      <c r="R10" s="231" t="str">
        <f t="shared" si="5"/>
        <v>×</v>
      </c>
      <c r="S10" s="232" t="str">
        <f t="shared" si="6"/>
        <v/>
      </c>
    </row>
    <row r="11" spans="2:19">
      <c r="B11" s="68"/>
      <c r="C11" s="57"/>
      <c r="D11" s="259" t="str">
        <f t="shared" si="0"/>
        <v/>
      </c>
      <c r="E11" s="260" t="str">
        <f t="shared" si="1"/>
        <v/>
      </c>
      <c r="F11" s="271" t="str">
        <f>IF(G11="","",VLOOKUP(G11,プルダウン用リスト!$K$1:$M$16,2,FALSE))</f>
        <v/>
      </c>
      <c r="G11" s="70"/>
      <c r="H11" s="70"/>
      <c r="I11" s="70"/>
      <c r="J11" s="135"/>
      <c r="K11" s="136"/>
      <c r="L11" s="71"/>
      <c r="M11" s="72"/>
      <c r="N11" s="72"/>
      <c r="O11" s="264" t="str">
        <f>IF(G11="対象外経費",M11,IF(N11="","",M11-N11))</f>
        <v/>
      </c>
      <c r="P11" s="230">
        <f t="shared" si="4"/>
        <v>0</v>
      </c>
      <c r="Q11" s="231" t="str">
        <f t="shared" si="2"/>
        <v>×</v>
      </c>
      <c r="R11" s="231" t="str">
        <f t="shared" si="5"/>
        <v>×</v>
      </c>
      <c r="S11" s="232" t="str">
        <f t="shared" si="6"/>
        <v/>
      </c>
    </row>
    <row r="12" spans="2:19">
      <c r="B12" s="68"/>
      <c r="C12" s="57"/>
      <c r="D12" s="259" t="str">
        <f t="shared" si="0"/>
        <v/>
      </c>
      <c r="E12" s="260" t="str">
        <f t="shared" si="1"/>
        <v/>
      </c>
      <c r="F12" s="271" t="str">
        <f>IF(G12="","",VLOOKUP(G12,プルダウン用リスト!$K$1:$M$16,2,FALSE))</f>
        <v/>
      </c>
      <c r="G12" s="70"/>
      <c r="H12" s="70"/>
      <c r="I12" s="70"/>
      <c r="J12" s="135"/>
      <c r="K12" s="136"/>
      <c r="L12" s="71"/>
      <c r="M12" s="72"/>
      <c r="N12" s="72"/>
      <c r="O12" s="264" t="str">
        <f t="shared" si="3"/>
        <v/>
      </c>
      <c r="P12" s="230">
        <f t="shared" si="4"/>
        <v>0</v>
      </c>
      <c r="Q12" s="231" t="str">
        <f t="shared" si="2"/>
        <v>×</v>
      </c>
      <c r="R12" s="231" t="str">
        <f t="shared" si="5"/>
        <v>×</v>
      </c>
      <c r="S12" s="232" t="str">
        <f t="shared" si="6"/>
        <v/>
      </c>
    </row>
    <row r="13" spans="2:19">
      <c r="B13" s="68"/>
      <c r="C13" s="57"/>
      <c r="D13" s="259" t="str">
        <f t="shared" si="0"/>
        <v/>
      </c>
      <c r="E13" s="260" t="str">
        <f t="shared" si="1"/>
        <v/>
      </c>
      <c r="F13" s="271" t="str">
        <f>IF(G13="","",VLOOKUP(G13,プルダウン用リスト!$K$1:$M$16,2,FALSE))</f>
        <v/>
      </c>
      <c r="G13" s="70"/>
      <c r="H13" s="70"/>
      <c r="I13" s="70"/>
      <c r="J13" s="135"/>
      <c r="K13" s="136"/>
      <c r="L13" s="71"/>
      <c r="M13" s="72"/>
      <c r="N13" s="72"/>
      <c r="O13" s="264" t="str">
        <f t="shared" si="3"/>
        <v/>
      </c>
      <c r="P13" s="230">
        <f t="shared" si="4"/>
        <v>0</v>
      </c>
      <c r="Q13" s="231" t="str">
        <f t="shared" si="2"/>
        <v>×</v>
      </c>
      <c r="R13" s="231" t="str">
        <f t="shared" si="5"/>
        <v>×</v>
      </c>
      <c r="S13" s="232" t="str">
        <f t="shared" si="6"/>
        <v/>
      </c>
    </row>
    <row r="14" spans="2:19">
      <c r="B14" s="68"/>
      <c r="C14" s="57"/>
      <c r="D14" s="259" t="str">
        <f t="shared" si="0"/>
        <v/>
      </c>
      <c r="E14" s="260" t="str">
        <f t="shared" si="1"/>
        <v/>
      </c>
      <c r="F14" s="271" t="str">
        <f>IF(G14="","",VLOOKUP(G14,プルダウン用リスト!$K$1:$M$16,2,FALSE))</f>
        <v/>
      </c>
      <c r="G14" s="70"/>
      <c r="H14" s="70"/>
      <c r="I14" s="70"/>
      <c r="J14" s="135"/>
      <c r="K14" s="136"/>
      <c r="L14" s="71"/>
      <c r="M14" s="72"/>
      <c r="N14" s="72"/>
      <c r="O14" s="264" t="str">
        <f t="shared" si="3"/>
        <v/>
      </c>
      <c r="P14" s="230">
        <f t="shared" si="4"/>
        <v>0</v>
      </c>
      <c r="Q14" s="231" t="str">
        <f t="shared" si="2"/>
        <v>×</v>
      </c>
      <c r="R14" s="231" t="str">
        <f t="shared" si="5"/>
        <v>×</v>
      </c>
      <c r="S14" s="232" t="str">
        <f t="shared" si="6"/>
        <v/>
      </c>
    </row>
    <row r="15" spans="2:19">
      <c r="B15" s="68"/>
      <c r="C15" s="57"/>
      <c r="D15" s="259" t="str">
        <f t="shared" si="0"/>
        <v/>
      </c>
      <c r="E15" s="260" t="str">
        <f t="shared" si="1"/>
        <v/>
      </c>
      <c r="F15" s="271" t="str">
        <f>IF(G15="","",VLOOKUP(G15,プルダウン用リスト!$K$1:$M$16,2,FALSE))</f>
        <v/>
      </c>
      <c r="G15" s="70"/>
      <c r="H15" s="70"/>
      <c r="I15" s="70"/>
      <c r="J15" s="135"/>
      <c r="K15" s="136"/>
      <c r="L15" s="71"/>
      <c r="M15" s="72"/>
      <c r="N15" s="72"/>
      <c r="O15" s="264" t="str">
        <f t="shared" si="3"/>
        <v/>
      </c>
      <c r="P15" s="230">
        <f t="shared" si="4"/>
        <v>0</v>
      </c>
      <c r="Q15" s="231" t="str">
        <f t="shared" si="2"/>
        <v>×</v>
      </c>
      <c r="R15" s="231" t="str">
        <f t="shared" si="5"/>
        <v>×</v>
      </c>
      <c r="S15" s="232" t="str">
        <f t="shared" si="6"/>
        <v/>
      </c>
    </row>
    <row r="16" spans="2:19">
      <c r="B16" s="68"/>
      <c r="C16" s="57"/>
      <c r="D16" s="259" t="str">
        <f t="shared" si="0"/>
        <v/>
      </c>
      <c r="E16" s="260" t="str">
        <f t="shared" si="1"/>
        <v/>
      </c>
      <c r="F16" s="271" t="str">
        <f>IF(G16="","",VLOOKUP(G16,プルダウン用リスト!$K$1:$M$16,2,FALSE))</f>
        <v/>
      </c>
      <c r="G16" s="70"/>
      <c r="H16" s="70"/>
      <c r="I16" s="70"/>
      <c r="J16" s="135"/>
      <c r="K16" s="136"/>
      <c r="L16" s="71"/>
      <c r="M16" s="72"/>
      <c r="N16" s="72"/>
      <c r="O16" s="264" t="str">
        <f t="shared" si="3"/>
        <v/>
      </c>
      <c r="P16" s="230">
        <f t="shared" si="4"/>
        <v>0</v>
      </c>
      <c r="Q16" s="231" t="str">
        <f t="shared" si="2"/>
        <v>×</v>
      </c>
      <c r="R16" s="231" t="str">
        <f t="shared" si="5"/>
        <v>×</v>
      </c>
      <c r="S16" s="232" t="str">
        <f t="shared" si="6"/>
        <v/>
      </c>
    </row>
    <row r="17" spans="2:19">
      <c r="B17" s="68"/>
      <c r="C17" s="57"/>
      <c r="D17" s="259" t="str">
        <f t="shared" si="0"/>
        <v/>
      </c>
      <c r="E17" s="260" t="str">
        <f t="shared" si="1"/>
        <v/>
      </c>
      <c r="F17" s="271" t="str">
        <f>IF(G17="","",VLOOKUP(G17,プルダウン用リスト!$K$1:$M$16,2,FALSE))</f>
        <v/>
      </c>
      <c r="G17" s="70"/>
      <c r="H17" s="70"/>
      <c r="I17" s="70"/>
      <c r="J17" s="135"/>
      <c r="K17" s="136"/>
      <c r="L17" s="71"/>
      <c r="M17" s="72"/>
      <c r="N17" s="72"/>
      <c r="O17" s="264" t="str">
        <f t="shared" si="3"/>
        <v/>
      </c>
      <c r="P17" s="230">
        <f t="shared" si="4"/>
        <v>0</v>
      </c>
      <c r="Q17" s="231" t="str">
        <f t="shared" si="2"/>
        <v>×</v>
      </c>
      <c r="R17" s="231" t="str">
        <f t="shared" si="5"/>
        <v>×</v>
      </c>
      <c r="S17" s="232" t="str">
        <f t="shared" si="6"/>
        <v/>
      </c>
    </row>
    <row r="18" spans="2:19">
      <c r="B18" s="68"/>
      <c r="C18" s="57"/>
      <c r="D18" s="259" t="str">
        <f t="shared" si="0"/>
        <v/>
      </c>
      <c r="E18" s="260" t="str">
        <f t="shared" si="1"/>
        <v/>
      </c>
      <c r="F18" s="271" t="str">
        <f>IF(G18="","",VLOOKUP(G18,プルダウン用リスト!$K$1:$M$16,2,FALSE))</f>
        <v/>
      </c>
      <c r="G18" s="70"/>
      <c r="H18" s="70"/>
      <c r="I18" s="70"/>
      <c r="J18" s="135"/>
      <c r="K18" s="136"/>
      <c r="L18" s="71"/>
      <c r="M18" s="72"/>
      <c r="N18" s="72"/>
      <c r="O18" s="264" t="str">
        <f t="shared" si="3"/>
        <v/>
      </c>
      <c r="P18" s="230">
        <f t="shared" si="4"/>
        <v>0</v>
      </c>
      <c r="Q18" s="231" t="str">
        <f t="shared" si="2"/>
        <v>×</v>
      </c>
      <c r="R18" s="231" t="str">
        <f t="shared" si="5"/>
        <v>×</v>
      </c>
      <c r="S18" s="232" t="str">
        <f t="shared" si="6"/>
        <v/>
      </c>
    </row>
    <row r="19" spans="2:19">
      <c r="B19" s="68"/>
      <c r="C19" s="57"/>
      <c r="D19" s="259" t="str">
        <f t="shared" si="0"/>
        <v/>
      </c>
      <c r="E19" s="260" t="str">
        <f t="shared" si="1"/>
        <v/>
      </c>
      <c r="F19" s="271" t="str">
        <f>IF(G19="","",VLOOKUP(G19,プルダウン用リスト!$K$1:$M$16,2,FALSE))</f>
        <v/>
      </c>
      <c r="G19" s="70"/>
      <c r="H19" s="70"/>
      <c r="I19" s="70"/>
      <c r="J19" s="135"/>
      <c r="K19" s="136"/>
      <c r="L19" s="71"/>
      <c r="M19" s="72"/>
      <c r="N19" s="72"/>
      <c r="O19" s="264" t="str">
        <f t="shared" si="3"/>
        <v/>
      </c>
      <c r="P19" s="230">
        <f t="shared" si="4"/>
        <v>0</v>
      </c>
      <c r="Q19" s="231" t="str">
        <f t="shared" si="2"/>
        <v>×</v>
      </c>
      <c r="R19" s="231" t="str">
        <f t="shared" si="5"/>
        <v>×</v>
      </c>
      <c r="S19" s="232" t="str">
        <f t="shared" si="6"/>
        <v/>
      </c>
    </row>
    <row r="20" spans="2:19">
      <c r="B20" s="68"/>
      <c r="C20" s="57"/>
      <c r="D20" s="259" t="str">
        <f t="shared" si="0"/>
        <v/>
      </c>
      <c r="E20" s="260" t="str">
        <f t="shared" si="1"/>
        <v/>
      </c>
      <c r="F20" s="271" t="str">
        <f>IF(G20="","",VLOOKUP(G20,プルダウン用リスト!$K$1:$M$16,2,FALSE))</f>
        <v/>
      </c>
      <c r="G20" s="70"/>
      <c r="H20" s="70"/>
      <c r="I20" s="70"/>
      <c r="J20" s="135"/>
      <c r="K20" s="136"/>
      <c r="L20" s="71"/>
      <c r="M20" s="72"/>
      <c r="N20" s="72"/>
      <c r="O20" s="264" t="str">
        <f t="shared" si="3"/>
        <v/>
      </c>
      <c r="P20" s="230">
        <f t="shared" si="4"/>
        <v>0</v>
      </c>
      <c r="Q20" s="231" t="str">
        <f t="shared" si="2"/>
        <v>×</v>
      </c>
      <c r="R20" s="231" t="str">
        <f t="shared" si="5"/>
        <v>×</v>
      </c>
      <c r="S20" s="232" t="str">
        <f t="shared" si="6"/>
        <v/>
      </c>
    </row>
    <row r="21" spans="2:19">
      <c r="B21" s="68"/>
      <c r="C21" s="57"/>
      <c r="D21" s="259" t="str">
        <f t="shared" si="0"/>
        <v/>
      </c>
      <c r="E21" s="260" t="str">
        <f t="shared" si="1"/>
        <v/>
      </c>
      <c r="F21" s="271" t="str">
        <f>IF(G21="","",VLOOKUP(G21,プルダウン用リスト!$K$1:$M$16,2,FALSE))</f>
        <v/>
      </c>
      <c r="G21" s="70"/>
      <c r="H21" s="70"/>
      <c r="I21" s="70"/>
      <c r="J21" s="135"/>
      <c r="K21" s="136"/>
      <c r="L21" s="71"/>
      <c r="M21" s="72"/>
      <c r="N21" s="72"/>
      <c r="O21" s="264" t="str">
        <f t="shared" si="3"/>
        <v/>
      </c>
      <c r="P21" s="230">
        <f t="shared" si="4"/>
        <v>0</v>
      </c>
      <c r="Q21" s="231" t="str">
        <f t="shared" si="2"/>
        <v>×</v>
      </c>
      <c r="R21" s="231" t="str">
        <f t="shared" si="5"/>
        <v>×</v>
      </c>
      <c r="S21" s="232" t="str">
        <f t="shared" si="6"/>
        <v/>
      </c>
    </row>
    <row r="22" spans="2:19">
      <c r="B22" s="68"/>
      <c r="C22" s="57"/>
      <c r="D22" s="259" t="str">
        <f t="shared" si="0"/>
        <v/>
      </c>
      <c r="E22" s="260" t="str">
        <f t="shared" si="1"/>
        <v/>
      </c>
      <c r="F22" s="271" t="str">
        <f>IF(G22="","",VLOOKUP(G22,プルダウン用リスト!$K$1:$M$16,2,FALSE))</f>
        <v/>
      </c>
      <c r="G22" s="70"/>
      <c r="H22" s="58"/>
      <c r="I22" s="70"/>
      <c r="J22" s="135"/>
      <c r="K22" s="136"/>
      <c r="L22" s="71"/>
      <c r="M22" s="72"/>
      <c r="N22" s="72"/>
      <c r="O22" s="264" t="str">
        <f t="shared" si="3"/>
        <v/>
      </c>
      <c r="P22" s="230">
        <f t="shared" si="4"/>
        <v>0</v>
      </c>
      <c r="Q22" s="231" t="str">
        <f t="shared" si="2"/>
        <v>×</v>
      </c>
      <c r="R22" s="231" t="str">
        <f t="shared" si="5"/>
        <v>×</v>
      </c>
      <c r="S22" s="232" t="str">
        <f t="shared" si="6"/>
        <v/>
      </c>
    </row>
    <row r="23" spans="2:19">
      <c r="B23" s="68"/>
      <c r="C23" s="57"/>
      <c r="D23" s="259" t="str">
        <f t="shared" si="0"/>
        <v/>
      </c>
      <c r="E23" s="260" t="str">
        <f t="shared" si="1"/>
        <v/>
      </c>
      <c r="F23" s="271" t="str">
        <f>IF(G23="","",VLOOKUP(G23,プルダウン用リスト!$K$1:$M$16,2,FALSE))</f>
        <v/>
      </c>
      <c r="G23" s="70"/>
      <c r="H23" s="58"/>
      <c r="I23" s="70"/>
      <c r="J23" s="135"/>
      <c r="K23" s="136"/>
      <c r="L23" s="71"/>
      <c r="M23" s="72"/>
      <c r="N23" s="72"/>
      <c r="O23" s="264" t="str">
        <f t="shared" si="3"/>
        <v/>
      </c>
      <c r="P23" s="230">
        <f t="shared" si="4"/>
        <v>0</v>
      </c>
      <c r="Q23" s="231" t="str">
        <f t="shared" si="2"/>
        <v>×</v>
      </c>
      <c r="R23" s="231" t="str">
        <f t="shared" si="5"/>
        <v>×</v>
      </c>
      <c r="S23" s="232" t="str">
        <f t="shared" si="6"/>
        <v/>
      </c>
    </row>
    <row r="24" spans="2:19">
      <c r="B24" s="68"/>
      <c r="C24" s="57"/>
      <c r="D24" s="259" t="str">
        <f t="shared" si="0"/>
        <v/>
      </c>
      <c r="E24" s="260" t="str">
        <f t="shared" si="1"/>
        <v/>
      </c>
      <c r="F24" s="271" t="str">
        <f>IF(G24="","",VLOOKUP(G24,プルダウン用リスト!$K$1:$M$16,2,FALSE))</f>
        <v/>
      </c>
      <c r="G24" s="70"/>
      <c r="H24" s="70"/>
      <c r="I24" s="70"/>
      <c r="J24" s="135"/>
      <c r="K24" s="136"/>
      <c r="L24" s="71"/>
      <c r="M24" s="72"/>
      <c r="N24" s="72"/>
      <c r="O24" s="264" t="str">
        <f t="shared" si="3"/>
        <v/>
      </c>
      <c r="P24" s="230">
        <f t="shared" si="4"/>
        <v>0</v>
      </c>
      <c r="Q24" s="231" t="str">
        <f t="shared" si="2"/>
        <v>×</v>
      </c>
      <c r="R24" s="231" t="str">
        <f t="shared" si="5"/>
        <v>×</v>
      </c>
      <c r="S24" s="232" t="str">
        <f t="shared" si="6"/>
        <v/>
      </c>
    </row>
    <row r="25" spans="2:19">
      <c r="B25" s="68"/>
      <c r="C25" s="57"/>
      <c r="D25" s="259" t="str">
        <f t="shared" si="0"/>
        <v/>
      </c>
      <c r="E25" s="260" t="str">
        <f t="shared" si="1"/>
        <v/>
      </c>
      <c r="F25" s="271" t="str">
        <f>IF(G25="","",VLOOKUP(G25,プルダウン用リスト!$K$1:$M$16,2,FALSE))</f>
        <v/>
      </c>
      <c r="G25" s="70"/>
      <c r="H25" s="58"/>
      <c r="I25" s="70"/>
      <c r="J25" s="135"/>
      <c r="K25" s="136"/>
      <c r="L25" s="71"/>
      <c r="M25" s="72"/>
      <c r="N25" s="72"/>
      <c r="O25" s="264" t="str">
        <f t="shared" si="3"/>
        <v/>
      </c>
      <c r="P25" s="230">
        <f t="shared" si="4"/>
        <v>0</v>
      </c>
      <c r="Q25" s="231" t="str">
        <f t="shared" si="2"/>
        <v>×</v>
      </c>
      <c r="R25" s="231" t="str">
        <f t="shared" si="5"/>
        <v>×</v>
      </c>
      <c r="S25" s="232" t="str">
        <f t="shared" si="6"/>
        <v/>
      </c>
    </row>
    <row r="26" spans="2:19">
      <c r="B26" s="68"/>
      <c r="C26" s="57"/>
      <c r="D26" s="259" t="str">
        <f t="shared" si="0"/>
        <v/>
      </c>
      <c r="E26" s="260" t="str">
        <f t="shared" si="1"/>
        <v/>
      </c>
      <c r="F26" s="271" t="str">
        <f>IF(G26="","",VLOOKUP(G26,プルダウン用リスト!$K$1:$M$16,2,FALSE))</f>
        <v/>
      </c>
      <c r="G26" s="70"/>
      <c r="H26" s="58"/>
      <c r="I26" s="70"/>
      <c r="J26" s="135"/>
      <c r="K26" s="136"/>
      <c r="L26" s="71"/>
      <c r="M26" s="72"/>
      <c r="N26" s="72"/>
      <c r="O26" s="264" t="str">
        <f t="shared" si="3"/>
        <v/>
      </c>
      <c r="P26" s="230">
        <f t="shared" si="4"/>
        <v>0</v>
      </c>
      <c r="Q26" s="231" t="str">
        <f t="shared" si="2"/>
        <v>×</v>
      </c>
      <c r="R26" s="231" t="str">
        <f t="shared" si="5"/>
        <v>×</v>
      </c>
      <c r="S26" s="232" t="str">
        <f t="shared" si="6"/>
        <v/>
      </c>
    </row>
    <row r="27" spans="2:19">
      <c r="B27" s="68"/>
      <c r="C27" s="57"/>
      <c r="D27" s="259" t="str">
        <f t="shared" si="0"/>
        <v/>
      </c>
      <c r="E27" s="260" t="str">
        <f t="shared" si="1"/>
        <v/>
      </c>
      <c r="F27" s="271" t="str">
        <f>IF(G27="","",VLOOKUP(G27,プルダウン用リスト!$K$1:$M$16,2,FALSE))</f>
        <v/>
      </c>
      <c r="G27" s="70"/>
      <c r="H27" s="70"/>
      <c r="I27" s="70"/>
      <c r="J27" s="135"/>
      <c r="K27" s="136"/>
      <c r="L27" s="71"/>
      <c r="M27" s="72"/>
      <c r="N27" s="72"/>
      <c r="O27" s="264" t="str">
        <f t="shared" si="3"/>
        <v/>
      </c>
      <c r="P27" s="230">
        <f t="shared" si="4"/>
        <v>0</v>
      </c>
      <c r="Q27" s="231" t="str">
        <f t="shared" si="2"/>
        <v>×</v>
      </c>
      <c r="R27" s="231" t="str">
        <f t="shared" si="5"/>
        <v>×</v>
      </c>
      <c r="S27" s="232" t="str">
        <f t="shared" si="6"/>
        <v/>
      </c>
    </row>
    <row r="28" spans="2:19">
      <c r="B28" s="68"/>
      <c r="C28" s="57"/>
      <c r="D28" s="259" t="str">
        <f t="shared" si="0"/>
        <v/>
      </c>
      <c r="E28" s="260" t="str">
        <f t="shared" si="1"/>
        <v/>
      </c>
      <c r="F28" s="271" t="str">
        <f>IF(G28="","",VLOOKUP(G28,プルダウン用リスト!$K$1:$M$16,2,FALSE))</f>
        <v/>
      </c>
      <c r="G28" s="70"/>
      <c r="H28" s="58"/>
      <c r="I28" s="70"/>
      <c r="J28" s="135"/>
      <c r="K28" s="136"/>
      <c r="L28" s="71"/>
      <c r="M28" s="72"/>
      <c r="N28" s="72"/>
      <c r="O28" s="264" t="str">
        <f t="shared" si="3"/>
        <v/>
      </c>
      <c r="P28" s="230">
        <f t="shared" si="4"/>
        <v>0</v>
      </c>
      <c r="Q28" s="231" t="str">
        <f t="shared" si="2"/>
        <v>×</v>
      </c>
      <c r="R28" s="231" t="str">
        <f t="shared" si="5"/>
        <v>×</v>
      </c>
      <c r="S28" s="232" t="str">
        <f t="shared" si="6"/>
        <v/>
      </c>
    </row>
    <row r="29" spans="2:19">
      <c r="B29" s="68"/>
      <c r="C29" s="57"/>
      <c r="D29" s="259" t="str">
        <f t="shared" si="0"/>
        <v/>
      </c>
      <c r="E29" s="260" t="str">
        <f t="shared" si="1"/>
        <v/>
      </c>
      <c r="F29" s="271" t="str">
        <f>IF(G29="","",VLOOKUP(G29,プルダウン用リスト!$K$1:$M$16,2,FALSE))</f>
        <v/>
      </c>
      <c r="G29" s="70"/>
      <c r="H29" s="58"/>
      <c r="I29" s="70"/>
      <c r="J29" s="135"/>
      <c r="K29" s="136"/>
      <c r="L29" s="71"/>
      <c r="M29" s="72"/>
      <c r="N29" s="72"/>
      <c r="O29" s="264" t="str">
        <f t="shared" si="3"/>
        <v/>
      </c>
      <c r="P29" s="230">
        <f t="shared" si="4"/>
        <v>0</v>
      </c>
      <c r="Q29" s="231" t="str">
        <f t="shared" si="2"/>
        <v>×</v>
      </c>
      <c r="R29" s="231" t="str">
        <f t="shared" si="5"/>
        <v>×</v>
      </c>
      <c r="S29" s="232" t="str">
        <f t="shared" si="6"/>
        <v/>
      </c>
    </row>
    <row r="30" spans="2:19">
      <c r="B30" s="68"/>
      <c r="C30" s="69"/>
      <c r="D30" s="259" t="str">
        <f t="shared" si="0"/>
        <v/>
      </c>
      <c r="E30" s="260" t="str">
        <f t="shared" si="1"/>
        <v/>
      </c>
      <c r="F30" s="271" t="str">
        <f>IF(G30="","",VLOOKUP(G30,プルダウン用リスト!$K$1:$M$16,2,FALSE))</f>
        <v/>
      </c>
      <c r="G30" s="70"/>
      <c r="H30" s="70"/>
      <c r="I30" s="70"/>
      <c r="J30" s="135"/>
      <c r="K30" s="136"/>
      <c r="L30" s="71"/>
      <c r="M30" s="72"/>
      <c r="N30" s="72"/>
      <c r="O30" s="264" t="str">
        <f t="shared" si="3"/>
        <v/>
      </c>
      <c r="P30" s="230">
        <f t="shared" si="4"/>
        <v>0</v>
      </c>
      <c r="Q30" s="231" t="str">
        <f t="shared" si="2"/>
        <v>×</v>
      </c>
      <c r="R30" s="231" t="str">
        <f t="shared" si="5"/>
        <v>×</v>
      </c>
      <c r="S30" s="232" t="str">
        <f t="shared" si="6"/>
        <v/>
      </c>
    </row>
    <row r="31" spans="2:19">
      <c r="B31" s="68"/>
      <c r="C31" s="57"/>
      <c r="D31" s="259" t="str">
        <f t="shared" si="0"/>
        <v/>
      </c>
      <c r="E31" s="260" t="str">
        <f t="shared" si="1"/>
        <v/>
      </c>
      <c r="F31" s="271" t="str">
        <f>IF(G31="","",VLOOKUP(G31,プルダウン用リスト!$K$1:$M$16,2,FALSE))</f>
        <v/>
      </c>
      <c r="G31" s="70"/>
      <c r="H31" s="58"/>
      <c r="I31" s="70"/>
      <c r="J31" s="135"/>
      <c r="K31" s="136"/>
      <c r="L31" s="71"/>
      <c r="M31" s="72"/>
      <c r="N31" s="72"/>
      <c r="O31" s="264" t="str">
        <f t="shared" si="3"/>
        <v/>
      </c>
      <c r="P31" s="230">
        <f t="shared" si="4"/>
        <v>0</v>
      </c>
      <c r="Q31" s="231" t="str">
        <f t="shared" si="2"/>
        <v>×</v>
      </c>
      <c r="R31" s="231" t="str">
        <f t="shared" si="5"/>
        <v>×</v>
      </c>
      <c r="S31" s="232" t="str">
        <f t="shared" si="6"/>
        <v/>
      </c>
    </row>
    <row r="32" spans="2:19" s="3" customFormat="1">
      <c r="B32" s="68"/>
      <c r="C32" s="57"/>
      <c r="D32" s="259" t="str">
        <f t="shared" si="0"/>
        <v/>
      </c>
      <c r="E32" s="260" t="str">
        <f t="shared" si="1"/>
        <v/>
      </c>
      <c r="F32" s="271" t="str">
        <f>IF(G32="","",VLOOKUP(G32,プルダウン用リスト!$K$1:$M$16,2,FALSE))</f>
        <v/>
      </c>
      <c r="G32" s="70"/>
      <c r="H32" s="58"/>
      <c r="I32" s="70"/>
      <c r="J32" s="135"/>
      <c r="K32" s="136"/>
      <c r="L32" s="71"/>
      <c r="M32" s="72"/>
      <c r="N32" s="72"/>
      <c r="O32" s="264" t="str">
        <f t="shared" si="3"/>
        <v/>
      </c>
      <c r="P32" s="230">
        <f t="shared" si="4"/>
        <v>0</v>
      </c>
      <c r="Q32" s="231" t="str">
        <f t="shared" si="2"/>
        <v>×</v>
      </c>
      <c r="R32" s="231" t="str">
        <f t="shared" si="5"/>
        <v>×</v>
      </c>
      <c r="S32" s="232" t="str">
        <f t="shared" si="6"/>
        <v/>
      </c>
    </row>
    <row r="33" spans="2:19">
      <c r="B33" s="68"/>
      <c r="C33" s="57"/>
      <c r="D33" s="259" t="str">
        <f t="shared" si="0"/>
        <v/>
      </c>
      <c r="E33" s="260" t="str">
        <f t="shared" si="1"/>
        <v/>
      </c>
      <c r="F33" s="271" t="str">
        <f>IF(G33="","",VLOOKUP(G33,プルダウン用リスト!$K$1:$M$16,2,FALSE))</f>
        <v/>
      </c>
      <c r="G33" s="70"/>
      <c r="H33" s="70"/>
      <c r="I33" s="70"/>
      <c r="J33" s="135"/>
      <c r="K33" s="136"/>
      <c r="L33" s="71"/>
      <c r="M33" s="72"/>
      <c r="N33" s="72"/>
      <c r="O33" s="264" t="str">
        <f t="shared" si="3"/>
        <v/>
      </c>
      <c r="P33" s="230">
        <f t="shared" si="4"/>
        <v>0</v>
      </c>
      <c r="Q33" s="231" t="str">
        <f t="shared" si="2"/>
        <v>×</v>
      </c>
      <c r="R33" s="231" t="str">
        <f t="shared" si="5"/>
        <v>×</v>
      </c>
      <c r="S33" s="232" t="str">
        <f t="shared" si="6"/>
        <v/>
      </c>
    </row>
    <row r="34" spans="2:19">
      <c r="B34" s="68"/>
      <c r="C34" s="57"/>
      <c r="D34" s="259" t="str">
        <f t="shared" si="0"/>
        <v/>
      </c>
      <c r="E34" s="260" t="str">
        <f t="shared" si="1"/>
        <v/>
      </c>
      <c r="F34" s="271" t="str">
        <f>IF(G34="","",VLOOKUP(G34,プルダウン用リスト!$K$1:$M$16,2,FALSE))</f>
        <v/>
      </c>
      <c r="G34" s="70"/>
      <c r="H34" s="58"/>
      <c r="I34" s="70"/>
      <c r="J34" s="135"/>
      <c r="K34" s="136"/>
      <c r="L34" s="71"/>
      <c r="M34" s="72"/>
      <c r="N34" s="72"/>
      <c r="O34" s="264" t="str">
        <f t="shared" si="3"/>
        <v/>
      </c>
      <c r="P34" s="230">
        <f t="shared" si="4"/>
        <v>0</v>
      </c>
      <c r="Q34" s="231" t="str">
        <f t="shared" si="2"/>
        <v>×</v>
      </c>
      <c r="R34" s="231" t="str">
        <f t="shared" si="5"/>
        <v>×</v>
      </c>
      <c r="S34" s="232" t="str">
        <f t="shared" si="6"/>
        <v/>
      </c>
    </row>
    <row r="35" spans="2:19">
      <c r="B35" s="68"/>
      <c r="C35" s="57"/>
      <c r="D35" s="259" t="str">
        <f t="shared" si="0"/>
        <v/>
      </c>
      <c r="E35" s="260" t="str">
        <f t="shared" si="1"/>
        <v/>
      </c>
      <c r="F35" s="271" t="str">
        <f>IF(G35="","",VLOOKUP(G35,プルダウン用リスト!$K$1:$M$16,2,FALSE))</f>
        <v/>
      </c>
      <c r="G35" s="70"/>
      <c r="H35" s="58"/>
      <c r="I35" s="70"/>
      <c r="J35" s="135"/>
      <c r="K35" s="136"/>
      <c r="L35" s="71"/>
      <c r="M35" s="72"/>
      <c r="N35" s="72"/>
      <c r="O35" s="264" t="str">
        <f t="shared" si="3"/>
        <v/>
      </c>
      <c r="P35" s="230">
        <f t="shared" si="4"/>
        <v>0</v>
      </c>
      <c r="Q35" s="231" t="str">
        <f t="shared" si="2"/>
        <v>×</v>
      </c>
      <c r="R35" s="231" t="str">
        <f t="shared" si="5"/>
        <v>×</v>
      </c>
      <c r="S35" s="232" t="str">
        <f t="shared" si="6"/>
        <v/>
      </c>
    </row>
    <row r="36" spans="2:19">
      <c r="B36" s="68"/>
      <c r="C36" s="57"/>
      <c r="D36" s="259" t="str">
        <f t="shared" si="0"/>
        <v/>
      </c>
      <c r="E36" s="260" t="str">
        <f t="shared" si="1"/>
        <v/>
      </c>
      <c r="F36" s="271" t="str">
        <f>IF(G36="","",VLOOKUP(G36,プルダウン用リスト!$K$1:$M$16,2,FALSE))</f>
        <v/>
      </c>
      <c r="G36" s="70"/>
      <c r="H36" s="70"/>
      <c r="I36" s="70"/>
      <c r="J36" s="135"/>
      <c r="K36" s="136"/>
      <c r="L36" s="71"/>
      <c r="M36" s="72"/>
      <c r="N36" s="72"/>
      <c r="O36" s="264" t="str">
        <f t="shared" si="3"/>
        <v/>
      </c>
      <c r="P36" s="230">
        <f t="shared" si="4"/>
        <v>0</v>
      </c>
      <c r="Q36" s="231" t="str">
        <f t="shared" si="2"/>
        <v>×</v>
      </c>
      <c r="R36" s="231" t="str">
        <f t="shared" si="5"/>
        <v>×</v>
      </c>
      <c r="S36" s="232" t="str">
        <f t="shared" si="6"/>
        <v/>
      </c>
    </row>
    <row r="37" spans="2:19">
      <c r="B37" s="68"/>
      <c r="C37" s="57"/>
      <c r="D37" s="259" t="str">
        <f t="shared" si="0"/>
        <v/>
      </c>
      <c r="E37" s="260" t="str">
        <f t="shared" si="1"/>
        <v/>
      </c>
      <c r="F37" s="271" t="str">
        <f>IF(G37="","",VLOOKUP(G37,プルダウン用リスト!$K$1:$M$16,2,FALSE))</f>
        <v/>
      </c>
      <c r="G37" s="70"/>
      <c r="H37" s="58"/>
      <c r="I37" s="70"/>
      <c r="J37" s="135"/>
      <c r="K37" s="136"/>
      <c r="L37" s="71"/>
      <c r="M37" s="72"/>
      <c r="N37" s="72"/>
      <c r="O37" s="264" t="str">
        <f t="shared" si="3"/>
        <v/>
      </c>
      <c r="P37" s="230">
        <f t="shared" si="4"/>
        <v>0</v>
      </c>
      <c r="Q37" s="231" t="str">
        <f t="shared" si="2"/>
        <v>×</v>
      </c>
      <c r="R37" s="231" t="str">
        <f t="shared" si="5"/>
        <v>×</v>
      </c>
      <c r="S37" s="232" t="str">
        <f t="shared" si="6"/>
        <v/>
      </c>
    </row>
    <row r="38" spans="2:19">
      <c r="B38" s="68"/>
      <c r="C38" s="57"/>
      <c r="D38" s="259" t="str">
        <f t="shared" si="0"/>
        <v/>
      </c>
      <c r="E38" s="260" t="str">
        <f t="shared" si="1"/>
        <v/>
      </c>
      <c r="F38" s="271" t="str">
        <f>IF(G38="","",VLOOKUP(G38,プルダウン用リスト!$K$1:$M$16,2,FALSE))</f>
        <v/>
      </c>
      <c r="G38" s="70"/>
      <c r="H38" s="58"/>
      <c r="I38" s="70"/>
      <c r="J38" s="135"/>
      <c r="K38" s="136"/>
      <c r="L38" s="71"/>
      <c r="M38" s="72"/>
      <c r="N38" s="72"/>
      <c r="O38" s="264" t="str">
        <f t="shared" si="3"/>
        <v/>
      </c>
      <c r="P38" s="230">
        <f t="shared" si="4"/>
        <v>0</v>
      </c>
      <c r="Q38" s="231" t="str">
        <f t="shared" si="2"/>
        <v>×</v>
      </c>
      <c r="R38" s="231" t="str">
        <f t="shared" si="5"/>
        <v>×</v>
      </c>
      <c r="S38" s="232" t="str">
        <f t="shared" si="6"/>
        <v/>
      </c>
    </row>
    <row r="39" spans="2:19">
      <c r="B39" s="68"/>
      <c r="C39" s="57"/>
      <c r="D39" s="259" t="str">
        <f t="shared" si="0"/>
        <v/>
      </c>
      <c r="E39" s="260" t="str">
        <f t="shared" si="1"/>
        <v/>
      </c>
      <c r="F39" s="271" t="str">
        <f>IF(G39="","",VLOOKUP(G39,プルダウン用リスト!$K$1:$M$16,2,FALSE))</f>
        <v/>
      </c>
      <c r="G39" s="70"/>
      <c r="H39" s="70"/>
      <c r="I39" s="70"/>
      <c r="J39" s="135"/>
      <c r="K39" s="136"/>
      <c r="L39" s="71"/>
      <c r="M39" s="72"/>
      <c r="N39" s="72"/>
      <c r="O39" s="264" t="str">
        <f t="shared" si="3"/>
        <v/>
      </c>
      <c r="P39" s="230">
        <f t="shared" si="4"/>
        <v>0</v>
      </c>
      <c r="Q39" s="231" t="str">
        <f t="shared" si="2"/>
        <v>×</v>
      </c>
      <c r="R39" s="231" t="str">
        <f t="shared" si="5"/>
        <v>×</v>
      </c>
      <c r="S39" s="232" t="str">
        <f t="shared" si="6"/>
        <v/>
      </c>
    </row>
    <row r="40" spans="2:19">
      <c r="B40" s="68"/>
      <c r="C40" s="57"/>
      <c r="D40" s="259" t="str">
        <f t="shared" si="0"/>
        <v/>
      </c>
      <c r="E40" s="260" t="str">
        <f t="shared" si="1"/>
        <v/>
      </c>
      <c r="F40" s="271" t="str">
        <f>IF(G40="","",VLOOKUP(G40,プルダウン用リスト!$K$1:$M$16,2,FALSE))</f>
        <v/>
      </c>
      <c r="G40" s="70"/>
      <c r="H40" s="58"/>
      <c r="I40" s="70"/>
      <c r="J40" s="135"/>
      <c r="K40" s="136"/>
      <c r="L40" s="71"/>
      <c r="M40" s="72"/>
      <c r="N40" s="72"/>
      <c r="O40" s="264" t="str">
        <f t="shared" si="3"/>
        <v/>
      </c>
      <c r="P40" s="230">
        <f t="shared" si="4"/>
        <v>0</v>
      </c>
      <c r="Q40" s="231" t="str">
        <f t="shared" si="2"/>
        <v>×</v>
      </c>
      <c r="R40" s="231" t="str">
        <f t="shared" si="5"/>
        <v>×</v>
      </c>
      <c r="S40" s="232" t="str">
        <f t="shared" si="6"/>
        <v/>
      </c>
    </row>
    <row r="41" spans="2:19">
      <c r="B41" s="68"/>
      <c r="C41" s="57"/>
      <c r="D41" s="259" t="str">
        <f t="shared" si="0"/>
        <v/>
      </c>
      <c r="E41" s="260" t="str">
        <f t="shared" si="1"/>
        <v/>
      </c>
      <c r="F41" s="271" t="str">
        <f>IF(G41="","",VLOOKUP(G41,プルダウン用リスト!$K$1:$M$16,2,FALSE))</f>
        <v/>
      </c>
      <c r="G41" s="70"/>
      <c r="H41" s="58"/>
      <c r="I41" s="70"/>
      <c r="J41" s="135"/>
      <c r="K41" s="136"/>
      <c r="L41" s="71"/>
      <c r="M41" s="72"/>
      <c r="N41" s="72"/>
      <c r="O41" s="264" t="str">
        <f t="shared" si="3"/>
        <v/>
      </c>
      <c r="P41" s="230">
        <f t="shared" si="4"/>
        <v>0</v>
      </c>
      <c r="Q41" s="231" t="str">
        <f t="shared" si="2"/>
        <v>×</v>
      </c>
      <c r="R41" s="231" t="str">
        <f t="shared" si="5"/>
        <v>×</v>
      </c>
      <c r="S41" s="232" t="str">
        <f t="shared" si="6"/>
        <v/>
      </c>
    </row>
    <row r="42" spans="2:19">
      <c r="B42" s="68"/>
      <c r="C42" s="69"/>
      <c r="D42" s="259" t="str">
        <f t="shared" si="0"/>
        <v/>
      </c>
      <c r="E42" s="260" t="str">
        <f t="shared" si="1"/>
        <v/>
      </c>
      <c r="F42" s="271" t="str">
        <f>IF(G42="","",VLOOKUP(G42,プルダウン用リスト!$K$1:$M$16,2,FALSE))</f>
        <v/>
      </c>
      <c r="G42" s="70"/>
      <c r="H42" s="70"/>
      <c r="I42" s="70"/>
      <c r="J42" s="135"/>
      <c r="K42" s="136"/>
      <c r="L42" s="71"/>
      <c r="M42" s="72"/>
      <c r="N42" s="72"/>
      <c r="O42" s="264" t="str">
        <f t="shared" si="3"/>
        <v/>
      </c>
      <c r="P42" s="230">
        <f t="shared" si="4"/>
        <v>0</v>
      </c>
      <c r="Q42" s="231" t="str">
        <f t="shared" si="2"/>
        <v>×</v>
      </c>
      <c r="R42" s="231" t="str">
        <f t="shared" si="5"/>
        <v>×</v>
      </c>
      <c r="S42" s="232" t="str">
        <f t="shared" si="6"/>
        <v/>
      </c>
    </row>
    <row r="43" spans="2:19">
      <c r="B43" s="68"/>
      <c r="C43" s="57"/>
      <c r="D43" s="259" t="str">
        <f t="shared" si="0"/>
        <v/>
      </c>
      <c r="E43" s="260" t="str">
        <f t="shared" si="1"/>
        <v/>
      </c>
      <c r="F43" s="271" t="str">
        <f>IF(G43="","",VLOOKUP(G43,プルダウン用リスト!$K$1:$M$16,2,FALSE))</f>
        <v/>
      </c>
      <c r="G43" s="70"/>
      <c r="H43" s="58"/>
      <c r="I43" s="70"/>
      <c r="J43" s="135"/>
      <c r="K43" s="136"/>
      <c r="L43" s="71"/>
      <c r="M43" s="72"/>
      <c r="N43" s="72"/>
      <c r="O43" s="264" t="str">
        <f t="shared" si="3"/>
        <v/>
      </c>
      <c r="P43" s="230">
        <f t="shared" si="4"/>
        <v>0</v>
      </c>
      <c r="Q43" s="231" t="str">
        <f t="shared" si="2"/>
        <v>×</v>
      </c>
      <c r="R43" s="231" t="str">
        <f t="shared" si="5"/>
        <v>×</v>
      </c>
      <c r="S43" s="232" t="str">
        <f t="shared" si="6"/>
        <v/>
      </c>
    </row>
    <row r="44" spans="2:19">
      <c r="B44" s="68"/>
      <c r="C44" s="57"/>
      <c r="D44" s="259" t="str">
        <f t="shared" si="0"/>
        <v/>
      </c>
      <c r="E44" s="260" t="str">
        <f t="shared" si="1"/>
        <v/>
      </c>
      <c r="F44" s="271" t="str">
        <f>IF(G44="","",VLOOKUP(G44,プルダウン用リスト!$K$1:$M$16,2,FALSE))</f>
        <v/>
      </c>
      <c r="G44" s="70"/>
      <c r="H44" s="58"/>
      <c r="I44" s="70"/>
      <c r="J44" s="135"/>
      <c r="K44" s="136"/>
      <c r="L44" s="71"/>
      <c r="M44" s="72"/>
      <c r="N44" s="72"/>
      <c r="O44" s="264" t="str">
        <f t="shared" si="3"/>
        <v/>
      </c>
      <c r="P44" s="230">
        <f t="shared" si="4"/>
        <v>0</v>
      </c>
      <c r="Q44" s="231" t="str">
        <f t="shared" si="2"/>
        <v>×</v>
      </c>
      <c r="R44" s="231" t="str">
        <f t="shared" si="5"/>
        <v>×</v>
      </c>
      <c r="S44" s="232" t="str">
        <f t="shared" si="6"/>
        <v/>
      </c>
    </row>
    <row r="45" spans="2:19">
      <c r="B45" s="68"/>
      <c r="C45" s="57"/>
      <c r="D45" s="259" t="str">
        <f t="shared" si="0"/>
        <v/>
      </c>
      <c r="E45" s="260" t="str">
        <f t="shared" si="1"/>
        <v/>
      </c>
      <c r="F45" s="271" t="str">
        <f>IF(G45="","",VLOOKUP(G45,プルダウン用リスト!$K$1:$M$16,2,FALSE))</f>
        <v/>
      </c>
      <c r="G45" s="70"/>
      <c r="H45" s="70"/>
      <c r="I45" s="70"/>
      <c r="J45" s="135"/>
      <c r="K45" s="136"/>
      <c r="L45" s="71"/>
      <c r="M45" s="72"/>
      <c r="N45" s="72"/>
      <c r="O45" s="264" t="str">
        <f t="shared" si="3"/>
        <v/>
      </c>
      <c r="P45" s="230">
        <f t="shared" si="4"/>
        <v>0</v>
      </c>
      <c r="Q45" s="231" t="str">
        <f t="shared" si="2"/>
        <v>×</v>
      </c>
      <c r="R45" s="231" t="str">
        <f t="shared" si="5"/>
        <v>×</v>
      </c>
      <c r="S45" s="232" t="str">
        <f t="shared" si="6"/>
        <v/>
      </c>
    </row>
    <row r="46" spans="2:19">
      <c r="B46" s="68"/>
      <c r="C46" s="57"/>
      <c r="D46" s="259" t="str">
        <f t="shared" si="0"/>
        <v/>
      </c>
      <c r="E46" s="260" t="str">
        <f t="shared" si="1"/>
        <v/>
      </c>
      <c r="F46" s="271" t="str">
        <f>IF(G46="","",VLOOKUP(G46,プルダウン用リスト!$K$1:$M$16,2,FALSE))</f>
        <v/>
      </c>
      <c r="G46" s="70"/>
      <c r="H46" s="58"/>
      <c r="I46" s="70"/>
      <c r="J46" s="135"/>
      <c r="K46" s="136"/>
      <c r="L46" s="71"/>
      <c r="M46" s="72"/>
      <c r="N46" s="72"/>
      <c r="O46" s="264" t="str">
        <f t="shared" si="3"/>
        <v/>
      </c>
      <c r="P46" s="230">
        <f t="shared" si="4"/>
        <v>0</v>
      </c>
      <c r="Q46" s="231" t="str">
        <f t="shared" si="2"/>
        <v>×</v>
      </c>
      <c r="R46" s="231" t="str">
        <f t="shared" si="5"/>
        <v>×</v>
      </c>
      <c r="S46" s="232" t="str">
        <f t="shared" si="6"/>
        <v/>
      </c>
    </row>
    <row r="47" spans="2:19">
      <c r="B47" s="68"/>
      <c r="C47" s="57"/>
      <c r="D47" s="259" t="str">
        <f t="shared" si="0"/>
        <v/>
      </c>
      <c r="E47" s="260" t="str">
        <f t="shared" si="1"/>
        <v/>
      </c>
      <c r="F47" s="271" t="str">
        <f>IF(G47="","",VLOOKUP(G47,プルダウン用リスト!$K$1:$M$16,2,FALSE))</f>
        <v/>
      </c>
      <c r="G47" s="70"/>
      <c r="H47" s="58"/>
      <c r="I47" s="70"/>
      <c r="J47" s="135"/>
      <c r="K47" s="136"/>
      <c r="L47" s="71"/>
      <c r="M47" s="72"/>
      <c r="N47" s="72"/>
      <c r="O47" s="264" t="str">
        <f t="shared" si="3"/>
        <v/>
      </c>
      <c r="P47" s="230">
        <f t="shared" si="4"/>
        <v>0</v>
      </c>
      <c r="Q47" s="231" t="str">
        <f t="shared" si="2"/>
        <v>×</v>
      </c>
      <c r="R47" s="231" t="str">
        <f t="shared" si="5"/>
        <v>×</v>
      </c>
      <c r="S47" s="232" t="str">
        <f t="shared" si="6"/>
        <v/>
      </c>
    </row>
    <row r="48" spans="2:19">
      <c r="B48" s="68"/>
      <c r="C48" s="57"/>
      <c r="D48" s="259" t="str">
        <f t="shared" si="0"/>
        <v/>
      </c>
      <c r="E48" s="260" t="str">
        <f t="shared" si="1"/>
        <v/>
      </c>
      <c r="F48" s="271" t="str">
        <f>IF(G48="","",VLOOKUP(G48,プルダウン用リスト!$K$1:$M$16,2,FALSE))</f>
        <v/>
      </c>
      <c r="G48" s="70"/>
      <c r="H48" s="70"/>
      <c r="I48" s="70"/>
      <c r="J48" s="135"/>
      <c r="K48" s="136"/>
      <c r="L48" s="71"/>
      <c r="M48" s="72"/>
      <c r="N48" s="72"/>
      <c r="O48" s="264" t="str">
        <f t="shared" si="3"/>
        <v/>
      </c>
      <c r="P48" s="230">
        <f t="shared" si="4"/>
        <v>0</v>
      </c>
      <c r="Q48" s="231" t="str">
        <f t="shared" si="2"/>
        <v>×</v>
      </c>
      <c r="R48" s="231" t="str">
        <f t="shared" si="5"/>
        <v>×</v>
      </c>
      <c r="S48" s="232" t="str">
        <f t="shared" si="6"/>
        <v/>
      </c>
    </row>
    <row r="49" spans="2:19">
      <c r="B49" s="68"/>
      <c r="C49" s="57"/>
      <c r="D49" s="259" t="str">
        <f t="shared" si="0"/>
        <v/>
      </c>
      <c r="E49" s="260" t="str">
        <f t="shared" si="1"/>
        <v/>
      </c>
      <c r="F49" s="271" t="str">
        <f>IF(G49="","",VLOOKUP(G49,プルダウン用リスト!$K$1:$M$16,2,FALSE))</f>
        <v/>
      </c>
      <c r="G49" s="70"/>
      <c r="H49" s="58"/>
      <c r="I49" s="70"/>
      <c r="J49" s="135"/>
      <c r="K49" s="136"/>
      <c r="L49" s="71"/>
      <c r="M49" s="72"/>
      <c r="N49" s="72"/>
      <c r="O49" s="264" t="str">
        <f t="shared" si="3"/>
        <v/>
      </c>
      <c r="P49" s="230">
        <f t="shared" si="4"/>
        <v>0</v>
      </c>
      <c r="Q49" s="231" t="str">
        <f t="shared" si="2"/>
        <v>×</v>
      </c>
      <c r="R49" s="231" t="str">
        <f t="shared" si="5"/>
        <v>×</v>
      </c>
      <c r="S49" s="232" t="str">
        <f t="shared" si="6"/>
        <v/>
      </c>
    </row>
    <row r="50" spans="2:19">
      <c r="B50" s="68"/>
      <c r="C50" s="57"/>
      <c r="D50" s="259" t="str">
        <f t="shared" si="0"/>
        <v/>
      </c>
      <c r="E50" s="260" t="str">
        <f t="shared" si="1"/>
        <v/>
      </c>
      <c r="F50" s="271" t="str">
        <f>IF(G50="","",VLOOKUP(G50,プルダウン用リスト!$K$1:$M$16,2,FALSE))</f>
        <v/>
      </c>
      <c r="G50" s="70"/>
      <c r="H50" s="58"/>
      <c r="I50" s="70"/>
      <c r="J50" s="135"/>
      <c r="K50" s="136"/>
      <c r="L50" s="71"/>
      <c r="M50" s="72"/>
      <c r="N50" s="72"/>
      <c r="O50" s="264" t="str">
        <f t="shared" si="3"/>
        <v/>
      </c>
      <c r="P50" s="230">
        <f t="shared" si="4"/>
        <v>0</v>
      </c>
      <c r="Q50" s="231" t="str">
        <f t="shared" si="2"/>
        <v>×</v>
      </c>
      <c r="R50" s="231" t="str">
        <f t="shared" si="5"/>
        <v>×</v>
      </c>
      <c r="S50" s="232" t="str">
        <f t="shared" si="6"/>
        <v/>
      </c>
    </row>
    <row r="51" spans="2:19">
      <c r="B51" s="68"/>
      <c r="C51" s="57"/>
      <c r="D51" s="259" t="str">
        <f t="shared" si="0"/>
        <v/>
      </c>
      <c r="E51" s="260" t="str">
        <f t="shared" si="1"/>
        <v/>
      </c>
      <c r="F51" s="271" t="str">
        <f>IF(G51="","",VLOOKUP(G51,プルダウン用リスト!$K$1:$M$16,2,FALSE))</f>
        <v/>
      </c>
      <c r="G51" s="70"/>
      <c r="H51" s="70"/>
      <c r="I51" s="70"/>
      <c r="J51" s="135"/>
      <c r="K51" s="136"/>
      <c r="L51" s="71"/>
      <c r="M51" s="72"/>
      <c r="N51" s="72"/>
      <c r="O51" s="264" t="str">
        <f t="shared" si="3"/>
        <v/>
      </c>
      <c r="P51" s="230">
        <f t="shared" si="4"/>
        <v>0</v>
      </c>
      <c r="Q51" s="231" t="str">
        <f t="shared" si="2"/>
        <v>×</v>
      </c>
      <c r="R51" s="231" t="str">
        <f t="shared" si="5"/>
        <v>×</v>
      </c>
      <c r="S51" s="232" t="str">
        <f t="shared" si="6"/>
        <v/>
      </c>
    </row>
    <row r="52" spans="2:19">
      <c r="B52" s="68"/>
      <c r="C52" s="57"/>
      <c r="D52" s="259" t="str">
        <f t="shared" si="0"/>
        <v/>
      </c>
      <c r="E52" s="260" t="str">
        <f t="shared" si="1"/>
        <v/>
      </c>
      <c r="F52" s="271" t="str">
        <f>IF(G52="","",VLOOKUP(G52,プルダウン用リスト!$K$1:$M$16,2,FALSE))</f>
        <v/>
      </c>
      <c r="G52" s="70"/>
      <c r="H52" s="58"/>
      <c r="I52" s="70"/>
      <c r="J52" s="135"/>
      <c r="K52" s="136"/>
      <c r="L52" s="71"/>
      <c r="M52" s="72"/>
      <c r="N52" s="72"/>
      <c r="O52" s="264" t="str">
        <f t="shared" si="3"/>
        <v/>
      </c>
      <c r="P52" s="230">
        <f t="shared" si="4"/>
        <v>0</v>
      </c>
      <c r="Q52" s="231" t="str">
        <f t="shared" si="2"/>
        <v>×</v>
      </c>
      <c r="R52" s="231" t="str">
        <f t="shared" si="5"/>
        <v>×</v>
      </c>
      <c r="S52" s="232" t="str">
        <f t="shared" si="6"/>
        <v/>
      </c>
    </row>
    <row r="53" spans="2:19">
      <c r="B53" s="68"/>
      <c r="C53" s="57"/>
      <c r="D53" s="259" t="str">
        <f t="shared" si="0"/>
        <v/>
      </c>
      <c r="E53" s="260" t="str">
        <f t="shared" si="1"/>
        <v/>
      </c>
      <c r="F53" s="271" t="str">
        <f>IF(G53="","",VLOOKUP(G53,プルダウン用リスト!$K$1:$M$16,2,FALSE))</f>
        <v/>
      </c>
      <c r="G53" s="70"/>
      <c r="H53" s="58"/>
      <c r="I53" s="70"/>
      <c r="J53" s="135"/>
      <c r="K53" s="136"/>
      <c r="L53" s="71"/>
      <c r="M53" s="72"/>
      <c r="N53" s="72"/>
      <c r="O53" s="264" t="str">
        <f t="shared" si="3"/>
        <v/>
      </c>
      <c r="P53" s="230">
        <f t="shared" si="4"/>
        <v>0</v>
      </c>
      <c r="Q53" s="231" t="str">
        <f t="shared" si="2"/>
        <v>×</v>
      </c>
      <c r="R53" s="231" t="str">
        <f t="shared" si="5"/>
        <v>×</v>
      </c>
      <c r="S53" s="232" t="str">
        <f t="shared" si="6"/>
        <v/>
      </c>
    </row>
    <row r="54" spans="2:19">
      <c r="B54" s="68"/>
      <c r="C54" s="69"/>
      <c r="D54" s="259" t="str">
        <f t="shared" si="0"/>
        <v/>
      </c>
      <c r="E54" s="260" t="str">
        <f t="shared" si="1"/>
        <v/>
      </c>
      <c r="F54" s="271" t="str">
        <f>IF(G54="","",VLOOKUP(G54,プルダウン用リスト!$K$1:$M$16,2,FALSE))</f>
        <v/>
      </c>
      <c r="G54" s="70"/>
      <c r="H54" s="70"/>
      <c r="I54" s="70"/>
      <c r="J54" s="135"/>
      <c r="K54" s="136"/>
      <c r="L54" s="71"/>
      <c r="M54" s="72"/>
      <c r="N54" s="72"/>
      <c r="O54" s="264" t="str">
        <f t="shared" si="3"/>
        <v/>
      </c>
      <c r="P54" s="230">
        <f t="shared" si="4"/>
        <v>0</v>
      </c>
      <c r="Q54" s="231" t="str">
        <f t="shared" si="2"/>
        <v>×</v>
      </c>
      <c r="R54" s="231" t="str">
        <f t="shared" si="5"/>
        <v>×</v>
      </c>
      <c r="S54" s="232" t="str">
        <f t="shared" si="6"/>
        <v/>
      </c>
    </row>
    <row r="55" spans="2:19">
      <c r="B55" s="68"/>
      <c r="C55" s="57"/>
      <c r="D55" s="259" t="str">
        <f t="shared" si="0"/>
        <v/>
      </c>
      <c r="E55" s="260" t="str">
        <f t="shared" si="1"/>
        <v/>
      </c>
      <c r="F55" s="271" t="str">
        <f>IF(G55="","",VLOOKUP(G55,プルダウン用リスト!$K$1:$M$16,2,FALSE))</f>
        <v/>
      </c>
      <c r="G55" s="70"/>
      <c r="H55" s="58"/>
      <c r="I55" s="70"/>
      <c r="J55" s="135"/>
      <c r="K55" s="136"/>
      <c r="L55" s="71"/>
      <c r="M55" s="72"/>
      <c r="N55" s="72"/>
      <c r="O55" s="264" t="str">
        <f t="shared" si="3"/>
        <v/>
      </c>
      <c r="P55" s="230">
        <f t="shared" si="4"/>
        <v>0</v>
      </c>
      <c r="Q55" s="231" t="str">
        <f t="shared" si="2"/>
        <v>×</v>
      </c>
      <c r="R55" s="231" t="str">
        <f t="shared" si="5"/>
        <v>×</v>
      </c>
      <c r="S55" s="232" t="str">
        <f t="shared" si="6"/>
        <v/>
      </c>
    </row>
    <row r="56" spans="2:19">
      <c r="B56" s="68"/>
      <c r="C56" s="57"/>
      <c r="D56" s="259" t="str">
        <f t="shared" si="0"/>
        <v/>
      </c>
      <c r="E56" s="260" t="str">
        <f t="shared" si="1"/>
        <v/>
      </c>
      <c r="F56" s="271" t="str">
        <f>IF(G56="","",VLOOKUP(G56,プルダウン用リスト!$K$1:$M$16,2,FALSE))</f>
        <v/>
      </c>
      <c r="G56" s="70"/>
      <c r="H56" s="58"/>
      <c r="I56" s="70"/>
      <c r="J56" s="135"/>
      <c r="K56" s="136"/>
      <c r="L56" s="71"/>
      <c r="M56" s="72"/>
      <c r="N56" s="72"/>
      <c r="O56" s="264" t="str">
        <f t="shared" si="3"/>
        <v/>
      </c>
      <c r="P56" s="230">
        <f t="shared" si="4"/>
        <v>0</v>
      </c>
      <c r="Q56" s="231" t="str">
        <f t="shared" si="2"/>
        <v>×</v>
      </c>
      <c r="R56" s="231" t="str">
        <f t="shared" si="5"/>
        <v>×</v>
      </c>
      <c r="S56" s="232" t="str">
        <f t="shared" si="6"/>
        <v/>
      </c>
    </row>
    <row r="57" spans="2:19">
      <c r="B57" s="68"/>
      <c r="C57" s="57"/>
      <c r="D57" s="259" t="str">
        <f t="shared" si="0"/>
        <v/>
      </c>
      <c r="E57" s="260" t="str">
        <f t="shared" si="1"/>
        <v/>
      </c>
      <c r="F57" s="271" t="str">
        <f>IF(G57="","",VLOOKUP(G57,プルダウン用リスト!$K$1:$M$16,2,FALSE))</f>
        <v/>
      </c>
      <c r="G57" s="70"/>
      <c r="H57" s="70"/>
      <c r="I57" s="70"/>
      <c r="J57" s="135"/>
      <c r="K57" s="136"/>
      <c r="L57" s="71"/>
      <c r="M57" s="72"/>
      <c r="N57" s="72"/>
      <c r="O57" s="264" t="str">
        <f t="shared" si="3"/>
        <v/>
      </c>
      <c r="P57" s="230">
        <f t="shared" si="4"/>
        <v>0</v>
      </c>
      <c r="Q57" s="231" t="str">
        <f t="shared" si="2"/>
        <v>×</v>
      </c>
      <c r="R57" s="231" t="str">
        <f t="shared" si="5"/>
        <v>×</v>
      </c>
      <c r="S57" s="232" t="str">
        <f t="shared" si="6"/>
        <v/>
      </c>
    </row>
    <row r="58" spans="2:19">
      <c r="B58" s="68"/>
      <c r="C58" s="57"/>
      <c r="D58" s="259" t="str">
        <f t="shared" si="0"/>
        <v/>
      </c>
      <c r="E58" s="260" t="str">
        <f t="shared" si="1"/>
        <v/>
      </c>
      <c r="F58" s="271" t="str">
        <f>IF(G58="","",VLOOKUP(G58,プルダウン用リスト!$K$1:$M$16,2,FALSE))</f>
        <v/>
      </c>
      <c r="G58" s="70"/>
      <c r="H58" s="58"/>
      <c r="I58" s="70"/>
      <c r="J58" s="135"/>
      <c r="K58" s="136"/>
      <c r="L58" s="71"/>
      <c r="M58" s="72"/>
      <c r="N58" s="72"/>
      <c r="O58" s="264" t="str">
        <f t="shared" si="3"/>
        <v/>
      </c>
      <c r="P58" s="230">
        <f t="shared" si="4"/>
        <v>0</v>
      </c>
      <c r="Q58" s="231" t="str">
        <f t="shared" si="2"/>
        <v>×</v>
      </c>
      <c r="R58" s="231" t="str">
        <f t="shared" si="5"/>
        <v>×</v>
      </c>
      <c r="S58" s="232" t="str">
        <f t="shared" si="6"/>
        <v/>
      </c>
    </row>
    <row r="59" spans="2:19">
      <c r="B59" s="68"/>
      <c r="C59" s="57"/>
      <c r="D59" s="259" t="str">
        <f t="shared" si="0"/>
        <v/>
      </c>
      <c r="E59" s="260" t="str">
        <f t="shared" si="1"/>
        <v/>
      </c>
      <c r="F59" s="271" t="str">
        <f>IF(G59="","",VLOOKUP(G59,プルダウン用リスト!$K$1:$M$16,2,FALSE))</f>
        <v/>
      </c>
      <c r="G59" s="70"/>
      <c r="H59" s="58"/>
      <c r="I59" s="70"/>
      <c r="J59" s="135"/>
      <c r="K59" s="136"/>
      <c r="L59" s="71"/>
      <c r="M59" s="72"/>
      <c r="N59" s="72"/>
      <c r="O59" s="264" t="str">
        <f t="shared" si="3"/>
        <v/>
      </c>
      <c r="P59" s="230">
        <f t="shared" si="4"/>
        <v>0</v>
      </c>
      <c r="Q59" s="231" t="str">
        <f t="shared" si="2"/>
        <v>×</v>
      </c>
      <c r="R59" s="231" t="str">
        <f t="shared" si="5"/>
        <v>×</v>
      </c>
      <c r="S59" s="232" t="str">
        <f t="shared" si="6"/>
        <v/>
      </c>
    </row>
    <row r="60" spans="2:19">
      <c r="B60" s="68"/>
      <c r="C60" s="57"/>
      <c r="D60" s="259" t="str">
        <f t="shared" si="0"/>
        <v/>
      </c>
      <c r="E60" s="260" t="str">
        <f t="shared" si="1"/>
        <v/>
      </c>
      <c r="F60" s="271" t="str">
        <f>IF(G60="","",VLOOKUP(G60,プルダウン用リスト!$K$1:$M$16,2,FALSE))</f>
        <v/>
      </c>
      <c r="G60" s="70"/>
      <c r="H60" s="70"/>
      <c r="I60" s="70"/>
      <c r="J60" s="135"/>
      <c r="K60" s="136"/>
      <c r="L60" s="71"/>
      <c r="M60" s="72"/>
      <c r="N60" s="72"/>
      <c r="O60" s="264" t="str">
        <f t="shared" si="3"/>
        <v/>
      </c>
      <c r="P60" s="230">
        <f t="shared" si="4"/>
        <v>0</v>
      </c>
      <c r="Q60" s="231" t="str">
        <f t="shared" si="2"/>
        <v>×</v>
      </c>
      <c r="R60" s="231" t="str">
        <f t="shared" si="5"/>
        <v>×</v>
      </c>
      <c r="S60" s="232" t="str">
        <f t="shared" si="6"/>
        <v/>
      </c>
    </row>
    <row r="61" spans="2:19">
      <c r="B61" s="68"/>
      <c r="C61" s="57"/>
      <c r="D61" s="259" t="str">
        <f t="shared" si="0"/>
        <v/>
      </c>
      <c r="E61" s="260" t="str">
        <f t="shared" si="1"/>
        <v/>
      </c>
      <c r="F61" s="271" t="str">
        <f>IF(G61="","",VLOOKUP(G61,プルダウン用リスト!$K$1:$M$16,2,FALSE))</f>
        <v/>
      </c>
      <c r="G61" s="70"/>
      <c r="H61" s="58"/>
      <c r="I61" s="70"/>
      <c r="J61" s="135"/>
      <c r="K61" s="136"/>
      <c r="L61" s="71"/>
      <c r="M61" s="72"/>
      <c r="N61" s="72"/>
      <c r="O61" s="264" t="str">
        <f t="shared" si="3"/>
        <v/>
      </c>
      <c r="P61" s="230">
        <f t="shared" si="4"/>
        <v>0</v>
      </c>
      <c r="Q61" s="231" t="str">
        <f t="shared" si="2"/>
        <v>×</v>
      </c>
      <c r="R61" s="231" t="str">
        <f t="shared" si="5"/>
        <v>×</v>
      </c>
      <c r="S61" s="232" t="str">
        <f t="shared" si="6"/>
        <v/>
      </c>
    </row>
    <row r="62" spans="2:19">
      <c r="B62" s="68"/>
      <c r="C62" s="57"/>
      <c r="D62" s="259" t="str">
        <f t="shared" si="0"/>
        <v/>
      </c>
      <c r="E62" s="260" t="str">
        <f t="shared" si="1"/>
        <v/>
      </c>
      <c r="F62" s="271" t="str">
        <f>IF(G62="","",VLOOKUP(G62,プルダウン用リスト!$K$1:$M$16,2,FALSE))</f>
        <v/>
      </c>
      <c r="G62" s="70"/>
      <c r="H62" s="58"/>
      <c r="I62" s="70"/>
      <c r="J62" s="135"/>
      <c r="K62" s="136"/>
      <c r="L62" s="71"/>
      <c r="M62" s="72"/>
      <c r="N62" s="72"/>
      <c r="O62" s="264" t="str">
        <f t="shared" si="3"/>
        <v/>
      </c>
      <c r="P62" s="230">
        <f t="shared" si="4"/>
        <v>0</v>
      </c>
      <c r="Q62" s="231" t="str">
        <f t="shared" si="2"/>
        <v>×</v>
      </c>
      <c r="R62" s="231" t="str">
        <f t="shared" si="5"/>
        <v>×</v>
      </c>
      <c r="S62" s="232" t="str">
        <f t="shared" si="6"/>
        <v/>
      </c>
    </row>
    <row r="63" spans="2:19">
      <c r="B63" s="68"/>
      <c r="C63" s="57"/>
      <c r="D63" s="259" t="str">
        <f t="shared" si="0"/>
        <v/>
      </c>
      <c r="E63" s="260" t="str">
        <f t="shared" si="1"/>
        <v/>
      </c>
      <c r="F63" s="271" t="str">
        <f>IF(G63="","",VLOOKUP(G63,プルダウン用リスト!$K$1:$M$16,2,FALSE))</f>
        <v/>
      </c>
      <c r="G63" s="70"/>
      <c r="H63" s="70"/>
      <c r="I63" s="70"/>
      <c r="J63" s="135"/>
      <c r="K63" s="136"/>
      <c r="L63" s="71"/>
      <c r="M63" s="72"/>
      <c r="N63" s="72"/>
      <c r="O63" s="264" t="str">
        <f t="shared" si="3"/>
        <v/>
      </c>
      <c r="P63" s="230">
        <f t="shared" si="4"/>
        <v>0</v>
      </c>
      <c r="Q63" s="231" t="str">
        <f t="shared" si="2"/>
        <v>×</v>
      </c>
      <c r="R63" s="231" t="str">
        <f t="shared" si="5"/>
        <v>×</v>
      </c>
      <c r="S63" s="232" t="str">
        <f t="shared" si="6"/>
        <v/>
      </c>
    </row>
    <row r="64" spans="2:19">
      <c r="B64" s="68"/>
      <c r="C64" s="57"/>
      <c r="D64" s="259" t="str">
        <f t="shared" si="0"/>
        <v/>
      </c>
      <c r="E64" s="260" t="str">
        <f t="shared" si="1"/>
        <v/>
      </c>
      <c r="F64" s="271" t="str">
        <f>IF(G64="","",VLOOKUP(G64,プルダウン用リスト!$K$1:$M$16,2,FALSE))</f>
        <v/>
      </c>
      <c r="G64" s="70"/>
      <c r="H64" s="58"/>
      <c r="I64" s="70"/>
      <c r="J64" s="135"/>
      <c r="K64" s="136"/>
      <c r="L64" s="71"/>
      <c r="M64" s="72"/>
      <c r="N64" s="72"/>
      <c r="O64" s="264" t="str">
        <f t="shared" si="3"/>
        <v/>
      </c>
      <c r="P64" s="230">
        <f t="shared" si="4"/>
        <v>0</v>
      </c>
      <c r="Q64" s="231" t="str">
        <f t="shared" si="2"/>
        <v>×</v>
      </c>
      <c r="R64" s="231" t="str">
        <f t="shared" si="5"/>
        <v>×</v>
      </c>
      <c r="S64" s="232" t="str">
        <f t="shared" si="6"/>
        <v/>
      </c>
    </row>
    <row r="65" spans="2:19">
      <c r="B65" s="68"/>
      <c r="C65" s="57"/>
      <c r="D65" s="259" t="str">
        <f t="shared" si="0"/>
        <v/>
      </c>
      <c r="E65" s="260" t="str">
        <f t="shared" si="1"/>
        <v/>
      </c>
      <c r="F65" s="271" t="str">
        <f>IF(G65="","",VLOOKUP(G65,プルダウン用リスト!$K$1:$M$16,2,FALSE))</f>
        <v/>
      </c>
      <c r="G65" s="70"/>
      <c r="H65" s="58"/>
      <c r="I65" s="70"/>
      <c r="J65" s="135"/>
      <c r="K65" s="136"/>
      <c r="L65" s="71"/>
      <c r="M65" s="72"/>
      <c r="N65" s="72"/>
      <c r="O65" s="264" t="str">
        <f t="shared" si="3"/>
        <v/>
      </c>
      <c r="P65" s="230">
        <f t="shared" si="4"/>
        <v>0</v>
      </c>
      <c r="Q65" s="231" t="str">
        <f t="shared" si="2"/>
        <v>×</v>
      </c>
      <c r="R65" s="231" t="str">
        <f t="shared" si="5"/>
        <v>×</v>
      </c>
      <c r="S65" s="232" t="str">
        <f t="shared" si="6"/>
        <v/>
      </c>
    </row>
    <row r="66" spans="2:19">
      <c r="B66" s="68"/>
      <c r="C66" s="69"/>
      <c r="D66" s="259" t="str">
        <f t="shared" si="0"/>
        <v/>
      </c>
      <c r="E66" s="260" t="str">
        <f t="shared" si="1"/>
        <v/>
      </c>
      <c r="F66" s="271" t="str">
        <f>IF(G66="","",VLOOKUP(G66,プルダウン用リスト!$K$1:$M$16,2,FALSE))</f>
        <v/>
      </c>
      <c r="G66" s="70"/>
      <c r="H66" s="70"/>
      <c r="I66" s="70"/>
      <c r="J66" s="135"/>
      <c r="K66" s="136"/>
      <c r="L66" s="71"/>
      <c r="M66" s="72"/>
      <c r="N66" s="72"/>
      <c r="O66" s="264" t="str">
        <f t="shared" si="3"/>
        <v/>
      </c>
      <c r="P66" s="230">
        <f t="shared" si="4"/>
        <v>0</v>
      </c>
      <c r="Q66" s="231" t="str">
        <f t="shared" si="2"/>
        <v>×</v>
      </c>
      <c r="R66" s="231" t="str">
        <f t="shared" si="5"/>
        <v>×</v>
      </c>
      <c r="S66" s="232" t="str">
        <f t="shared" si="6"/>
        <v/>
      </c>
    </row>
    <row r="67" spans="2:19">
      <c r="B67" s="68"/>
      <c r="C67" s="57"/>
      <c r="D67" s="259" t="str">
        <f t="shared" si="0"/>
        <v/>
      </c>
      <c r="E67" s="260" t="str">
        <f t="shared" si="1"/>
        <v/>
      </c>
      <c r="F67" s="271" t="str">
        <f>IF(G67="","",VLOOKUP(G67,プルダウン用リスト!$K$1:$M$16,2,FALSE))</f>
        <v/>
      </c>
      <c r="G67" s="70"/>
      <c r="H67" s="58"/>
      <c r="I67" s="70"/>
      <c r="J67" s="135"/>
      <c r="K67" s="136"/>
      <c r="L67" s="71"/>
      <c r="M67" s="72"/>
      <c r="N67" s="72"/>
      <c r="O67" s="264" t="str">
        <f t="shared" si="3"/>
        <v/>
      </c>
      <c r="P67" s="230">
        <f t="shared" si="4"/>
        <v>0</v>
      </c>
      <c r="Q67" s="231" t="str">
        <f t="shared" si="2"/>
        <v>×</v>
      </c>
      <c r="R67" s="231" t="str">
        <f t="shared" si="5"/>
        <v>×</v>
      </c>
      <c r="S67" s="232" t="str">
        <f t="shared" si="6"/>
        <v/>
      </c>
    </row>
    <row r="68" spans="2:19">
      <c r="B68" s="68"/>
      <c r="C68" s="57"/>
      <c r="D68" s="259" t="str">
        <f t="shared" si="0"/>
        <v/>
      </c>
      <c r="E68" s="260" t="str">
        <f t="shared" si="1"/>
        <v/>
      </c>
      <c r="F68" s="271" t="str">
        <f>IF(G68="","",VLOOKUP(G68,プルダウン用リスト!$K$1:$M$16,2,FALSE))</f>
        <v/>
      </c>
      <c r="G68" s="70"/>
      <c r="H68" s="58"/>
      <c r="I68" s="70"/>
      <c r="J68" s="135"/>
      <c r="K68" s="136"/>
      <c r="L68" s="71"/>
      <c r="M68" s="72"/>
      <c r="N68" s="72"/>
      <c r="O68" s="264" t="str">
        <f t="shared" si="3"/>
        <v/>
      </c>
      <c r="P68" s="230">
        <f t="shared" si="4"/>
        <v>0</v>
      </c>
      <c r="Q68" s="231" t="str">
        <f t="shared" si="2"/>
        <v>×</v>
      </c>
      <c r="R68" s="231" t="str">
        <f t="shared" si="5"/>
        <v>×</v>
      </c>
      <c r="S68" s="232" t="str">
        <f t="shared" si="6"/>
        <v/>
      </c>
    </row>
    <row r="69" spans="2:19">
      <c r="B69" s="68"/>
      <c r="C69" s="57"/>
      <c r="D69" s="259" t="str">
        <f t="shared" si="0"/>
        <v/>
      </c>
      <c r="E69" s="260" t="str">
        <f t="shared" si="1"/>
        <v/>
      </c>
      <c r="F69" s="271" t="str">
        <f>IF(G69="","",VLOOKUP(G69,プルダウン用リスト!$K$1:$M$16,2,FALSE))</f>
        <v/>
      </c>
      <c r="G69" s="70"/>
      <c r="H69" s="70"/>
      <c r="I69" s="70"/>
      <c r="J69" s="135"/>
      <c r="K69" s="136"/>
      <c r="L69" s="71"/>
      <c r="M69" s="72"/>
      <c r="N69" s="72"/>
      <c r="O69" s="264" t="str">
        <f t="shared" si="3"/>
        <v/>
      </c>
      <c r="P69" s="230">
        <f t="shared" si="4"/>
        <v>0</v>
      </c>
      <c r="Q69" s="231" t="str">
        <f t="shared" si="2"/>
        <v>×</v>
      </c>
      <c r="R69" s="231" t="str">
        <f t="shared" si="5"/>
        <v>×</v>
      </c>
      <c r="S69" s="232" t="str">
        <f t="shared" si="6"/>
        <v/>
      </c>
    </row>
    <row r="70" spans="2:19">
      <c r="B70" s="68"/>
      <c r="C70" s="57"/>
      <c r="D70" s="259" t="str">
        <f t="shared" si="0"/>
        <v/>
      </c>
      <c r="E70" s="260" t="str">
        <f t="shared" si="1"/>
        <v/>
      </c>
      <c r="F70" s="271" t="str">
        <f>IF(G70="","",VLOOKUP(G70,プルダウン用リスト!$K$1:$M$16,2,FALSE))</f>
        <v/>
      </c>
      <c r="G70" s="70"/>
      <c r="H70" s="58"/>
      <c r="I70" s="70"/>
      <c r="J70" s="135"/>
      <c r="K70" s="136"/>
      <c r="L70" s="71"/>
      <c r="M70" s="72"/>
      <c r="N70" s="72"/>
      <c r="O70" s="264" t="str">
        <f t="shared" si="3"/>
        <v/>
      </c>
      <c r="P70" s="230">
        <f t="shared" si="4"/>
        <v>0</v>
      </c>
      <c r="Q70" s="231" t="str">
        <f t="shared" ref="Q70:Q133" si="7">IF(G70="旅費","〇","×")</f>
        <v>×</v>
      </c>
      <c r="R70" s="231" t="str">
        <f t="shared" si="5"/>
        <v>×</v>
      </c>
      <c r="S70" s="232" t="str">
        <f t="shared" si="6"/>
        <v/>
      </c>
    </row>
    <row r="71" spans="2:19">
      <c r="B71" s="68"/>
      <c r="C71" s="57"/>
      <c r="D71" s="259" t="str">
        <f t="shared" ref="D71:D134" si="8">IF(E71="","",IF(E71="謝金","01.",IF(E71="旅費","02.",IF(E71="その他","04.","03."))))</f>
        <v/>
      </c>
      <c r="E71" s="260" t="str">
        <f t="shared" ref="E71:E134" si="9">IF(G71="","",IF(OR(G71="謝金（内部）",G71="謝金（外部）"),"謝金",IF(G71="旅費","旅費",IF(G71="対象外経費","その他","所費"))))</f>
        <v/>
      </c>
      <c r="F71" s="271" t="str">
        <f>IF(G71="","",VLOOKUP(G71,プルダウン用リスト!$K$1:$M$16,2,FALSE))</f>
        <v/>
      </c>
      <c r="G71" s="70"/>
      <c r="H71" s="58"/>
      <c r="I71" s="70"/>
      <c r="J71" s="135"/>
      <c r="K71" s="136"/>
      <c r="L71" s="71"/>
      <c r="M71" s="72"/>
      <c r="N71" s="72"/>
      <c r="O71" s="264" t="str">
        <f t="shared" ref="O71:O134" si="10">IF(G71="対象外経費",M71,IF(N71="","",M71-N71))</f>
        <v/>
      </c>
      <c r="P71" s="230">
        <f t="shared" si="4"/>
        <v>0</v>
      </c>
      <c r="Q71" s="231" t="str">
        <f t="shared" si="7"/>
        <v>×</v>
      </c>
      <c r="R71" s="231" t="str">
        <f t="shared" si="5"/>
        <v>×</v>
      </c>
      <c r="S71" s="232" t="str">
        <f t="shared" si="6"/>
        <v/>
      </c>
    </row>
    <row r="72" spans="2:19">
      <c r="B72" s="68"/>
      <c r="C72" s="57"/>
      <c r="D72" s="259" t="str">
        <f t="shared" si="8"/>
        <v/>
      </c>
      <c r="E72" s="260" t="str">
        <f t="shared" si="9"/>
        <v/>
      </c>
      <c r="F72" s="271" t="str">
        <f>IF(G72="","",VLOOKUP(G72,プルダウン用リスト!$K$1:$M$16,2,FALSE))</f>
        <v/>
      </c>
      <c r="G72" s="70"/>
      <c r="H72" s="70"/>
      <c r="I72" s="70"/>
      <c r="J72" s="135"/>
      <c r="K72" s="136"/>
      <c r="L72" s="71"/>
      <c r="M72" s="72"/>
      <c r="N72" s="72"/>
      <c r="O72" s="264" t="str">
        <f t="shared" si="10"/>
        <v/>
      </c>
      <c r="P72" s="230">
        <f t="shared" ref="P72:P135" si="11">COUNTA(B72,C72,G72,H72,I72,L72,M72,J72,K72,N72)</f>
        <v>0</v>
      </c>
      <c r="Q72" s="231" t="str">
        <f t="shared" si="7"/>
        <v>×</v>
      </c>
      <c r="R72" s="231" t="str">
        <f t="shared" si="5"/>
        <v>×</v>
      </c>
      <c r="S72" s="232" t="str">
        <f t="shared" si="6"/>
        <v/>
      </c>
    </row>
    <row r="73" spans="2:19">
      <c r="B73" s="68"/>
      <c r="C73" s="57"/>
      <c r="D73" s="259" t="str">
        <f t="shared" si="8"/>
        <v/>
      </c>
      <c r="E73" s="260" t="str">
        <f t="shared" si="9"/>
        <v/>
      </c>
      <c r="F73" s="271" t="str">
        <f>IF(G73="","",VLOOKUP(G73,プルダウン用リスト!$K$1:$M$16,2,FALSE))</f>
        <v/>
      </c>
      <c r="G73" s="70"/>
      <c r="H73" s="58"/>
      <c r="I73" s="70"/>
      <c r="J73" s="135"/>
      <c r="K73" s="136"/>
      <c r="L73" s="71"/>
      <c r="M73" s="72"/>
      <c r="N73" s="72"/>
      <c r="O73" s="264" t="str">
        <f t="shared" si="10"/>
        <v/>
      </c>
      <c r="P73" s="230">
        <f t="shared" si="11"/>
        <v>0</v>
      </c>
      <c r="Q73" s="231" t="str">
        <f t="shared" si="7"/>
        <v>×</v>
      </c>
      <c r="R73" s="231" t="str">
        <f t="shared" ref="R73:R136" si="12">IF(E73="謝金","〇","×")</f>
        <v>×</v>
      </c>
      <c r="S73" s="232" t="str">
        <f t="shared" ref="S73:S136" si="13">_xlfn.IFS(P73=0,"",AND(G73="対象外経費",P73=7),"OK",P73&lt;=7,"ピンク色のセルを全て入力してください",P73=9,"OK",Q73="〇","ピンク色のセルを全て入力してください",R73="〇","ピンク色のセルを全て入力してください",P73=8,"OK")</f>
        <v/>
      </c>
    </row>
    <row r="74" spans="2:19">
      <c r="B74" s="68"/>
      <c r="C74" s="57"/>
      <c r="D74" s="259" t="str">
        <f t="shared" si="8"/>
        <v/>
      </c>
      <c r="E74" s="260" t="str">
        <f t="shared" si="9"/>
        <v/>
      </c>
      <c r="F74" s="271" t="str">
        <f>IF(G74="","",VLOOKUP(G74,プルダウン用リスト!$K$1:$M$16,2,FALSE))</f>
        <v/>
      </c>
      <c r="G74" s="70"/>
      <c r="H74" s="58"/>
      <c r="I74" s="70"/>
      <c r="J74" s="135"/>
      <c r="K74" s="136"/>
      <c r="L74" s="71"/>
      <c r="M74" s="72"/>
      <c r="N74" s="72"/>
      <c r="O74" s="264" t="str">
        <f t="shared" si="10"/>
        <v/>
      </c>
      <c r="P74" s="230">
        <f t="shared" si="11"/>
        <v>0</v>
      </c>
      <c r="Q74" s="231" t="str">
        <f t="shared" si="7"/>
        <v>×</v>
      </c>
      <c r="R74" s="231" t="str">
        <f t="shared" si="12"/>
        <v>×</v>
      </c>
      <c r="S74" s="232" t="str">
        <f t="shared" si="13"/>
        <v/>
      </c>
    </row>
    <row r="75" spans="2:19">
      <c r="B75" s="68"/>
      <c r="C75" s="57"/>
      <c r="D75" s="259" t="str">
        <f t="shared" si="8"/>
        <v/>
      </c>
      <c r="E75" s="260" t="str">
        <f t="shared" si="9"/>
        <v/>
      </c>
      <c r="F75" s="271" t="str">
        <f>IF(G75="","",VLOOKUP(G75,プルダウン用リスト!$K$1:$M$16,2,FALSE))</f>
        <v/>
      </c>
      <c r="G75" s="70"/>
      <c r="H75" s="70"/>
      <c r="I75" s="70"/>
      <c r="J75" s="135"/>
      <c r="K75" s="136"/>
      <c r="L75" s="71"/>
      <c r="M75" s="72"/>
      <c r="N75" s="72"/>
      <c r="O75" s="264" t="str">
        <f t="shared" si="10"/>
        <v/>
      </c>
      <c r="P75" s="230">
        <f t="shared" si="11"/>
        <v>0</v>
      </c>
      <c r="Q75" s="231" t="str">
        <f t="shared" si="7"/>
        <v>×</v>
      </c>
      <c r="R75" s="231" t="str">
        <f t="shared" si="12"/>
        <v>×</v>
      </c>
      <c r="S75" s="232" t="str">
        <f t="shared" si="13"/>
        <v/>
      </c>
    </row>
    <row r="76" spans="2:19">
      <c r="B76" s="68"/>
      <c r="C76" s="57"/>
      <c r="D76" s="259" t="str">
        <f t="shared" si="8"/>
        <v/>
      </c>
      <c r="E76" s="260" t="str">
        <f t="shared" si="9"/>
        <v/>
      </c>
      <c r="F76" s="271" t="str">
        <f>IF(G76="","",VLOOKUP(G76,プルダウン用リスト!$K$1:$M$16,2,FALSE))</f>
        <v/>
      </c>
      <c r="G76" s="70"/>
      <c r="H76" s="58"/>
      <c r="I76" s="70"/>
      <c r="J76" s="135"/>
      <c r="K76" s="136"/>
      <c r="L76" s="71"/>
      <c r="M76" s="72"/>
      <c r="N76" s="72"/>
      <c r="O76" s="264" t="str">
        <f t="shared" si="10"/>
        <v/>
      </c>
      <c r="P76" s="230">
        <f t="shared" si="11"/>
        <v>0</v>
      </c>
      <c r="Q76" s="231" t="str">
        <f t="shared" si="7"/>
        <v>×</v>
      </c>
      <c r="R76" s="231" t="str">
        <f t="shared" si="12"/>
        <v>×</v>
      </c>
      <c r="S76" s="232" t="str">
        <f t="shared" si="13"/>
        <v/>
      </c>
    </row>
    <row r="77" spans="2:19">
      <c r="B77" s="68"/>
      <c r="C77" s="57"/>
      <c r="D77" s="259" t="str">
        <f t="shared" si="8"/>
        <v/>
      </c>
      <c r="E77" s="260" t="str">
        <f t="shared" si="9"/>
        <v/>
      </c>
      <c r="F77" s="271" t="str">
        <f>IF(G77="","",VLOOKUP(G77,プルダウン用リスト!$K$1:$M$16,2,FALSE))</f>
        <v/>
      </c>
      <c r="G77" s="70"/>
      <c r="H77" s="58"/>
      <c r="I77" s="70"/>
      <c r="J77" s="135"/>
      <c r="K77" s="136"/>
      <c r="L77" s="71"/>
      <c r="M77" s="72"/>
      <c r="N77" s="72"/>
      <c r="O77" s="264" t="str">
        <f t="shared" si="10"/>
        <v/>
      </c>
      <c r="P77" s="230">
        <f t="shared" si="11"/>
        <v>0</v>
      </c>
      <c r="Q77" s="231" t="str">
        <f t="shared" si="7"/>
        <v>×</v>
      </c>
      <c r="R77" s="231" t="str">
        <f t="shared" si="12"/>
        <v>×</v>
      </c>
      <c r="S77" s="232" t="str">
        <f t="shared" si="13"/>
        <v/>
      </c>
    </row>
    <row r="78" spans="2:19">
      <c r="B78" s="68"/>
      <c r="C78" s="69"/>
      <c r="D78" s="259" t="str">
        <f t="shared" si="8"/>
        <v/>
      </c>
      <c r="E78" s="260" t="str">
        <f t="shared" si="9"/>
        <v/>
      </c>
      <c r="F78" s="271" t="str">
        <f>IF(G78="","",VLOOKUP(G78,プルダウン用リスト!$K$1:$M$16,2,FALSE))</f>
        <v/>
      </c>
      <c r="G78" s="70"/>
      <c r="H78" s="70"/>
      <c r="I78" s="70"/>
      <c r="J78" s="135"/>
      <c r="K78" s="136"/>
      <c r="L78" s="71"/>
      <c r="M78" s="72"/>
      <c r="N78" s="72"/>
      <c r="O78" s="264" t="str">
        <f t="shared" si="10"/>
        <v/>
      </c>
      <c r="P78" s="230">
        <f t="shared" si="11"/>
        <v>0</v>
      </c>
      <c r="Q78" s="231" t="str">
        <f t="shared" si="7"/>
        <v>×</v>
      </c>
      <c r="R78" s="231" t="str">
        <f t="shared" si="12"/>
        <v>×</v>
      </c>
      <c r="S78" s="232" t="str">
        <f t="shared" si="13"/>
        <v/>
      </c>
    </row>
    <row r="79" spans="2:19">
      <c r="B79" s="68"/>
      <c r="C79" s="57"/>
      <c r="D79" s="259" t="str">
        <f t="shared" si="8"/>
        <v/>
      </c>
      <c r="E79" s="260" t="str">
        <f t="shared" si="9"/>
        <v/>
      </c>
      <c r="F79" s="271" t="str">
        <f>IF(G79="","",VLOOKUP(G79,プルダウン用リスト!$K$1:$M$16,2,FALSE))</f>
        <v/>
      </c>
      <c r="G79" s="70"/>
      <c r="H79" s="58"/>
      <c r="I79" s="70"/>
      <c r="J79" s="135"/>
      <c r="K79" s="136"/>
      <c r="L79" s="71"/>
      <c r="M79" s="72"/>
      <c r="N79" s="72"/>
      <c r="O79" s="264" t="str">
        <f t="shared" si="10"/>
        <v/>
      </c>
      <c r="P79" s="230">
        <f t="shared" si="11"/>
        <v>0</v>
      </c>
      <c r="Q79" s="231" t="str">
        <f t="shared" si="7"/>
        <v>×</v>
      </c>
      <c r="R79" s="231" t="str">
        <f t="shared" si="12"/>
        <v>×</v>
      </c>
      <c r="S79" s="232" t="str">
        <f t="shared" si="13"/>
        <v/>
      </c>
    </row>
    <row r="80" spans="2:19">
      <c r="B80" s="68"/>
      <c r="C80" s="57"/>
      <c r="D80" s="259" t="str">
        <f t="shared" si="8"/>
        <v/>
      </c>
      <c r="E80" s="260" t="str">
        <f t="shared" si="9"/>
        <v/>
      </c>
      <c r="F80" s="271" t="str">
        <f>IF(G80="","",VLOOKUP(G80,プルダウン用リスト!$K$1:$M$16,2,FALSE))</f>
        <v/>
      </c>
      <c r="G80" s="70"/>
      <c r="H80" s="58"/>
      <c r="I80" s="70"/>
      <c r="J80" s="135"/>
      <c r="K80" s="136"/>
      <c r="L80" s="71"/>
      <c r="M80" s="72"/>
      <c r="N80" s="72"/>
      <c r="O80" s="264" t="str">
        <f t="shared" si="10"/>
        <v/>
      </c>
      <c r="P80" s="230">
        <f t="shared" si="11"/>
        <v>0</v>
      </c>
      <c r="Q80" s="231" t="str">
        <f t="shared" si="7"/>
        <v>×</v>
      </c>
      <c r="R80" s="231" t="str">
        <f t="shared" si="12"/>
        <v>×</v>
      </c>
      <c r="S80" s="232" t="str">
        <f t="shared" si="13"/>
        <v/>
      </c>
    </row>
    <row r="81" spans="2:19">
      <c r="B81" s="68"/>
      <c r="C81" s="57"/>
      <c r="D81" s="259" t="str">
        <f t="shared" si="8"/>
        <v/>
      </c>
      <c r="E81" s="260" t="str">
        <f t="shared" si="9"/>
        <v/>
      </c>
      <c r="F81" s="271" t="str">
        <f>IF(G81="","",VLOOKUP(G81,プルダウン用リスト!$K$1:$M$16,2,FALSE))</f>
        <v/>
      </c>
      <c r="G81" s="70"/>
      <c r="H81" s="70"/>
      <c r="I81" s="70"/>
      <c r="J81" s="135"/>
      <c r="K81" s="136"/>
      <c r="L81" s="71"/>
      <c r="M81" s="72"/>
      <c r="N81" s="72"/>
      <c r="O81" s="264" t="str">
        <f t="shared" si="10"/>
        <v/>
      </c>
      <c r="P81" s="230">
        <f t="shared" si="11"/>
        <v>0</v>
      </c>
      <c r="Q81" s="231" t="str">
        <f t="shared" si="7"/>
        <v>×</v>
      </c>
      <c r="R81" s="231" t="str">
        <f t="shared" si="12"/>
        <v>×</v>
      </c>
      <c r="S81" s="232" t="str">
        <f t="shared" si="13"/>
        <v/>
      </c>
    </row>
    <row r="82" spans="2:19">
      <c r="B82" s="68"/>
      <c r="C82" s="57"/>
      <c r="D82" s="259" t="str">
        <f t="shared" si="8"/>
        <v/>
      </c>
      <c r="E82" s="260" t="str">
        <f t="shared" si="9"/>
        <v/>
      </c>
      <c r="F82" s="271" t="str">
        <f>IF(G82="","",VLOOKUP(G82,プルダウン用リスト!$K$1:$M$16,2,FALSE))</f>
        <v/>
      </c>
      <c r="G82" s="70"/>
      <c r="H82" s="58"/>
      <c r="I82" s="70"/>
      <c r="J82" s="135"/>
      <c r="K82" s="136"/>
      <c r="L82" s="71"/>
      <c r="M82" s="72"/>
      <c r="N82" s="72"/>
      <c r="O82" s="264" t="str">
        <f t="shared" si="10"/>
        <v/>
      </c>
      <c r="P82" s="230">
        <f t="shared" si="11"/>
        <v>0</v>
      </c>
      <c r="Q82" s="231" t="str">
        <f t="shared" si="7"/>
        <v>×</v>
      </c>
      <c r="R82" s="231" t="str">
        <f t="shared" si="12"/>
        <v>×</v>
      </c>
      <c r="S82" s="232" t="str">
        <f t="shared" si="13"/>
        <v/>
      </c>
    </row>
    <row r="83" spans="2:19">
      <c r="B83" s="68"/>
      <c r="C83" s="57"/>
      <c r="D83" s="259" t="str">
        <f t="shared" si="8"/>
        <v/>
      </c>
      <c r="E83" s="260" t="str">
        <f t="shared" si="9"/>
        <v/>
      </c>
      <c r="F83" s="271" t="str">
        <f>IF(G83="","",VLOOKUP(G83,プルダウン用リスト!$K$1:$M$16,2,FALSE))</f>
        <v/>
      </c>
      <c r="G83" s="70"/>
      <c r="H83" s="58"/>
      <c r="I83" s="70"/>
      <c r="J83" s="135"/>
      <c r="K83" s="136"/>
      <c r="L83" s="71"/>
      <c r="M83" s="72"/>
      <c r="N83" s="72"/>
      <c r="O83" s="264" t="str">
        <f t="shared" si="10"/>
        <v/>
      </c>
      <c r="P83" s="230">
        <f t="shared" si="11"/>
        <v>0</v>
      </c>
      <c r="Q83" s="231" t="str">
        <f t="shared" si="7"/>
        <v>×</v>
      </c>
      <c r="R83" s="231" t="str">
        <f t="shared" si="12"/>
        <v>×</v>
      </c>
      <c r="S83" s="232" t="str">
        <f t="shared" si="13"/>
        <v/>
      </c>
    </row>
    <row r="84" spans="2:19">
      <c r="B84" s="68"/>
      <c r="C84" s="57"/>
      <c r="D84" s="259" t="str">
        <f t="shared" si="8"/>
        <v/>
      </c>
      <c r="E84" s="260" t="str">
        <f t="shared" si="9"/>
        <v/>
      </c>
      <c r="F84" s="271" t="str">
        <f>IF(G84="","",VLOOKUP(G84,プルダウン用リスト!$K$1:$M$16,2,FALSE))</f>
        <v/>
      </c>
      <c r="G84" s="70"/>
      <c r="H84" s="70"/>
      <c r="I84" s="70"/>
      <c r="J84" s="135"/>
      <c r="K84" s="136"/>
      <c r="L84" s="71"/>
      <c r="M84" s="72"/>
      <c r="N84" s="72"/>
      <c r="O84" s="264" t="str">
        <f t="shared" si="10"/>
        <v/>
      </c>
      <c r="P84" s="230">
        <f t="shared" si="11"/>
        <v>0</v>
      </c>
      <c r="Q84" s="231" t="str">
        <f t="shared" si="7"/>
        <v>×</v>
      </c>
      <c r="R84" s="231" t="str">
        <f t="shared" si="12"/>
        <v>×</v>
      </c>
      <c r="S84" s="232" t="str">
        <f t="shared" si="13"/>
        <v/>
      </c>
    </row>
    <row r="85" spans="2:19">
      <c r="B85" s="68"/>
      <c r="C85" s="57"/>
      <c r="D85" s="259" t="str">
        <f t="shared" si="8"/>
        <v/>
      </c>
      <c r="E85" s="260" t="str">
        <f t="shared" si="9"/>
        <v/>
      </c>
      <c r="F85" s="271" t="str">
        <f>IF(G85="","",VLOOKUP(G85,プルダウン用リスト!$K$1:$M$16,2,FALSE))</f>
        <v/>
      </c>
      <c r="G85" s="70"/>
      <c r="H85" s="58"/>
      <c r="I85" s="70"/>
      <c r="J85" s="135"/>
      <c r="K85" s="136"/>
      <c r="L85" s="71"/>
      <c r="M85" s="72"/>
      <c r="N85" s="72"/>
      <c r="O85" s="264" t="str">
        <f t="shared" si="10"/>
        <v/>
      </c>
      <c r="P85" s="230">
        <f t="shared" si="11"/>
        <v>0</v>
      </c>
      <c r="Q85" s="231" t="str">
        <f t="shared" si="7"/>
        <v>×</v>
      </c>
      <c r="R85" s="231" t="str">
        <f t="shared" si="12"/>
        <v>×</v>
      </c>
      <c r="S85" s="232" t="str">
        <f t="shared" si="13"/>
        <v/>
      </c>
    </row>
    <row r="86" spans="2:19">
      <c r="B86" s="68"/>
      <c r="C86" s="57"/>
      <c r="D86" s="259" t="str">
        <f t="shared" si="8"/>
        <v/>
      </c>
      <c r="E86" s="260" t="str">
        <f t="shared" si="9"/>
        <v/>
      </c>
      <c r="F86" s="271" t="str">
        <f>IF(G86="","",VLOOKUP(G86,プルダウン用リスト!$K$1:$M$16,2,FALSE))</f>
        <v/>
      </c>
      <c r="G86" s="70"/>
      <c r="H86" s="58"/>
      <c r="I86" s="70"/>
      <c r="J86" s="135"/>
      <c r="K86" s="136"/>
      <c r="L86" s="71"/>
      <c r="M86" s="72"/>
      <c r="N86" s="72"/>
      <c r="O86" s="264" t="str">
        <f t="shared" si="10"/>
        <v/>
      </c>
      <c r="P86" s="230">
        <f t="shared" si="11"/>
        <v>0</v>
      </c>
      <c r="Q86" s="231" t="str">
        <f t="shared" si="7"/>
        <v>×</v>
      </c>
      <c r="R86" s="231" t="str">
        <f t="shared" si="12"/>
        <v>×</v>
      </c>
      <c r="S86" s="232" t="str">
        <f t="shared" si="13"/>
        <v/>
      </c>
    </row>
    <row r="87" spans="2:19">
      <c r="B87" s="68"/>
      <c r="C87" s="57"/>
      <c r="D87" s="259" t="str">
        <f t="shared" si="8"/>
        <v/>
      </c>
      <c r="E87" s="260" t="str">
        <f t="shared" si="9"/>
        <v/>
      </c>
      <c r="F87" s="271" t="str">
        <f>IF(G87="","",VLOOKUP(G87,プルダウン用リスト!$K$1:$M$16,2,FALSE))</f>
        <v/>
      </c>
      <c r="G87" s="70"/>
      <c r="H87" s="70"/>
      <c r="I87" s="70"/>
      <c r="J87" s="135"/>
      <c r="K87" s="136"/>
      <c r="L87" s="71"/>
      <c r="M87" s="72"/>
      <c r="N87" s="72"/>
      <c r="O87" s="264" t="str">
        <f t="shared" si="10"/>
        <v/>
      </c>
      <c r="P87" s="230">
        <f t="shared" si="11"/>
        <v>0</v>
      </c>
      <c r="Q87" s="231" t="str">
        <f t="shared" si="7"/>
        <v>×</v>
      </c>
      <c r="R87" s="231" t="str">
        <f t="shared" si="12"/>
        <v>×</v>
      </c>
      <c r="S87" s="232" t="str">
        <f t="shared" si="13"/>
        <v/>
      </c>
    </row>
    <row r="88" spans="2:19">
      <c r="B88" s="68"/>
      <c r="C88" s="57"/>
      <c r="D88" s="259" t="str">
        <f t="shared" si="8"/>
        <v/>
      </c>
      <c r="E88" s="260" t="str">
        <f t="shared" si="9"/>
        <v/>
      </c>
      <c r="F88" s="271" t="str">
        <f>IF(G88="","",VLOOKUP(G88,プルダウン用リスト!$K$1:$M$16,2,FALSE))</f>
        <v/>
      </c>
      <c r="G88" s="70"/>
      <c r="H88" s="58"/>
      <c r="I88" s="70"/>
      <c r="J88" s="135"/>
      <c r="K88" s="136"/>
      <c r="L88" s="71"/>
      <c r="M88" s="72"/>
      <c r="N88" s="72"/>
      <c r="O88" s="264" t="str">
        <f t="shared" si="10"/>
        <v/>
      </c>
      <c r="P88" s="230">
        <f t="shared" si="11"/>
        <v>0</v>
      </c>
      <c r="Q88" s="231" t="str">
        <f t="shared" si="7"/>
        <v>×</v>
      </c>
      <c r="R88" s="231" t="str">
        <f t="shared" si="12"/>
        <v>×</v>
      </c>
      <c r="S88" s="232" t="str">
        <f t="shared" si="13"/>
        <v/>
      </c>
    </row>
    <row r="89" spans="2:19">
      <c r="B89" s="68"/>
      <c r="C89" s="57"/>
      <c r="D89" s="259" t="str">
        <f t="shared" si="8"/>
        <v/>
      </c>
      <c r="E89" s="260" t="str">
        <f t="shared" si="9"/>
        <v/>
      </c>
      <c r="F89" s="271" t="str">
        <f>IF(G89="","",VLOOKUP(G89,プルダウン用リスト!$K$1:$M$16,2,FALSE))</f>
        <v/>
      </c>
      <c r="G89" s="70"/>
      <c r="H89" s="58"/>
      <c r="I89" s="70"/>
      <c r="J89" s="135"/>
      <c r="K89" s="136"/>
      <c r="L89" s="71"/>
      <c r="M89" s="72"/>
      <c r="N89" s="72"/>
      <c r="O89" s="264" t="str">
        <f t="shared" si="10"/>
        <v/>
      </c>
      <c r="P89" s="230">
        <f t="shared" si="11"/>
        <v>0</v>
      </c>
      <c r="Q89" s="231" t="str">
        <f t="shared" si="7"/>
        <v>×</v>
      </c>
      <c r="R89" s="231" t="str">
        <f t="shared" si="12"/>
        <v>×</v>
      </c>
      <c r="S89" s="232" t="str">
        <f t="shared" si="13"/>
        <v/>
      </c>
    </row>
    <row r="90" spans="2:19">
      <c r="B90" s="68"/>
      <c r="C90" s="69"/>
      <c r="D90" s="259" t="str">
        <f t="shared" si="8"/>
        <v/>
      </c>
      <c r="E90" s="260" t="str">
        <f t="shared" si="9"/>
        <v/>
      </c>
      <c r="F90" s="271" t="str">
        <f>IF(G90="","",VLOOKUP(G90,プルダウン用リスト!$K$1:$M$16,2,FALSE))</f>
        <v/>
      </c>
      <c r="G90" s="70"/>
      <c r="H90" s="70"/>
      <c r="I90" s="70"/>
      <c r="J90" s="135"/>
      <c r="K90" s="136"/>
      <c r="L90" s="71"/>
      <c r="M90" s="72"/>
      <c r="N90" s="72"/>
      <c r="O90" s="264" t="str">
        <f t="shared" si="10"/>
        <v/>
      </c>
      <c r="P90" s="230">
        <f t="shared" si="11"/>
        <v>0</v>
      </c>
      <c r="Q90" s="231" t="str">
        <f t="shared" si="7"/>
        <v>×</v>
      </c>
      <c r="R90" s="231" t="str">
        <f t="shared" si="12"/>
        <v>×</v>
      </c>
      <c r="S90" s="232" t="str">
        <f t="shared" si="13"/>
        <v/>
      </c>
    </row>
    <row r="91" spans="2:19">
      <c r="B91" s="68"/>
      <c r="C91" s="57"/>
      <c r="D91" s="259" t="str">
        <f t="shared" si="8"/>
        <v/>
      </c>
      <c r="E91" s="260" t="str">
        <f t="shared" si="9"/>
        <v/>
      </c>
      <c r="F91" s="271" t="str">
        <f>IF(G91="","",VLOOKUP(G91,プルダウン用リスト!$K$1:$M$16,2,FALSE))</f>
        <v/>
      </c>
      <c r="G91" s="70"/>
      <c r="H91" s="58"/>
      <c r="I91" s="70"/>
      <c r="J91" s="135"/>
      <c r="K91" s="136"/>
      <c r="L91" s="71"/>
      <c r="M91" s="72"/>
      <c r="N91" s="72"/>
      <c r="O91" s="264" t="str">
        <f t="shared" si="10"/>
        <v/>
      </c>
      <c r="P91" s="230">
        <f t="shared" si="11"/>
        <v>0</v>
      </c>
      <c r="Q91" s="231" t="str">
        <f t="shared" si="7"/>
        <v>×</v>
      </c>
      <c r="R91" s="231" t="str">
        <f t="shared" si="12"/>
        <v>×</v>
      </c>
      <c r="S91" s="232" t="str">
        <f t="shared" si="13"/>
        <v/>
      </c>
    </row>
    <row r="92" spans="2:19">
      <c r="B92" s="68"/>
      <c r="C92" s="57"/>
      <c r="D92" s="259" t="str">
        <f t="shared" si="8"/>
        <v/>
      </c>
      <c r="E92" s="260" t="str">
        <f t="shared" si="9"/>
        <v/>
      </c>
      <c r="F92" s="271" t="str">
        <f>IF(G92="","",VLOOKUP(G92,プルダウン用リスト!$K$1:$M$16,2,FALSE))</f>
        <v/>
      </c>
      <c r="G92" s="70"/>
      <c r="H92" s="58"/>
      <c r="I92" s="70"/>
      <c r="J92" s="135"/>
      <c r="K92" s="136"/>
      <c r="L92" s="71"/>
      <c r="M92" s="72"/>
      <c r="N92" s="72"/>
      <c r="O92" s="264" t="str">
        <f t="shared" si="10"/>
        <v/>
      </c>
      <c r="P92" s="230">
        <f t="shared" si="11"/>
        <v>0</v>
      </c>
      <c r="Q92" s="231" t="str">
        <f t="shared" si="7"/>
        <v>×</v>
      </c>
      <c r="R92" s="231" t="str">
        <f t="shared" si="12"/>
        <v>×</v>
      </c>
      <c r="S92" s="232" t="str">
        <f t="shared" si="13"/>
        <v/>
      </c>
    </row>
    <row r="93" spans="2:19">
      <c r="B93" s="68"/>
      <c r="C93" s="57"/>
      <c r="D93" s="259" t="str">
        <f t="shared" si="8"/>
        <v/>
      </c>
      <c r="E93" s="260" t="str">
        <f t="shared" si="9"/>
        <v/>
      </c>
      <c r="F93" s="271" t="str">
        <f>IF(G93="","",VLOOKUP(G93,プルダウン用リスト!$K$1:$M$16,2,FALSE))</f>
        <v/>
      </c>
      <c r="G93" s="70"/>
      <c r="H93" s="70"/>
      <c r="I93" s="70"/>
      <c r="J93" s="135"/>
      <c r="K93" s="136"/>
      <c r="L93" s="71"/>
      <c r="M93" s="72"/>
      <c r="N93" s="72"/>
      <c r="O93" s="264" t="str">
        <f t="shared" si="10"/>
        <v/>
      </c>
      <c r="P93" s="230">
        <f t="shared" si="11"/>
        <v>0</v>
      </c>
      <c r="Q93" s="231" t="str">
        <f t="shared" si="7"/>
        <v>×</v>
      </c>
      <c r="R93" s="231" t="str">
        <f t="shared" si="12"/>
        <v>×</v>
      </c>
      <c r="S93" s="232" t="str">
        <f t="shared" si="13"/>
        <v/>
      </c>
    </row>
    <row r="94" spans="2:19">
      <c r="B94" s="68"/>
      <c r="C94" s="57"/>
      <c r="D94" s="259" t="str">
        <f t="shared" si="8"/>
        <v/>
      </c>
      <c r="E94" s="260" t="str">
        <f t="shared" si="9"/>
        <v/>
      </c>
      <c r="F94" s="271" t="str">
        <f>IF(G94="","",VLOOKUP(G94,プルダウン用リスト!$K$1:$M$16,2,FALSE))</f>
        <v/>
      </c>
      <c r="G94" s="70"/>
      <c r="H94" s="58"/>
      <c r="I94" s="70"/>
      <c r="J94" s="135"/>
      <c r="K94" s="136"/>
      <c r="L94" s="71"/>
      <c r="M94" s="72"/>
      <c r="N94" s="72"/>
      <c r="O94" s="264" t="str">
        <f t="shared" si="10"/>
        <v/>
      </c>
      <c r="P94" s="230">
        <f t="shared" si="11"/>
        <v>0</v>
      </c>
      <c r="Q94" s="231" t="str">
        <f t="shared" si="7"/>
        <v>×</v>
      </c>
      <c r="R94" s="231" t="str">
        <f t="shared" si="12"/>
        <v>×</v>
      </c>
      <c r="S94" s="232" t="str">
        <f t="shared" si="13"/>
        <v/>
      </c>
    </row>
    <row r="95" spans="2:19">
      <c r="B95" s="68"/>
      <c r="C95" s="57"/>
      <c r="D95" s="259" t="str">
        <f t="shared" si="8"/>
        <v/>
      </c>
      <c r="E95" s="260" t="str">
        <f t="shared" si="9"/>
        <v/>
      </c>
      <c r="F95" s="271" t="str">
        <f>IF(G95="","",VLOOKUP(G95,プルダウン用リスト!$K$1:$M$16,2,FALSE))</f>
        <v/>
      </c>
      <c r="G95" s="70"/>
      <c r="H95" s="58"/>
      <c r="I95" s="70"/>
      <c r="J95" s="135"/>
      <c r="K95" s="136"/>
      <c r="L95" s="71"/>
      <c r="M95" s="72"/>
      <c r="N95" s="72"/>
      <c r="O95" s="264" t="str">
        <f t="shared" si="10"/>
        <v/>
      </c>
      <c r="P95" s="230">
        <f t="shared" si="11"/>
        <v>0</v>
      </c>
      <c r="Q95" s="231" t="str">
        <f t="shared" si="7"/>
        <v>×</v>
      </c>
      <c r="R95" s="231" t="str">
        <f t="shared" si="12"/>
        <v>×</v>
      </c>
      <c r="S95" s="232" t="str">
        <f t="shared" si="13"/>
        <v/>
      </c>
    </row>
    <row r="96" spans="2:19">
      <c r="B96" s="68"/>
      <c r="C96" s="57"/>
      <c r="D96" s="259" t="str">
        <f t="shared" si="8"/>
        <v/>
      </c>
      <c r="E96" s="260" t="str">
        <f t="shared" si="9"/>
        <v/>
      </c>
      <c r="F96" s="271" t="str">
        <f>IF(G96="","",VLOOKUP(G96,プルダウン用リスト!$K$1:$M$16,2,FALSE))</f>
        <v/>
      </c>
      <c r="G96" s="70"/>
      <c r="H96" s="70"/>
      <c r="I96" s="70"/>
      <c r="J96" s="135"/>
      <c r="K96" s="136"/>
      <c r="L96" s="71"/>
      <c r="M96" s="72"/>
      <c r="N96" s="72"/>
      <c r="O96" s="264" t="str">
        <f t="shared" si="10"/>
        <v/>
      </c>
      <c r="P96" s="230">
        <f t="shared" si="11"/>
        <v>0</v>
      </c>
      <c r="Q96" s="231" t="str">
        <f t="shared" si="7"/>
        <v>×</v>
      </c>
      <c r="R96" s="231" t="str">
        <f t="shared" si="12"/>
        <v>×</v>
      </c>
      <c r="S96" s="232" t="str">
        <f t="shared" si="13"/>
        <v/>
      </c>
    </row>
    <row r="97" spans="2:19">
      <c r="B97" s="68"/>
      <c r="C97" s="57"/>
      <c r="D97" s="259" t="str">
        <f t="shared" si="8"/>
        <v/>
      </c>
      <c r="E97" s="260" t="str">
        <f t="shared" si="9"/>
        <v/>
      </c>
      <c r="F97" s="271" t="str">
        <f>IF(G97="","",VLOOKUP(G97,プルダウン用リスト!$K$1:$M$16,2,FALSE))</f>
        <v/>
      </c>
      <c r="G97" s="70"/>
      <c r="H97" s="58"/>
      <c r="I97" s="70"/>
      <c r="J97" s="135"/>
      <c r="K97" s="136"/>
      <c r="L97" s="71"/>
      <c r="M97" s="72"/>
      <c r="N97" s="72"/>
      <c r="O97" s="264" t="str">
        <f t="shared" si="10"/>
        <v/>
      </c>
      <c r="P97" s="230">
        <f t="shared" si="11"/>
        <v>0</v>
      </c>
      <c r="Q97" s="231" t="str">
        <f t="shared" si="7"/>
        <v>×</v>
      </c>
      <c r="R97" s="231" t="str">
        <f t="shared" si="12"/>
        <v>×</v>
      </c>
      <c r="S97" s="232" t="str">
        <f t="shared" si="13"/>
        <v/>
      </c>
    </row>
    <row r="98" spans="2:19">
      <c r="B98" s="68"/>
      <c r="C98" s="57"/>
      <c r="D98" s="259" t="str">
        <f t="shared" si="8"/>
        <v/>
      </c>
      <c r="E98" s="260" t="str">
        <f t="shared" si="9"/>
        <v/>
      </c>
      <c r="F98" s="271" t="str">
        <f>IF(G98="","",VLOOKUP(G98,プルダウン用リスト!$K$1:$M$16,2,FALSE))</f>
        <v/>
      </c>
      <c r="G98" s="70"/>
      <c r="H98" s="58"/>
      <c r="I98" s="70"/>
      <c r="J98" s="135"/>
      <c r="K98" s="136"/>
      <c r="L98" s="71"/>
      <c r="M98" s="72"/>
      <c r="N98" s="72"/>
      <c r="O98" s="264" t="str">
        <f t="shared" si="10"/>
        <v/>
      </c>
      <c r="P98" s="230">
        <f t="shared" si="11"/>
        <v>0</v>
      </c>
      <c r="Q98" s="231" t="str">
        <f t="shared" si="7"/>
        <v>×</v>
      </c>
      <c r="R98" s="231" t="str">
        <f t="shared" si="12"/>
        <v>×</v>
      </c>
      <c r="S98" s="232" t="str">
        <f t="shared" si="13"/>
        <v/>
      </c>
    </row>
    <row r="99" spans="2:19">
      <c r="B99" s="68"/>
      <c r="C99" s="57"/>
      <c r="D99" s="259" t="str">
        <f t="shared" si="8"/>
        <v/>
      </c>
      <c r="E99" s="260" t="str">
        <f t="shared" si="9"/>
        <v/>
      </c>
      <c r="F99" s="271" t="str">
        <f>IF(G99="","",VLOOKUP(G99,プルダウン用リスト!$K$1:$M$16,2,FALSE))</f>
        <v/>
      </c>
      <c r="G99" s="70"/>
      <c r="H99" s="70"/>
      <c r="I99" s="70"/>
      <c r="J99" s="135"/>
      <c r="K99" s="136"/>
      <c r="L99" s="71"/>
      <c r="M99" s="72"/>
      <c r="N99" s="72"/>
      <c r="O99" s="264" t="str">
        <f t="shared" si="10"/>
        <v/>
      </c>
      <c r="P99" s="230">
        <f t="shared" si="11"/>
        <v>0</v>
      </c>
      <c r="Q99" s="231" t="str">
        <f t="shared" si="7"/>
        <v>×</v>
      </c>
      <c r="R99" s="231" t="str">
        <f t="shared" si="12"/>
        <v>×</v>
      </c>
      <c r="S99" s="232" t="str">
        <f t="shared" si="13"/>
        <v/>
      </c>
    </row>
    <row r="100" spans="2:19">
      <c r="B100" s="68"/>
      <c r="C100" s="57"/>
      <c r="D100" s="259" t="str">
        <f t="shared" si="8"/>
        <v/>
      </c>
      <c r="E100" s="260" t="str">
        <f t="shared" si="9"/>
        <v/>
      </c>
      <c r="F100" s="271" t="str">
        <f>IF(G100="","",VLOOKUP(G100,プルダウン用リスト!$K$1:$M$16,2,FALSE))</f>
        <v/>
      </c>
      <c r="G100" s="70"/>
      <c r="H100" s="58"/>
      <c r="I100" s="70"/>
      <c r="J100" s="135"/>
      <c r="K100" s="136"/>
      <c r="L100" s="71"/>
      <c r="M100" s="72"/>
      <c r="N100" s="72"/>
      <c r="O100" s="264" t="str">
        <f t="shared" si="10"/>
        <v/>
      </c>
      <c r="P100" s="230">
        <f t="shared" si="11"/>
        <v>0</v>
      </c>
      <c r="Q100" s="231" t="str">
        <f t="shared" si="7"/>
        <v>×</v>
      </c>
      <c r="R100" s="231" t="str">
        <f t="shared" si="12"/>
        <v>×</v>
      </c>
      <c r="S100" s="232" t="str">
        <f t="shared" si="13"/>
        <v/>
      </c>
    </row>
    <row r="101" spans="2:19">
      <c r="B101" s="68"/>
      <c r="C101" s="57"/>
      <c r="D101" s="259" t="str">
        <f t="shared" si="8"/>
        <v/>
      </c>
      <c r="E101" s="260" t="str">
        <f t="shared" si="9"/>
        <v/>
      </c>
      <c r="F101" s="271" t="str">
        <f>IF(G101="","",VLOOKUP(G101,プルダウン用リスト!$K$1:$M$16,2,FALSE))</f>
        <v/>
      </c>
      <c r="G101" s="70"/>
      <c r="H101" s="58"/>
      <c r="I101" s="70"/>
      <c r="J101" s="135"/>
      <c r="K101" s="136"/>
      <c r="L101" s="71"/>
      <c r="M101" s="72"/>
      <c r="N101" s="72"/>
      <c r="O101" s="264" t="str">
        <f t="shared" si="10"/>
        <v/>
      </c>
      <c r="P101" s="230">
        <f t="shared" si="11"/>
        <v>0</v>
      </c>
      <c r="Q101" s="231" t="str">
        <f t="shared" si="7"/>
        <v>×</v>
      </c>
      <c r="R101" s="231" t="str">
        <f t="shared" si="12"/>
        <v>×</v>
      </c>
      <c r="S101" s="232" t="str">
        <f t="shared" si="13"/>
        <v/>
      </c>
    </row>
    <row r="102" spans="2:19">
      <c r="B102" s="68"/>
      <c r="C102" s="69"/>
      <c r="D102" s="259" t="str">
        <f t="shared" si="8"/>
        <v/>
      </c>
      <c r="E102" s="260" t="str">
        <f t="shared" si="9"/>
        <v/>
      </c>
      <c r="F102" s="271" t="str">
        <f>IF(G102="","",VLOOKUP(G102,プルダウン用リスト!$K$1:$M$16,2,FALSE))</f>
        <v/>
      </c>
      <c r="G102" s="70"/>
      <c r="H102" s="70"/>
      <c r="I102" s="70"/>
      <c r="J102" s="135"/>
      <c r="K102" s="136"/>
      <c r="L102" s="71"/>
      <c r="M102" s="72"/>
      <c r="N102" s="72"/>
      <c r="O102" s="264" t="str">
        <f t="shared" si="10"/>
        <v/>
      </c>
      <c r="P102" s="230">
        <f t="shared" si="11"/>
        <v>0</v>
      </c>
      <c r="Q102" s="231" t="str">
        <f t="shared" si="7"/>
        <v>×</v>
      </c>
      <c r="R102" s="231" t="str">
        <f t="shared" si="12"/>
        <v>×</v>
      </c>
      <c r="S102" s="232" t="str">
        <f t="shared" si="13"/>
        <v/>
      </c>
    </row>
    <row r="103" spans="2:19">
      <c r="B103" s="68"/>
      <c r="C103" s="57"/>
      <c r="D103" s="259" t="str">
        <f t="shared" si="8"/>
        <v/>
      </c>
      <c r="E103" s="260" t="str">
        <f t="shared" si="9"/>
        <v/>
      </c>
      <c r="F103" s="271" t="str">
        <f>IF(G103="","",VLOOKUP(G103,プルダウン用リスト!$K$1:$M$16,2,FALSE))</f>
        <v/>
      </c>
      <c r="G103" s="70"/>
      <c r="H103" s="58"/>
      <c r="I103" s="70"/>
      <c r="J103" s="135"/>
      <c r="K103" s="136"/>
      <c r="L103" s="71"/>
      <c r="M103" s="72"/>
      <c r="N103" s="72"/>
      <c r="O103" s="264" t="str">
        <f t="shared" si="10"/>
        <v/>
      </c>
      <c r="P103" s="230">
        <f t="shared" si="11"/>
        <v>0</v>
      </c>
      <c r="Q103" s="231" t="str">
        <f t="shared" si="7"/>
        <v>×</v>
      </c>
      <c r="R103" s="231" t="str">
        <f t="shared" si="12"/>
        <v>×</v>
      </c>
      <c r="S103" s="232" t="str">
        <f t="shared" si="13"/>
        <v/>
      </c>
    </row>
    <row r="104" spans="2:19">
      <c r="B104" s="68"/>
      <c r="C104" s="57"/>
      <c r="D104" s="259" t="str">
        <f t="shared" si="8"/>
        <v/>
      </c>
      <c r="E104" s="260" t="str">
        <f t="shared" si="9"/>
        <v/>
      </c>
      <c r="F104" s="271" t="str">
        <f>IF(G104="","",VLOOKUP(G104,プルダウン用リスト!$K$1:$M$16,2,FALSE))</f>
        <v/>
      </c>
      <c r="G104" s="70"/>
      <c r="H104" s="58"/>
      <c r="I104" s="70"/>
      <c r="J104" s="135"/>
      <c r="K104" s="136"/>
      <c r="L104" s="71"/>
      <c r="M104" s="72"/>
      <c r="N104" s="72"/>
      <c r="O104" s="264" t="str">
        <f t="shared" si="10"/>
        <v/>
      </c>
      <c r="P104" s="230">
        <f t="shared" si="11"/>
        <v>0</v>
      </c>
      <c r="Q104" s="231" t="str">
        <f t="shared" si="7"/>
        <v>×</v>
      </c>
      <c r="R104" s="231" t="str">
        <f t="shared" si="12"/>
        <v>×</v>
      </c>
      <c r="S104" s="232" t="str">
        <f t="shared" si="13"/>
        <v/>
      </c>
    </row>
    <row r="105" spans="2:19">
      <c r="B105" s="68"/>
      <c r="C105" s="57"/>
      <c r="D105" s="259" t="str">
        <f t="shared" si="8"/>
        <v/>
      </c>
      <c r="E105" s="260" t="str">
        <f t="shared" si="9"/>
        <v/>
      </c>
      <c r="F105" s="271" t="str">
        <f>IF(G105="","",VLOOKUP(G105,プルダウン用リスト!$K$1:$M$16,2,FALSE))</f>
        <v/>
      </c>
      <c r="G105" s="70"/>
      <c r="H105" s="70"/>
      <c r="I105" s="70"/>
      <c r="J105" s="135"/>
      <c r="K105" s="136"/>
      <c r="L105" s="71"/>
      <c r="M105" s="72"/>
      <c r="N105" s="72"/>
      <c r="O105" s="264" t="str">
        <f t="shared" si="10"/>
        <v/>
      </c>
      <c r="P105" s="230">
        <f t="shared" si="11"/>
        <v>0</v>
      </c>
      <c r="Q105" s="231" t="str">
        <f t="shared" si="7"/>
        <v>×</v>
      </c>
      <c r="R105" s="231" t="str">
        <f t="shared" si="12"/>
        <v>×</v>
      </c>
      <c r="S105" s="232" t="str">
        <f t="shared" si="13"/>
        <v/>
      </c>
    </row>
    <row r="106" spans="2:19">
      <c r="B106" s="68"/>
      <c r="C106" s="57"/>
      <c r="D106" s="259" t="str">
        <f t="shared" si="8"/>
        <v/>
      </c>
      <c r="E106" s="260" t="str">
        <f t="shared" si="9"/>
        <v/>
      </c>
      <c r="F106" s="271" t="str">
        <f>IF(G106="","",VLOOKUP(G106,プルダウン用リスト!$K$1:$M$16,2,FALSE))</f>
        <v/>
      </c>
      <c r="G106" s="70"/>
      <c r="H106" s="58"/>
      <c r="I106" s="70"/>
      <c r="J106" s="135"/>
      <c r="K106" s="136"/>
      <c r="L106" s="71"/>
      <c r="M106" s="72"/>
      <c r="N106" s="72"/>
      <c r="O106" s="264" t="str">
        <f t="shared" si="10"/>
        <v/>
      </c>
      <c r="P106" s="230">
        <f t="shared" si="11"/>
        <v>0</v>
      </c>
      <c r="Q106" s="231" t="str">
        <f t="shared" si="7"/>
        <v>×</v>
      </c>
      <c r="R106" s="231" t="str">
        <f t="shared" si="12"/>
        <v>×</v>
      </c>
      <c r="S106" s="232" t="str">
        <f t="shared" si="13"/>
        <v/>
      </c>
    </row>
    <row r="107" spans="2:19">
      <c r="B107" s="68"/>
      <c r="C107" s="57"/>
      <c r="D107" s="259" t="str">
        <f t="shared" si="8"/>
        <v/>
      </c>
      <c r="E107" s="260" t="str">
        <f t="shared" si="9"/>
        <v/>
      </c>
      <c r="F107" s="271" t="str">
        <f>IF(G107="","",VLOOKUP(G107,プルダウン用リスト!$K$1:$M$16,2,FALSE))</f>
        <v/>
      </c>
      <c r="G107" s="70"/>
      <c r="H107" s="58"/>
      <c r="I107" s="70"/>
      <c r="J107" s="135"/>
      <c r="K107" s="136"/>
      <c r="L107" s="71"/>
      <c r="M107" s="72"/>
      <c r="N107" s="72"/>
      <c r="O107" s="264" t="str">
        <f t="shared" si="10"/>
        <v/>
      </c>
      <c r="P107" s="230">
        <f t="shared" si="11"/>
        <v>0</v>
      </c>
      <c r="Q107" s="231" t="str">
        <f t="shared" si="7"/>
        <v>×</v>
      </c>
      <c r="R107" s="231" t="str">
        <f t="shared" si="12"/>
        <v>×</v>
      </c>
      <c r="S107" s="232" t="str">
        <f t="shared" si="13"/>
        <v/>
      </c>
    </row>
    <row r="108" spans="2:19">
      <c r="B108" s="68"/>
      <c r="C108" s="57"/>
      <c r="D108" s="259" t="str">
        <f t="shared" si="8"/>
        <v/>
      </c>
      <c r="E108" s="260" t="str">
        <f t="shared" si="9"/>
        <v/>
      </c>
      <c r="F108" s="271" t="str">
        <f>IF(G108="","",VLOOKUP(G108,プルダウン用リスト!$K$1:$M$16,2,FALSE))</f>
        <v/>
      </c>
      <c r="G108" s="70"/>
      <c r="H108" s="70"/>
      <c r="I108" s="70"/>
      <c r="J108" s="135"/>
      <c r="K108" s="136"/>
      <c r="L108" s="71"/>
      <c r="M108" s="72"/>
      <c r="N108" s="72"/>
      <c r="O108" s="264" t="str">
        <f t="shared" si="10"/>
        <v/>
      </c>
      <c r="P108" s="230">
        <f t="shared" si="11"/>
        <v>0</v>
      </c>
      <c r="Q108" s="231" t="str">
        <f t="shared" si="7"/>
        <v>×</v>
      </c>
      <c r="R108" s="231" t="str">
        <f t="shared" si="12"/>
        <v>×</v>
      </c>
      <c r="S108" s="232" t="str">
        <f t="shared" si="13"/>
        <v/>
      </c>
    </row>
    <row r="109" spans="2:19">
      <c r="B109" s="68"/>
      <c r="C109" s="57"/>
      <c r="D109" s="259" t="str">
        <f t="shared" si="8"/>
        <v/>
      </c>
      <c r="E109" s="260" t="str">
        <f t="shared" si="9"/>
        <v/>
      </c>
      <c r="F109" s="271" t="str">
        <f>IF(G109="","",VLOOKUP(G109,プルダウン用リスト!$K$1:$M$16,2,FALSE))</f>
        <v/>
      </c>
      <c r="G109" s="70"/>
      <c r="H109" s="58"/>
      <c r="I109" s="70"/>
      <c r="J109" s="135"/>
      <c r="K109" s="136"/>
      <c r="L109" s="71"/>
      <c r="M109" s="72"/>
      <c r="N109" s="72"/>
      <c r="O109" s="264" t="str">
        <f t="shared" si="10"/>
        <v/>
      </c>
      <c r="P109" s="230">
        <f t="shared" si="11"/>
        <v>0</v>
      </c>
      <c r="Q109" s="231" t="str">
        <f t="shared" si="7"/>
        <v>×</v>
      </c>
      <c r="R109" s="231" t="str">
        <f t="shared" si="12"/>
        <v>×</v>
      </c>
      <c r="S109" s="232" t="str">
        <f t="shared" si="13"/>
        <v/>
      </c>
    </row>
    <row r="110" spans="2:19">
      <c r="B110" s="68"/>
      <c r="C110" s="57"/>
      <c r="D110" s="259" t="str">
        <f t="shared" si="8"/>
        <v/>
      </c>
      <c r="E110" s="260" t="str">
        <f t="shared" si="9"/>
        <v/>
      </c>
      <c r="F110" s="271" t="str">
        <f>IF(G110="","",VLOOKUP(G110,プルダウン用リスト!$K$1:$M$16,2,FALSE))</f>
        <v/>
      </c>
      <c r="G110" s="70"/>
      <c r="H110" s="58"/>
      <c r="I110" s="70"/>
      <c r="J110" s="135"/>
      <c r="K110" s="136"/>
      <c r="L110" s="71"/>
      <c r="M110" s="72"/>
      <c r="N110" s="72"/>
      <c r="O110" s="264" t="str">
        <f t="shared" si="10"/>
        <v/>
      </c>
      <c r="P110" s="230">
        <f t="shared" si="11"/>
        <v>0</v>
      </c>
      <c r="Q110" s="231" t="str">
        <f t="shared" si="7"/>
        <v>×</v>
      </c>
      <c r="R110" s="231" t="str">
        <f t="shared" si="12"/>
        <v>×</v>
      </c>
      <c r="S110" s="232" t="str">
        <f t="shared" si="13"/>
        <v/>
      </c>
    </row>
    <row r="111" spans="2:19">
      <c r="B111" s="68"/>
      <c r="C111" s="57"/>
      <c r="D111" s="259" t="str">
        <f t="shared" si="8"/>
        <v/>
      </c>
      <c r="E111" s="260" t="str">
        <f t="shared" si="9"/>
        <v/>
      </c>
      <c r="F111" s="271" t="str">
        <f>IF(G111="","",VLOOKUP(G111,プルダウン用リスト!$K$1:$M$16,2,FALSE))</f>
        <v/>
      </c>
      <c r="G111" s="70"/>
      <c r="H111" s="70"/>
      <c r="I111" s="70"/>
      <c r="J111" s="135"/>
      <c r="K111" s="136"/>
      <c r="L111" s="71"/>
      <c r="M111" s="72"/>
      <c r="N111" s="72"/>
      <c r="O111" s="264" t="str">
        <f t="shared" si="10"/>
        <v/>
      </c>
      <c r="P111" s="230">
        <f t="shared" si="11"/>
        <v>0</v>
      </c>
      <c r="Q111" s="231" t="str">
        <f t="shared" si="7"/>
        <v>×</v>
      </c>
      <c r="R111" s="231" t="str">
        <f t="shared" si="12"/>
        <v>×</v>
      </c>
      <c r="S111" s="232" t="str">
        <f t="shared" si="13"/>
        <v/>
      </c>
    </row>
    <row r="112" spans="2:19">
      <c r="B112" s="68"/>
      <c r="C112" s="57"/>
      <c r="D112" s="259" t="str">
        <f t="shared" si="8"/>
        <v/>
      </c>
      <c r="E112" s="260" t="str">
        <f t="shared" si="9"/>
        <v/>
      </c>
      <c r="F112" s="271" t="str">
        <f>IF(G112="","",VLOOKUP(G112,プルダウン用リスト!$K$1:$M$16,2,FALSE))</f>
        <v/>
      </c>
      <c r="G112" s="70"/>
      <c r="H112" s="58"/>
      <c r="I112" s="70"/>
      <c r="J112" s="135"/>
      <c r="K112" s="136"/>
      <c r="L112" s="71"/>
      <c r="M112" s="72"/>
      <c r="N112" s="72"/>
      <c r="O112" s="264" t="str">
        <f t="shared" si="10"/>
        <v/>
      </c>
      <c r="P112" s="230">
        <f t="shared" si="11"/>
        <v>0</v>
      </c>
      <c r="Q112" s="231" t="str">
        <f t="shared" si="7"/>
        <v>×</v>
      </c>
      <c r="R112" s="231" t="str">
        <f t="shared" si="12"/>
        <v>×</v>
      </c>
      <c r="S112" s="232" t="str">
        <f t="shared" si="13"/>
        <v/>
      </c>
    </row>
    <row r="113" spans="2:19">
      <c r="B113" s="68"/>
      <c r="C113" s="57"/>
      <c r="D113" s="259" t="str">
        <f t="shared" si="8"/>
        <v/>
      </c>
      <c r="E113" s="260" t="str">
        <f t="shared" si="9"/>
        <v/>
      </c>
      <c r="F113" s="271" t="str">
        <f>IF(G113="","",VLOOKUP(G113,プルダウン用リスト!$K$1:$M$16,2,FALSE))</f>
        <v/>
      </c>
      <c r="G113" s="70"/>
      <c r="H113" s="58"/>
      <c r="I113" s="70"/>
      <c r="J113" s="135"/>
      <c r="K113" s="136"/>
      <c r="L113" s="71"/>
      <c r="M113" s="72"/>
      <c r="N113" s="72"/>
      <c r="O113" s="264" t="str">
        <f t="shared" si="10"/>
        <v/>
      </c>
      <c r="P113" s="230">
        <f t="shared" si="11"/>
        <v>0</v>
      </c>
      <c r="Q113" s="231" t="str">
        <f t="shared" si="7"/>
        <v>×</v>
      </c>
      <c r="R113" s="231" t="str">
        <f t="shared" si="12"/>
        <v>×</v>
      </c>
      <c r="S113" s="232" t="str">
        <f t="shared" si="13"/>
        <v/>
      </c>
    </row>
    <row r="114" spans="2:19">
      <c r="B114" s="68"/>
      <c r="C114" s="69"/>
      <c r="D114" s="259" t="str">
        <f t="shared" si="8"/>
        <v/>
      </c>
      <c r="E114" s="260" t="str">
        <f t="shared" si="9"/>
        <v/>
      </c>
      <c r="F114" s="271" t="str">
        <f>IF(G114="","",VLOOKUP(G114,プルダウン用リスト!$K$1:$M$16,2,FALSE))</f>
        <v/>
      </c>
      <c r="G114" s="70"/>
      <c r="H114" s="70"/>
      <c r="I114" s="70"/>
      <c r="J114" s="135"/>
      <c r="K114" s="136"/>
      <c r="L114" s="71"/>
      <c r="M114" s="72"/>
      <c r="N114" s="72"/>
      <c r="O114" s="264" t="str">
        <f t="shared" si="10"/>
        <v/>
      </c>
      <c r="P114" s="230">
        <f t="shared" si="11"/>
        <v>0</v>
      </c>
      <c r="Q114" s="231" t="str">
        <f t="shared" si="7"/>
        <v>×</v>
      </c>
      <c r="R114" s="231" t="str">
        <f t="shared" si="12"/>
        <v>×</v>
      </c>
      <c r="S114" s="232" t="str">
        <f t="shared" si="13"/>
        <v/>
      </c>
    </row>
    <row r="115" spans="2:19">
      <c r="B115" s="68"/>
      <c r="C115" s="57"/>
      <c r="D115" s="259" t="str">
        <f t="shared" si="8"/>
        <v/>
      </c>
      <c r="E115" s="260" t="str">
        <f t="shared" si="9"/>
        <v/>
      </c>
      <c r="F115" s="271" t="str">
        <f>IF(G115="","",VLOOKUP(G115,プルダウン用リスト!$K$1:$M$16,2,FALSE))</f>
        <v/>
      </c>
      <c r="G115" s="70"/>
      <c r="H115" s="58"/>
      <c r="I115" s="70"/>
      <c r="J115" s="135"/>
      <c r="K115" s="136"/>
      <c r="L115" s="71"/>
      <c r="M115" s="72"/>
      <c r="N115" s="72"/>
      <c r="O115" s="264" t="str">
        <f t="shared" si="10"/>
        <v/>
      </c>
      <c r="P115" s="230">
        <f t="shared" si="11"/>
        <v>0</v>
      </c>
      <c r="Q115" s="231" t="str">
        <f t="shared" si="7"/>
        <v>×</v>
      </c>
      <c r="R115" s="231" t="str">
        <f t="shared" si="12"/>
        <v>×</v>
      </c>
      <c r="S115" s="232" t="str">
        <f t="shared" si="13"/>
        <v/>
      </c>
    </row>
    <row r="116" spans="2:19">
      <c r="B116" s="68"/>
      <c r="C116" s="57"/>
      <c r="D116" s="259" t="str">
        <f t="shared" si="8"/>
        <v/>
      </c>
      <c r="E116" s="260" t="str">
        <f t="shared" si="9"/>
        <v/>
      </c>
      <c r="F116" s="271" t="str">
        <f>IF(G116="","",VLOOKUP(G116,プルダウン用リスト!$K$1:$M$16,2,FALSE))</f>
        <v/>
      </c>
      <c r="G116" s="70"/>
      <c r="H116" s="58"/>
      <c r="I116" s="70"/>
      <c r="J116" s="135"/>
      <c r="K116" s="136"/>
      <c r="L116" s="71"/>
      <c r="M116" s="72"/>
      <c r="N116" s="72"/>
      <c r="O116" s="264" t="str">
        <f t="shared" si="10"/>
        <v/>
      </c>
      <c r="P116" s="230">
        <f t="shared" si="11"/>
        <v>0</v>
      </c>
      <c r="Q116" s="231" t="str">
        <f t="shared" si="7"/>
        <v>×</v>
      </c>
      <c r="R116" s="231" t="str">
        <f t="shared" si="12"/>
        <v>×</v>
      </c>
      <c r="S116" s="232" t="str">
        <f t="shared" si="13"/>
        <v/>
      </c>
    </row>
    <row r="117" spans="2:19">
      <c r="B117" s="68"/>
      <c r="C117" s="57"/>
      <c r="D117" s="259" t="str">
        <f t="shared" si="8"/>
        <v/>
      </c>
      <c r="E117" s="260" t="str">
        <f t="shared" si="9"/>
        <v/>
      </c>
      <c r="F117" s="271" t="str">
        <f>IF(G117="","",VLOOKUP(G117,プルダウン用リスト!$K$1:$M$16,2,FALSE))</f>
        <v/>
      </c>
      <c r="G117" s="70"/>
      <c r="H117" s="70"/>
      <c r="I117" s="70"/>
      <c r="J117" s="135"/>
      <c r="K117" s="136"/>
      <c r="L117" s="71"/>
      <c r="M117" s="72"/>
      <c r="N117" s="72"/>
      <c r="O117" s="264" t="str">
        <f t="shared" si="10"/>
        <v/>
      </c>
      <c r="P117" s="230">
        <f t="shared" si="11"/>
        <v>0</v>
      </c>
      <c r="Q117" s="231" t="str">
        <f t="shared" si="7"/>
        <v>×</v>
      </c>
      <c r="R117" s="231" t="str">
        <f t="shared" si="12"/>
        <v>×</v>
      </c>
      <c r="S117" s="232" t="str">
        <f t="shared" si="13"/>
        <v/>
      </c>
    </row>
    <row r="118" spans="2:19">
      <c r="B118" s="68"/>
      <c r="C118" s="57"/>
      <c r="D118" s="259" t="str">
        <f t="shared" si="8"/>
        <v/>
      </c>
      <c r="E118" s="260" t="str">
        <f t="shared" si="9"/>
        <v/>
      </c>
      <c r="F118" s="271" t="str">
        <f>IF(G118="","",VLOOKUP(G118,プルダウン用リスト!$K$1:$M$16,2,FALSE))</f>
        <v/>
      </c>
      <c r="G118" s="70"/>
      <c r="H118" s="58"/>
      <c r="I118" s="70"/>
      <c r="J118" s="135"/>
      <c r="K118" s="136"/>
      <c r="L118" s="71"/>
      <c r="M118" s="72"/>
      <c r="N118" s="72"/>
      <c r="O118" s="264" t="str">
        <f t="shared" si="10"/>
        <v/>
      </c>
      <c r="P118" s="230">
        <f t="shared" si="11"/>
        <v>0</v>
      </c>
      <c r="Q118" s="231" t="str">
        <f t="shared" si="7"/>
        <v>×</v>
      </c>
      <c r="R118" s="231" t="str">
        <f t="shared" si="12"/>
        <v>×</v>
      </c>
      <c r="S118" s="232" t="str">
        <f t="shared" si="13"/>
        <v/>
      </c>
    </row>
    <row r="119" spans="2:19">
      <c r="B119" s="68"/>
      <c r="C119" s="57"/>
      <c r="D119" s="259" t="str">
        <f t="shared" si="8"/>
        <v/>
      </c>
      <c r="E119" s="260" t="str">
        <f t="shared" si="9"/>
        <v/>
      </c>
      <c r="F119" s="271" t="str">
        <f>IF(G119="","",VLOOKUP(G119,プルダウン用リスト!$K$1:$M$16,2,FALSE))</f>
        <v/>
      </c>
      <c r="G119" s="70"/>
      <c r="H119" s="58"/>
      <c r="I119" s="70"/>
      <c r="J119" s="135"/>
      <c r="K119" s="136"/>
      <c r="L119" s="71"/>
      <c r="M119" s="72"/>
      <c r="N119" s="72"/>
      <c r="O119" s="264" t="str">
        <f t="shared" si="10"/>
        <v/>
      </c>
      <c r="P119" s="230">
        <f t="shared" si="11"/>
        <v>0</v>
      </c>
      <c r="Q119" s="231" t="str">
        <f t="shared" si="7"/>
        <v>×</v>
      </c>
      <c r="R119" s="231" t="str">
        <f t="shared" si="12"/>
        <v>×</v>
      </c>
      <c r="S119" s="232" t="str">
        <f t="shared" si="13"/>
        <v/>
      </c>
    </row>
    <row r="120" spans="2:19">
      <c r="B120" s="68"/>
      <c r="C120" s="57"/>
      <c r="D120" s="259" t="str">
        <f t="shared" si="8"/>
        <v/>
      </c>
      <c r="E120" s="260" t="str">
        <f t="shared" si="9"/>
        <v/>
      </c>
      <c r="F120" s="271" t="str">
        <f>IF(G120="","",VLOOKUP(G120,プルダウン用リスト!$K$1:$M$16,2,FALSE))</f>
        <v/>
      </c>
      <c r="G120" s="70"/>
      <c r="H120" s="70"/>
      <c r="I120" s="70"/>
      <c r="J120" s="135"/>
      <c r="K120" s="136"/>
      <c r="L120" s="71"/>
      <c r="M120" s="72"/>
      <c r="N120" s="72"/>
      <c r="O120" s="264" t="str">
        <f t="shared" si="10"/>
        <v/>
      </c>
      <c r="P120" s="230">
        <f t="shared" si="11"/>
        <v>0</v>
      </c>
      <c r="Q120" s="231" t="str">
        <f t="shared" si="7"/>
        <v>×</v>
      </c>
      <c r="R120" s="231" t="str">
        <f t="shared" si="12"/>
        <v>×</v>
      </c>
      <c r="S120" s="232" t="str">
        <f t="shared" si="13"/>
        <v/>
      </c>
    </row>
    <row r="121" spans="2:19">
      <c r="B121" s="68"/>
      <c r="C121" s="57"/>
      <c r="D121" s="259" t="str">
        <f t="shared" si="8"/>
        <v/>
      </c>
      <c r="E121" s="260" t="str">
        <f t="shared" si="9"/>
        <v/>
      </c>
      <c r="F121" s="271" t="str">
        <f>IF(G121="","",VLOOKUP(G121,プルダウン用リスト!$K$1:$M$16,2,FALSE))</f>
        <v/>
      </c>
      <c r="G121" s="70"/>
      <c r="H121" s="58"/>
      <c r="I121" s="70"/>
      <c r="J121" s="135"/>
      <c r="K121" s="136"/>
      <c r="L121" s="71"/>
      <c r="M121" s="72"/>
      <c r="N121" s="72"/>
      <c r="O121" s="264" t="str">
        <f t="shared" si="10"/>
        <v/>
      </c>
      <c r="P121" s="230">
        <f t="shared" si="11"/>
        <v>0</v>
      </c>
      <c r="Q121" s="231" t="str">
        <f t="shared" si="7"/>
        <v>×</v>
      </c>
      <c r="R121" s="231" t="str">
        <f t="shared" si="12"/>
        <v>×</v>
      </c>
      <c r="S121" s="232" t="str">
        <f t="shared" si="13"/>
        <v/>
      </c>
    </row>
    <row r="122" spans="2:19">
      <c r="B122" s="68"/>
      <c r="C122" s="57"/>
      <c r="D122" s="259" t="str">
        <f t="shared" si="8"/>
        <v/>
      </c>
      <c r="E122" s="260" t="str">
        <f t="shared" si="9"/>
        <v/>
      </c>
      <c r="F122" s="271" t="str">
        <f>IF(G122="","",VLOOKUP(G122,プルダウン用リスト!$K$1:$M$16,2,FALSE))</f>
        <v/>
      </c>
      <c r="G122" s="70"/>
      <c r="H122" s="58"/>
      <c r="I122" s="70"/>
      <c r="J122" s="135"/>
      <c r="K122" s="136"/>
      <c r="L122" s="71"/>
      <c r="M122" s="72"/>
      <c r="N122" s="72"/>
      <c r="O122" s="264" t="str">
        <f t="shared" si="10"/>
        <v/>
      </c>
      <c r="P122" s="230">
        <f t="shared" si="11"/>
        <v>0</v>
      </c>
      <c r="Q122" s="231" t="str">
        <f t="shared" si="7"/>
        <v>×</v>
      </c>
      <c r="R122" s="231" t="str">
        <f t="shared" si="12"/>
        <v>×</v>
      </c>
      <c r="S122" s="232" t="str">
        <f t="shared" si="13"/>
        <v/>
      </c>
    </row>
    <row r="123" spans="2:19">
      <c r="B123" s="68"/>
      <c r="C123" s="57"/>
      <c r="D123" s="259" t="str">
        <f t="shared" si="8"/>
        <v/>
      </c>
      <c r="E123" s="260" t="str">
        <f t="shared" si="9"/>
        <v/>
      </c>
      <c r="F123" s="271" t="str">
        <f>IF(G123="","",VLOOKUP(G123,プルダウン用リスト!$K$1:$M$16,2,FALSE))</f>
        <v/>
      </c>
      <c r="G123" s="70"/>
      <c r="H123" s="70"/>
      <c r="I123" s="70"/>
      <c r="J123" s="135"/>
      <c r="K123" s="136"/>
      <c r="L123" s="71"/>
      <c r="M123" s="72"/>
      <c r="N123" s="72"/>
      <c r="O123" s="264" t="str">
        <f t="shared" si="10"/>
        <v/>
      </c>
      <c r="P123" s="230">
        <f t="shared" si="11"/>
        <v>0</v>
      </c>
      <c r="Q123" s="231" t="str">
        <f t="shared" si="7"/>
        <v>×</v>
      </c>
      <c r="R123" s="231" t="str">
        <f t="shared" si="12"/>
        <v>×</v>
      </c>
      <c r="S123" s="232" t="str">
        <f t="shared" si="13"/>
        <v/>
      </c>
    </row>
    <row r="124" spans="2:19">
      <c r="B124" s="68"/>
      <c r="C124" s="57"/>
      <c r="D124" s="259" t="str">
        <f t="shared" si="8"/>
        <v/>
      </c>
      <c r="E124" s="260" t="str">
        <f t="shared" si="9"/>
        <v/>
      </c>
      <c r="F124" s="271" t="str">
        <f>IF(G124="","",VLOOKUP(G124,プルダウン用リスト!$K$1:$M$16,2,FALSE))</f>
        <v/>
      </c>
      <c r="G124" s="70"/>
      <c r="H124" s="58"/>
      <c r="I124" s="70"/>
      <c r="J124" s="135"/>
      <c r="K124" s="136"/>
      <c r="L124" s="71"/>
      <c r="M124" s="72"/>
      <c r="N124" s="72"/>
      <c r="O124" s="264" t="str">
        <f t="shared" si="10"/>
        <v/>
      </c>
      <c r="P124" s="230">
        <f t="shared" si="11"/>
        <v>0</v>
      </c>
      <c r="Q124" s="231" t="str">
        <f t="shared" si="7"/>
        <v>×</v>
      </c>
      <c r="R124" s="231" t="str">
        <f t="shared" si="12"/>
        <v>×</v>
      </c>
      <c r="S124" s="232" t="str">
        <f t="shared" si="13"/>
        <v/>
      </c>
    </row>
    <row r="125" spans="2:19">
      <c r="B125" s="68"/>
      <c r="C125" s="57"/>
      <c r="D125" s="259" t="str">
        <f t="shared" si="8"/>
        <v/>
      </c>
      <c r="E125" s="260" t="str">
        <f t="shared" si="9"/>
        <v/>
      </c>
      <c r="F125" s="271" t="str">
        <f>IF(G125="","",VLOOKUP(G125,プルダウン用リスト!$K$1:$M$16,2,FALSE))</f>
        <v/>
      </c>
      <c r="G125" s="70"/>
      <c r="H125" s="58"/>
      <c r="I125" s="70"/>
      <c r="J125" s="135"/>
      <c r="K125" s="136"/>
      <c r="L125" s="71"/>
      <c r="M125" s="72"/>
      <c r="N125" s="72"/>
      <c r="O125" s="264" t="str">
        <f t="shared" si="10"/>
        <v/>
      </c>
      <c r="P125" s="230">
        <f t="shared" si="11"/>
        <v>0</v>
      </c>
      <c r="Q125" s="231" t="str">
        <f t="shared" si="7"/>
        <v>×</v>
      </c>
      <c r="R125" s="231" t="str">
        <f t="shared" si="12"/>
        <v>×</v>
      </c>
      <c r="S125" s="232" t="str">
        <f t="shared" si="13"/>
        <v/>
      </c>
    </row>
    <row r="126" spans="2:19">
      <c r="B126" s="68"/>
      <c r="C126" s="69"/>
      <c r="D126" s="259" t="str">
        <f t="shared" si="8"/>
        <v/>
      </c>
      <c r="E126" s="260" t="str">
        <f t="shared" si="9"/>
        <v/>
      </c>
      <c r="F126" s="271" t="str">
        <f>IF(G126="","",VLOOKUP(G126,プルダウン用リスト!$K$1:$M$16,2,FALSE))</f>
        <v/>
      </c>
      <c r="G126" s="70"/>
      <c r="H126" s="70"/>
      <c r="I126" s="70"/>
      <c r="J126" s="135"/>
      <c r="K126" s="136"/>
      <c r="L126" s="71"/>
      <c r="M126" s="72"/>
      <c r="N126" s="72"/>
      <c r="O126" s="264" t="str">
        <f t="shared" si="10"/>
        <v/>
      </c>
      <c r="P126" s="230">
        <f t="shared" si="11"/>
        <v>0</v>
      </c>
      <c r="Q126" s="231" t="str">
        <f t="shared" si="7"/>
        <v>×</v>
      </c>
      <c r="R126" s="231" t="str">
        <f t="shared" si="12"/>
        <v>×</v>
      </c>
      <c r="S126" s="232" t="str">
        <f t="shared" si="13"/>
        <v/>
      </c>
    </row>
    <row r="127" spans="2:19">
      <c r="B127" s="68"/>
      <c r="C127" s="57"/>
      <c r="D127" s="259" t="str">
        <f t="shared" si="8"/>
        <v/>
      </c>
      <c r="E127" s="260" t="str">
        <f t="shared" si="9"/>
        <v/>
      </c>
      <c r="F127" s="271" t="str">
        <f>IF(G127="","",VLOOKUP(G127,プルダウン用リスト!$K$1:$M$16,2,FALSE))</f>
        <v/>
      </c>
      <c r="G127" s="70"/>
      <c r="H127" s="58"/>
      <c r="I127" s="70"/>
      <c r="J127" s="135"/>
      <c r="K127" s="136"/>
      <c r="L127" s="71"/>
      <c r="M127" s="72"/>
      <c r="N127" s="72"/>
      <c r="O127" s="264" t="str">
        <f t="shared" si="10"/>
        <v/>
      </c>
      <c r="P127" s="230">
        <f t="shared" si="11"/>
        <v>0</v>
      </c>
      <c r="Q127" s="231" t="str">
        <f t="shared" si="7"/>
        <v>×</v>
      </c>
      <c r="R127" s="231" t="str">
        <f t="shared" si="12"/>
        <v>×</v>
      </c>
      <c r="S127" s="232" t="str">
        <f t="shared" si="13"/>
        <v/>
      </c>
    </row>
    <row r="128" spans="2:19">
      <c r="B128" s="68"/>
      <c r="C128" s="57"/>
      <c r="D128" s="259" t="str">
        <f t="shared" si="8"/>
        <v/>
      </c>
      <c r="E128" s="260" t="str">
        <f t="shared" si="9"/>
        <v/>
      </c>
      <c r="F128" s="271" t="str">
        <f>IF(G128="","",VLOOKUP(G128,プルダウン用リスト!$K$1:$M$16,2,FALSE))</f>
        <v/>
      </c>
      <c r="G128" s="70"/>
      <c r="H128" s="58"/>
      <c r="I128" s="70"/>
      <c r="J128" s="135"/>
      <c r="K128" s="136"/>
      <c r="L128" s="71"/>
      <c r="M128" s="72"/>
      <c r="N128" s="72"/>
      <c r="O128" s="264" t="str">
        <f t="shared" si="10"/>
        <v/>
      </c>
      <c r="P128" s="230">
        <f t="shared" si="11"/>
        <v>0</v>
      </c>
      <c r="Q128" s="231" t="str">
        <f t="shared" si="7"/>
        <v>×</v>
      </c>
      <c r="R128" s="231" t="str">
        <f t="shared" si="12"/>
        <v>×</v>
      </c>
      <c r="S128" s="232" t="str">
        <f t="shared" si="13"/>
        <v/>
      </c>
    </row>
    <row r="129" spans="2:19">
      <c r="B129" s="68"/>
      <c r="C129" s="57"/>
      <c r="D129" s="259" t="str">
        <f t="shared" si="8"/>
        <v/>
      </c>
      <c r="E129" s="260" t="str">
        <f t="shared" si="9"/>
        <v/>
      </c>
      <c r="F129" s="271" t="str">
        <f>IF(G129="","",VLOOKUP(G129,プルダウン用リスト!$K$1:$M$16,2,FALSE))</f>
        <v/>
      </c>
      <c r="G129" s="70"/>
      <c r="H129" s="70"/>
      <c r="I129" s="70"/>
      <c r="J129" s="135"/>
      <c r="K129" s="136"/>
      <c r="L129" s="71"/>
      <c r="M129" s="72"/>
      <c r="N129" s="72"/>
      <c r="O129" s="264" t="str">
        <f t="shared" si="10"/>
        <v/>
      </c>
      <c r="P129" s="230">
        <f t="shared" si="11"/>
        <v>0</v>
      </c>
      <c r="Q129" s="231" t="str">
        <f t="shared" si="7"/>
        <v>×</v>
      </c>
      <c r="R129" s="231" t="str">
        <f t="shared" si="12"/>
        <v>×</v>
      </c>
      <c r="S129" s="232" t="str">
        <f t="shared" si="13"/>
        <v/>
      </c>
    </row>
    <row r="130" spans="2:19">
      <c r="B130" s="68"/>
      <c r="C130" s="57"/>
      <c r="D130" s="259" t="str">
        <f t="shared" si="8"/>
        <v/>
      </c>
      <c r="E130" s="260" t="str">
        <f t="shared" si="9"/>
        <v/>
      </c>
      <c r="F130" s="271" t="str">
        <f>IF(G130="","",VLOOKUP(G130,プルダウン用リスト!$K$1:$M$16,2,FALSE))</f>
        <v/>
      </c>
      <c r="G130" s="70"/>
      <c r="H130" s="58"/>
      <c r="I130" s="70"/>
      <c r="J130" s="135"/>
      <c r="K130" s="136"/>
      <c r="L130" s="71"/>
      <c r="M130" s="72"/>
      <c r="N130" s="72"/>
      <c r="O130" s="264" t="str">
        <f t="shared" si="10"/>
        <v/>
      </c>
      <c r="P130" s="230">
        <f t="shared" si="11"/>
        <v>0</v>
      </c>
      <c r="Q130" s="231" t="str">
        <f t="shared" si="7"/>
        <v>×</v>
      </c>
      <c r="R130" s="231" t="str">
        <f t="shared" si="12"/>
        <v>×</v>
      </c>
      <c r="S130" s="232" t="str">
        <f t="shared" si="13"/>
        <v/>
      </c>
    </row>
    <row r="131" spans="2:19">
      <c r="B131" s="68"/>
      <c r="C131" s="57"/>
      <c r="D131" s="259" t="str">
        <f t="shared" si="8"/>
        <v/>
      </c>
      <c r="E131" s="260" t="str">
        <f t="shared" si="9"/>
        <v/>
      </c>
      <c r="F131" s="271" t="str">
        <f>IF(G131="","",VLOOKUP(G131,プルダウン用リスト!$K$1:$M$16,2,FALSE))</f>
        <v/>
      </c>
      <c r="G131" s="70"/>
      <c r="H131" s="58"/>
      <c r="I131" s="70"/>
      <c r="J131" s="135"/>
      <c r="K131" s="136"/>
      <c r="L131" s="71"/>
      <c r="M131" s="72"/>
      <c r="N131" s="72"/>
      <c r="O131" s="264" t="str">
        <f t="shared" si="10"/>
        <v/>
      </c>
      <c r="P131" s="230">
        <f t="shared" si="11"/>
        <v>0</v>
      </c>
      <c r="Q131" s="231" t="str">
        <f t="shared" si="7"/>
        <v>×</v>
      </c>
      <c r="R131" s="231" t="str">
        <f t="shared" si="12"/>
        <v>×</v>
      </c>
      <c r="S131" s="232" t="str">
        <f t="shared" si="13"/>
        <v/>
      </c>
    </row>
    <row r="132" spans="2:19">
      <c r="B132" s="68"/>
      <c r="C132" s="57"/>
      <c r="D132" s="259" t="str">
        <f t="shared" si="8"/>
        <v/>
      </c>
      <c r="E132" s="260" t="str">
        <f t="shared" si="9"/>
        <v/>
      </c>
      <c r="F132" s="271" t="str">
        <f>IF(G132="","",VLOOKUP(G132,プルダウン用リスト!$K$1:$M$16,2,FALSE))</f>
        <v/>
      </c>
      <c r="G132" s="70"/>
      <c r="H132" s="70"/>
      <c r="I132" s="70"/>
      <c r="J132" s="135"/>
      <c r="K132" s="136"/>
      <c r="L132" s="71"/>
      <c r="M132" s="72"/>
      <c r="N132" s="72"/>
      <c r="O132" s="264" t="str">
        <f t="shared" si="10"/>
        <v/>
      </c>
      <c r="P132" s="230">
        <f t="shared" si="11"/>
        <v>0</v>
      </c>
      <c r="Q132" s="231" t="str">
        <f t="shared" si="7"/>
        <v>×</v>
      </c>
      <c r="R132" s="231" t="str">
        <f t="shared" si="12"/>
        <v>×</v>
      </c>
      <c r="S132" s="232" t="str">
        <f t="shared" si="13"/>
        <v/>
      </c>
    </row>
    <row r="133" spans="2:19">
      <c r="B133" s="68"/>
      <c r="C133" s="57"/>
      <c r="D133" s="259" t="str">
        <f t="shared" si="8"/>
        <v/>
      </c>
      <c r="E133" s="260" t="str">
        <f t="shared" si="9"/>
        <v/>
      </c>
      <c r="F133" s="271" t="str">
        <f>IF(G133="","",VLOOKUP(G133,プルダウン用リスト!$K$1:$M$16,2,FALSE))</f>
        <v/>
      </c>
      <c r="G133" s="70"/>
      <c r="H133" s="58"/>
      <c r="I133" s="70"/>
      <c r="J133" s="135"/>
      <c r="K133" s="136"/>
      <c r="L133" s="71"/>
      <c r="M133" s="72"/>
      <c r="N133" s="72"/>
      <c r="O133" s="264" t="str">
        <f t="shared" si="10"/>
        <v/>
      </c>
      <c r="P133" s="230">
        <f t="shared" si="11"/>
        <v>0</v>
      </c>
      <c r="Q133" s="231" t="str">
        <f t="shared" si="7"/>
        <v>×</v>
      </c>
      <c r="R133" s="231" t="str">
        <f t="shared" si="12"/>
        <v>×</v>
      </c>
      <c r="S133" s="232" t="str">
        <f t="shared" si="13"/>
        <v/>
      </c>
    </row>
    <row r="134" spans="2:19">
      <c r="B134" s="68"/>
      <c r="C134" s="57"/>
      <c r="D134" s="259" t="str">
        <f t="shared" si="8"/>
        <v/>
      </c>
      <c r="E134" s="260" t="str">
        <f t="shared" si="9"/>
        <v/>
      </c>
      <c r="F134" s="271" t="str">
        <f>IF(G134="","",VLOOKUP(G134,プルダウン用リスト!$K$1:$M$16,2,FALSE))</f>
        <v/>
      </c>
      <c r="G134" s="70"/>
      <c r="H134" s="58"/>
      <c r="I134" s="70"/>
      <c r="J134" s="135"/>
      <c r="K134" s="136"/>
      <c r="L134" s="71"/>
      <c r="M134" s="72"/>
      <c r="N134" s="72"/>
      <c r="O134" s="264" t="str">
        <f t="shared" si="10"/>
        <v/>
      </c>
      <c r="P134" s="230">
        <f t="shared" si="11"/>
        <v>0</v>
      </c>
      <c r="Q134" s="231" t="str">
        <f t="shared" ref="Q134:Q197" si="14">IF(G134="旅費","〇","×")</f>
        <v>×</v>
      </c>
      <c r="R134" s="231" t="str">
        <f t="shared" si="12"/>
        <v>×</v>
      </c>
      <c r="S134" s="232" t="str">
        <f t="shared" si="13"/>
        <v/>
      </c>
    </row>
    <row r="135" spans="2:19">
      <c r="B135" s="68"/>
      <c r="C135" s="57"/>
      <c r="D135" s="259" t="str">
        <f t="shared" ref="D135:D198" si="15">IF(E135="","",IF(E135="謝金","01.",IF(E135="旅費","02.",IF(E135="その他","04.","03."))))</f>
        <v/>
      </c>
      <c r="E135" s="260" t="str">
        <f t="shared" ref="E135:E198" si="16">IF(G135="","",IF(OR(G135="謝金（内部）",G135="謝金（外部）"),"謝金",IF(G135="旅費","旅費",IF(G135="対象外経費","その他","所費"))))</f>
        <v/>
      </c>
      <c r="F135" s="271" t="str">
        <f>IF(G135="","",VLOOKUP(G135,プルダウン用リスト!$K$1:$M$16,2,FALSE))</f>
        <v/>
      </c>
      <c r="G135" s="70"/>
      <c r="H135" s="70"/>
      <c r="I135" s="70"/>
      <c r="J135" s="135"/>
      <c r="K135" s="136"/>
      <c r="L135" s="71"/>
      <c r="M135" s="72"/>
      <c r="N135" s="72"/>
      <c r="O135" s="264" t="str">
        <f t="shared" ref="O135:O198" si="17">IF(G135="対象外経費",M135,IF(N135="","",M135-N135))</f>
        <v/>
      </c>
      <c r="P135" s="230">
        <f t="shared" si="11"/>
        <v>0</v>
      </c>
      <c r="Q135" s="231" t="str">
        <f t="shared" si="14"/>
        <v>×</v>
      </c>
      <c r="R135" s="231" t="str">
        <f t="shared" si="12"/>
        <v>×</v>
      </c>
      <c r="S135" s="232" t="str">
        <f t="shared" si="13"/>
        <v/>
      </c>
    </row>
    <row r="136" spans="2:19">
      <c r="B136" s="68"/>
      <c r="C136" s="57"/>
      <c r="D136" s="259" t="str">
        <f t="shared" si="15"/>
        <v/>
      </c>
      <c r="E136" s="260" t="str">
        <f t="shared" si="16"/>
        <v/>
      </c>
      <c r="F136" s="271" t="str">
        <f>IF(G136="","",VLOOKUP(G136,プルダウン用リスト!$K$1:$M$16,2,FALSE))</f>
        <v/>
      </c>
      <c r="G136" s="70"/>
      <c r="H136" s="58"/>
      <c r="I136" s="70"/>
      <c r="J136" s="135"/>
      <c r="K136" s="136"/>
      <c r="L136" s="71"/>
      <c r="M136" s="72"/>
      <c r="N136" s="72"/>
      <c r="O136" s="264" t="str">
        <f t="shared" si="17"/>
        <v/>
      </c>
      <c r="P136" s="230">
        <f t="shared" ref="P136:P199" si="18">COUNTA(B136,C136,G136,H136,I136,L136,M136,J136,K136,N136)</f>
        <v>0</v>
      </c>
      <c r="Q136" s="231" t="str">
        <f t="shared" si="14"/>
        <v>×</v>
      </c>
      <c r="R136" s="231" t="str">
        <f t="shared" si="12"/>
        <v>×</v>
      </c>
      <c r="S136" s="232" t="str">
        <f t="shared" si="13"/>
        <v/>
      </c>
    </row>
    <row r="137" spans="2:19">
      <c r="B137" s="68"/>
      <c r="C137" s="57"/>
      <c r="D137" s="259" t="str">
        <f t="shared" si="15"/>
        <v/>
      </c>
      <c r="E137" s="260" t="str">
        <f t="shared" si="16"/>
        <v/>
      </c>
      <c r="F137" s="271" t="str">
        <f>IF(G137="","",VLOOKUP(G137,プルダウン用リスト!$K$1:$M$16,2,FALSE))</f>
        <v/>
      </c>
      <c r="G137" s="70"/>
      <c r="H137" s="58"/>
      <c r="I137" s="70"/>
      <c r="J137" s="135"/>
      <c r="K137" s="136"/>
      <c r="L137" s="71"/>
      <c r="M137" s="72"/>
      <c r="N137" s="72"/>
      <c r="O137" s="264" t="str">
        <f t="shared" si="17"/>
        <v/>
      </c>
      <c r="P137" s="230">
        <f t="shared" si="18"/>
        <v>0</v>
      </c>
      <c r="Q137" s="231" t="str">
        <f t="shared" si="14"/>
        <v>×</v>
      </c>
      <c r="R137" s="231" t="str">
        <f t="shared" ref="R137:R200" si="19">IF(E137="謝金","〇","×")</f>
        <v>×</v>
      </c>
      <c r="S137" s="232" t="str">
        <f t="shared" ref="S137:S200" si="20">_xlfn.IFS(P137=0,"",AND(G137="対象外経費",P137=7),"OK",P137&lt;=7,"ピンク色のセルを全て入力してください",P137=9,"OK",Q137="〇","ピンク色のセルを全て入力してください",R137="〇","ピンク色のセルを全て入力してください",P137=8,"OK")</f>
        <v/>
      </c>
    </row>
    <row r="138" spans="2:19">
      <c r="B138" s="68"/>
      <c r="C138" s="69"/>
      <c r="D138" s="259" t="str">
        <f t="shared" si="15"/>
        <v/>
      </c>
      <c r="E138" s="260" t="str">
        <f t="shared" si="16"/>
        <v/>
      </c>
      <c r="F138" s="271" t="str">
        <f>IF(G138="","",VLOOKUP(G138,プルダウン用リスト!$K$1:$M$16,2,FALSE))</f>
        <v/>
      </c>
      <c r="G138" s="70"/>
      <c r="H138" s="70"/>
      <c r="I138" s="70"/>
      <c r="J138" s="135"/>
      <c r="K138" s="136"/>
      <c r="L138" s="71"/>
      <c r="M138" s="72"/>
      <c r="N138" s="72"/>
      <c r="O138" s="264" t="str">
        <f t="shared" si="17"/>
        <v/>
      </c>
      <c r="P138" s="230">
        <f t="shared" si="18"/>
        <v>0</v>
      </c>
      <c r="Q138" s="231" t="str">
        <f t="shared" si="14"/>
        <v>×</v>
      </c>
      <c r="R138" s="231" t="str">
        <f t="shared" si="19"/>
        <v>×</v>
      </c>
      <c r="S138" s="232" t="str">
        <f t="shared" si="20"/>
        <v/>
      </c>
    </row>
    <row r="139" spans="2:19">
      <c r="B139" s="68"/>
      <c r="C139" s="57"/>
      <c r="D139" s="259" t="str">
        <f t="shared" si="15"/>
        <v/>
      </c>
      <c r="E139" s="260" t="str">
        <f t="shared" si="16"/>
        <v/>
      </c>
      <c r="F139" s="271" t="str">
        <f>IF(G139="","",VLOOKUP(G139,プルダウン用リスト!$K$1:$M$16,2,FALSE))</f>
        <v/>
      </c>
      <c r="G139" s="70"/>
      <c r="H139" s="58"/>
      <c r="I139" s="70"/>
      <c r="J139" s="135"/>
      <c r="K139" s="136"/>
      <c r="L139" s="71"/>
      <c r="M139" s="72"/>
      <c r="N139" s="72"/>
      <c r="O139" s="264" t="str">
        <f t="shared" si="17"/>
        <v/>
      </c>
      <c r="P139" s="230">
        <f t="shared" si="18"/>
        <v>0</v>
      </c>
      <c r="Q139" s="231" t="str">
        <f t="shared" si="14"/>
        <v>×</v>
      </c>
      <c r="R139" s="231" t="str">
        <f t="shared" si="19"/>
        <v>×</v>
      </c>
      <c r="S139" s="232" t="str">
        <f t="shared" si="20"/>
        <v/>
      </c>
    </row>
    <row r="140" spans="2:19">
      <c r="B140" s="68"/>
      <c r="C140" s="57"/>
      <c r="D140" s="259" t="str">
        <f t="shared" si="15"/>
        <v/>
      </c>
      <c r="E140" s="260" t="str">
        <f t="shared" si="16"/>
        <v/>
      </c>
      <c r="F140" s="271" t="str">
        <f>IF(G140="","",VLOOKUP(G140,プルダウン用リスト!$K$1:$M$16,2,FALSE))</f>
        <v/>
      </c>
      <c r="G140" s="70"/>
      <c r="H140" s="58"/>
      <c r="I140" s="70"/>
      <c r="J140" s="135"/>
      <c r="K140" s="136"/>
      <c r="L140" s="71"/>
      <c r="M140" s="72"/>
      <c r="N140" s="72"/>
      <c r="O140" s="264" t="str">
        <f t="shared" si="17"/>
        <v/>
      </c>
      <c r="P140" s="230">
        <f t="shared" si="18"/>
        <v>0</v>
      </c>
      <c r="Q140" s="231" t="str">
        <f t="shared" si="14"/>
        <v>×</v>
      </c>
      <c r="R140" s="231" t="str">
        <f t="shared" si="19"/>
        <v>×</v>
      </c>
      <c r="S140" s="232" t="str">
        <f t="shared" si="20"/>
        <v/>
      </c>
    </row>
    <row r="141" spans="2:19">
      <c r="B141" s="68"/>
      <c r="C141" s="57"/>
      <c r="D141" s="259" t="str">
        <f t="shared" si="15"/>
        <v/>
      </c>
      <c r="E141" s="260" t="str">
        <f t="shared" si="16"/>
        <v/>
      </c>
      <c r="F141" s="271" t="str">
        <f>IF(G141="","",VLOOKUP(G141,プルダウン用リスト!$K$1:$M$16,2,FALSE))</f>
        <v/>
      </c>
      <c r="G141" s="70"/>
      <c r="H141" s="70"/>
      <c r="I141" s="70"/>
      <c r="J141" s="135"/>
      <c r="K141" s="136"/>
      <c r="L141" s="71"/>
      <c r="M141" s="72"/>
      <c r="N141" s="72"/>
      <c r="O141" s="264" t="str">
        <f t="shared" si="17"/>
        <v/>
      </c>
      <c r="P141" s="230">
        <f t="shared" si="18"/>
        <v>0</v>
      </c>
      <c r="Q141" s="231" t="str">
        <f t="shared" si="14"/>
        <v>×</v>
      </c>
      <c r="R141" s="231" t="str">
        <f t="shared" si="19"/>
        <v>×</v>
      </c>
      <c r="S141" s="232" t="str">
        <f t="shared" si="20"/>
        <v/>
      </c>
    </row>
    <row r="142" spans="2:19">
      <c r="B142" s="68"/>
      <c r="C142" s="57"/>
      <c r="D142" s="259" t="str">
        <f t="shared" si="15"/>
        <v/>
      </c>
      <c r="E142" s="260" t="str">
        <f t="shared" si="16"/>
        <v/>
      </c>
      <c r="F142" s="271" t="str">
        <f>IF(G142="","",VLOOKUP(G142,プルダウン用リスト!$K$1:$M$16,2,FALSE))</f>
        <v/>
      </c>
      <c r="G142" s="70"/>
      <c r="H142" s="58"/>
      <c r="I142" s="70"/>
      <c r="J142" s="135"/>
      <c r="K142" s="136"/>
      <c r="L142" s="71"/>
      <c r="M142" s="72"/>
      <c r="N142" s="72"/>
      <c r="O142" s="264" t="str">
        <f t="shared" si="17"/>
        <v/>
      </c>
      <c r="P142" s="230">
        <f t="shared" si="18"/>
        <v>0</v>
      </c>
      <c r="Q142" s="231" t="str">
        <f t="shared" si="14"/>
        <v>×</v>
      </c>
      <c r="R142" s="231" t="str">
        <f t="shared" si="19"/>
        <v>×</v>
      </c>
      <c r="S142" s="232" t="str">
        <f t="shared" si="20"/>
        <v/>
      </c>
    </row>
    <row r="143" spans="2:19">
      <c r="B143" s="68"/>
      <c r="C143" s="57"/>
      <c r="D143" s="259" t="str">
        <f t="shared" si="15"/>
        <v/>
      </c>
      <c r="E143" s="260" t="str">
        <f t="shared" si="16"/>
        <v/>
      </c>
      <c r="F143" s="271" t="str">
        <f>IF(G143="","",VLOOKUP(G143,プルダウン用リスト!$K$1:$M$16,2,FALSE))</f>
        <v/>
      </c>
      <c r="G143" s="70"/>
      <c r="H143" s="58"/>
      <c r="I143" s="70"/>
      <c r="J143" s="135"/>
      <c r="K143" s="136"/>
      <c r="L143" s="71"/>
      <c r="M143" s="72"/>
      <c r="N143" s="72"/>
      <c r="O143" s="264" t="str">
        <f t="shared" si="17"/>
        <v/>
      </c>
      <c r="P143" s="230">
        <f t="shared" si="18"/>
        <v>0</v>
      </c>
      <c r="Q143" s="231" t="str">
        <f t="shared" si="14"/>
        <v>×</v>
      </c>
      <c r="R143" s="231" t="str">
        <f t="shared" si="19"/>
        <v>×</v>
      </c>
      <c r="S143" s="232" t="str">
        <f t="shared" si="20"/>
        <v/>
      </c>
    </row>
    <row r="144" spans="2:19">
      <c r="B144" s="68"/>
      <c r="C144" s="57"/>
      <c r="D144" s="259" t="str">
        <f t="shared" si="15"/>
        <v/>
      </c>
      <c r="E144" s="260" t="str">
        <f t="shared" si="16"/>
        <v/>
      </c>
      <c r="F144" s="271" t="str">
        <f>IF(G144="","",VLOOKUP(G144,プルダウン用リスト!$K$1:$M$16,2,FALSE))</f>
        <v/>
      </c>
      <c r="G144" s="70"/>
      <c r="H144" s="70"/>
      <c r="I144" s="70"/>
      <c r="J144" s="135"/>
      <c r="K144" s="136"/>
      <c r="L144" s="71"/>
      <c r="M144" s="72"/>
      <c r="N144" s="72"/>
      <c r="O144" s="264" t="str">
        <f t="shared" si="17"/>
        <v/>
      </c>
      <c r="P144" s="230">
        <f t="shared" si="18"/>
        <v>0</v>
      </c>
      <c r="Q144" s="231" t="str">
        <f t="shared" si="14"/>
        <v>×</v>
      </c>
      <c r="R144" s="231" t="str">
        <f t="shared" si="19"/>
        <v>×</v>
      </c>
      <c r="S144" s="232" t="str">
        <f t="shared" si="20"/>
        <v/>
      </c>
    </row>
    <row r="145" spans="2:19">
      <c r="B145" s="68"/>
      <c r="C145" s="57"/>
      <c r="D145" s="259" t="str">
        <f t="shared" si="15"/>
        <v/>
      </c>
      <c r="E145" s="260" t="str">
        <f t="shared" si="16"/>
        <v/>
      </c>
      <c r="F145" s="271" t="str">
        <f>IF(G145="","",VLOOKUP(G145,プルダウン用リスト!$K$1:$M$16,2,FALSE))</f>
        <v/>
      </c>
      <c r="G145" s="70"/>
      <c r="H145" s="58"/>
      <c r="I145" s="70"/>
      <c r="J145" s="135"/>
      <c r="K145" s="136"/>
      <c r="L145" s="71"/>
      <c r="M145" s="72"/>
      <c r="N145" s="72"/>
      <c r="O145" s="264" t="str">
        <f t="shared" si="17"/>
        <v/>
      </c>
      <c r="P145" s="230">
        <f t="shared" si="18"/>
        <v>0</v>
      </c>
      <c r="Q145" s="231" t="str">
        <f t="shared" si="14"/>
        <v>×</v>
      </c>
      <c r="R145" s="231" t="str">
        <f t="shared" si="19"/>
        <v>×</v>
      </c>
      <c r="S145" s="232" t="str">
        <f t="shared" si="20"/>
        <v/>
      </c>
    </row>
    <row r="146" spans="2:19">
      <c r="B146" s="68"/>
      <c r="C146" s="57"/>
      <c r="D146" s="259" t="str">
        <f t="shared" si="15"/>
        <v/>
      </c>
      <c r="E146" s="260" t="str">
        <f t="shared" si="16"/>
        <v/>
      </c>
      <c r="F146" s="271" t="str">
        <f>IF(G146="","",VLOOKUP(G146,プルダウン用リスト!$K$1:$M$16,2,FALSE))</f>
        <v/>
      </c>
      <c r="G146" s="70"/>
      <c r="H146" s="58"/>
      <c r="I146" s="70"/>
      <c r="J146" s="135"/>
      <c r="K146" s="136"/>
      <c r="L146" s="71"/>
      <c r="M146" s="72"/>
      <c r="N146" s="72"/>
      <c r="O146" s="264" t="str">
        <f t="shared" si="17"/>
        <v/>
      </c>
      <c r="P146" s="230">
        <f t="shared" si="18"/>
        <v>0</v>
      </c>
      <c r="Q146" s="231" t="str">
        <f t="shared" si="14"/>
        <v>×</v>
      </c>
      <c r="R146" s="231" t="str">
        <f t="shared" si="19"/>
        <v>×</v>
      </c>
      <c r="S146" s="232" t="str">
        <f t="shared" si="20"/>
        <v/>
      </c>
    </row>
    <row r="147" spans="2:19">
      <c r="B147" s="68"/>
      <c r="C147" s="57"/>
      <c r="D147" s="259" t="str">
        <f t="shared" si="15"/>
        <v/>
      </c>
      <c r="E147" s="260" t="str">
        <f t="shared" si="16"/>
        <v/>
      </c>
      <c r="F147" s="271" t="str">
        <f>IF(G147="","",VLOOKUP(G147,プルダウン用リスト!$K$1:$M$16,2,FALSE))</f>
        <v/>
      </c>
      <c r="G147" s="70"/>
      <c r="H147" s="70"/>
      <c r="I147" s="70"/>
      <c r="J147" s="135"/>
      <c r="K147" s="136"/>
      <c r="L147" s="71"/>
      <c r="M147" s="72"/>
      <c r="N147" s="72"/>
      <c r="O147" s="264" t="str">
        <f t="shared" si="17"/>
        <v/>
      </c>
      <c r="P147" s="230">
        <f t="shared" si="18"/>
        <v>0</v>
      </c>
      <c r="Q147" s="231" t="str">
        <f t="shared" si="14"/>
        <v>×</v>
      </c>
      <c r="R147" s="231" t="str">
        <f t="shared" si="19"/>
        <v>×</v>
      </c>
      <c r="S147" s="232" t="str">
        <f t="shared" si="20"/>
        <v/>
      </c>
    </row>
    <row r="148" spans="2:19">
      <c r="B148" s="68"/>
      <c r="C148" s="57"/>
      <c r="D148" s="259" t="str">
        <f t="shared" si="15"/>
        <v/>
      </c>
      <c r="E148" s="260" t="str">
        <f t="shared" si="16"/>
        <v/>
      </c>
      <c r="F148" s="271" t="str">
        <f>IF(G148="","",VLOOKUP(G148,プルダウン用リスト!$K$1:$M$16,2,FALSE))</f>
        <v/>
      </c>
      <c r="G148" s="70"/>
      <c r="H148" s="58"/>
      <c r="I148" s="70"/>
      <c r="J148" s="135"/>
      <c r="K148" s="136"/>
      <c r="L148" s="71"/>
      <c r="M148" s="72"/>
      <c r="N148" s="72"/>
      <c r="O148" s="264" t="str">
        <f t="shared" si="17"/>
        <v/>
      </c>
      <c r="P148" s="230">
        <f t="shared" si="18"/>
        <v>0</v>
      </c>
      <c r="Q148" s="231" t="str">
        <f t="shared" si="14"/>
        <v>×</v>
      </c>
      <c r="R148" s="231" t="str">
        <f t="shared" si="19"/>
        <v>×</v>
      </c>
      <c r="S148" s="232" t="str">
        <f t="shared" si="20"/>
        <v/>
      </c>
    </row>
    <row r="149" spans="2:19">
      <c r="B149" s="68"/>
      <c r="C149" s="57"/>
      <c r="D149" s="259" t="str">
        <f t="shared" si="15"/>
        <v/>
      </c>
      <c r="E149" s="260" t="str">
        <f t="shared" si="16"/>
        <v/>
      </c>
      <c r="F149" s="271" t="str">
        <f>IF(G149="","",VLOOKUP(G149,プルダウン用リスト!$K$1:$M$16,2,FALSE))</f>
        <v/>
      </c>
      <c r="G149" s="70"/>
      <c r="H149" s="58"/>
      <c r="I149" s="70"/>
      <c r="J149" s="135"/>
      <c r="K149" s="136"/>
      <c r="L149" s="71"/>
      <c r="M149" s="72"/>
      <c r="N149" s="72"/>
      <c r="O149" s="264" t="str">
        <f t="shared" si="17"/>
        <v/>
      </c>
      <c r="P149" s="230">
        <f t="shared" si="18"/>
        <v>0</v>
      </c>
      <c r="Q149" s="231" t="str">
        <f t="shared" si="14"/>
        <v>×</v>
      </c>
      <c r="R149" s="231" t="str">
        <f t="shared" si="19"/>
        <v>×</v>
      </c>
      <c r="S149" s="232" t="str">
        <f t="shared" si="20"/>
        <v/>
      </c>
    </row>
    <row r="150" spans="2:19">
      <c r="B150" s="68"/>
      <c r="C150" s="69"/>
      <c r="D150" s="259" t="str">
        <f t="shared" si="15"/>
        <v/>
      </c>
      <c r="E150" s="260" t="str">
        <f t="shared" si="16"/>
        <v/>
      </c>
      <c r="F150" s="271" t="str">
        <f>IF(G150="","",VLOOKUP(G150,プルダウン用リスト!$K$1:$M$16,2,FALSE))</f>
        <v/>
      </c>
      <c r="G150" s="70"/>
      <c r="H150" s="70"/>
      <c r="I150" s="70"/>
      <c r="J150" s="135"/>
      <c r="K150" s="136"/>
      <c r="L150" s="71"/>
      <c r="M150" s="72"/>
      <c r="N150" s="72"/>
      <c r="O150" s="264" t="str">
        <f t="shared" si="17"/>
        <v/>
      </c>
      <c r="P150" s="230">
        <f t="shared" si="18"/>
        <v>0</v>
      </c>
      <c r="Q150" s="231" t="str">
        <f t="shared" si="14"/>
        <v>×</v>
      </c>
      <c r="R150" s="231" t="str">
        <f t="shared" si="19"/>
        <v>×</v>
      </c>
      <c r="S150" s="232" t="str">
        <f t="shared" si="20"/>
        <v/>
      </c>
    </row>
    <row r="151" spans="2:19">
      <c r="B151" s="68"/>
      <c r="C151" s="57"/>
      <c r="D151" s="259" t="str">
        <f t="shared" si="15"/>
        <v/>
      </c>
      <c r="E151" s="260" t="str">
        <f t="shared" si="16"/>
        <v/>
      </c>
      <c r="F151" s="271" t="str">
        <f>IF(G151="","",VLOOKUP(G151,プルダウン用リスト!$K$1:$M$16,2,FALSE))</f>
        <v/>
      </c>
      <c r="G151" s="70"/>
      <c r="H151" s="58"/>
      <c r="I151" s="70"/>
      <c r="J151" s="135"/>
      <c r="K151" s="136"/>
      <c r="L151" s="71"/>
      <c r="M151" s="72"/>
      <c r="N151" s="72"/>
      <c r="O151" s="264" t="str">
        <f t="shared" si="17"/>
        <v/>
      </c>
      <c r="P151" s="230">
        <f t="shared" si="18"/>
        <v>0</v>
      </c>
      <c r="Q151" s="231" t="str">
        <f t="shared" si="14"/>
        <v>×</v>
      </c>
      <c r="R151" s="231" t="str">
        <f t="shared" si="19"/>
        <v>×</v>
      </c>
      <c r="S151" s="232" t="str">
        <f t="shared" si="20"/>
        <v/>
      </c>
    </row>
    <row r="152" spans="2:19">
      <c r="B152" s="68"/>
      <c r="C152" s="57"/>
      <c r="D152" s="259" t="str">
        <f t="shared" si="15"/>
        <v/>
      </c>
      <c r="E152" s="260" t="str">
        <f t="shared" si="16"/>
        <v/>
      </c>
      <c r="F152" s="271" t="str">
        <f>IF(G152="","",VLOOKUP(G152,プルダウン用リスト!$K$1:$M$16,2,FALSE))</f>
        <v/>
      </c>
      <c r="G152" s="70"/>
      <c r="H152" s="58"/>
      <c r="I152" s="70"/>
      <c r="J152" s="135"/>
      <c r="K152" s="136"/>
      <c r="L152" s="71"/>
      <c r="M152" s="72"/>
      <c r="N152" s="72"/>
      <c r="O152" s="264" t="str">
        <f t="shared" si="17"/>
        <v/>
      </c>
      <c r="P152" s="230">
        <f t="shared" si="18"/>
        <v>0</v>
      </c>
      <c r="Q152" s="231" t="str">
        <f t="shared" si="14"/>
        <v>×</v>
      </c>
      <c r="R152" s="231" t="str">
        <f t="shared" si="19"/>
        <v>×</v>
      </c>
      <c r="S152" s="232" t="str">
        <f t="shared" si="20"/>
        <v/>
      </c>
    </row>
    <row r="153" spans="2:19">
      <c r="B153" s="68"/>
      <c r="C153" s="57"/>
      <c r="D153" s="259" t="str">
        <f t="shared" si="15"/>
        <v/>
      </c>
      <c r="E153" s="260" t="str">
        <f t="shared" si="16"/>
        <v/>
      </c>
      <c r="F153" s="271" t="str">
        <f>IF(G153="","",VLOOKUP(G153,プルダウン用リスト!$K$1:$M$16,2,FALSE))</f>
        <v/>
      </c>
      <c r="G153" s="70"/>
      <c r="H153" s="70"/>
      <c r="I153" s="70"/>
      <c r="J153" s="135"/>
      <c r="K153" s="136"/>
      <c r="L153" s="71"/>
      <c r="M153" s="72"/>
      <c r="N153" s="72"/>
      <c r="O153" s="264" t="str">
        <f t="shared" si="17"/>
        <v/>
      </c>
      <c r="P153" s="230">
        <f t="shared" si="18"/>
        <v>0</v>
      </c>
      <c r="Q153" s="231" t="str">
        <f t="shared" si="14"/>
        <v>×</v>
      </c>
      <c r="R153" s="231" t="str">
        <f t="shared" si="19"/>
        <v>×</v>
      </c>
      <c r="S153" s="232" t="str">
        <f t="shared" si="20"/>
        <v/>
      </c>
    </row>
    <row r="154" spans="2:19">
      <c r="B154" s="68"/>
      <c r="C154" s="57"/>
      <c r="D154" s="259" t="str">
        <f t="shared" si="15"/>
        <v/>
      </c>
      <c r="E154" s="260" t="str">
        <f t="shared" si="16"/>
        <v/>
      </c>
      <c r="F154" s="271" t="str">
        <f>IF(G154="","",VLOOKUP(G154,プルダウン用リスト!$K$1:$M$16,2,FALSE))</f>
        <v/>
      </c>
      <c r="G154" s="70"/>
      <c r="H154" s="58"/>
      <c r="I154" s="70"/>
      <c r="J154" s="135"/>
      <c r="K154" s="136"/>
      <c r="L154" s="71"/>
      <c r="M154" s="72"/>
      <c r="N154" s="72"/>
      <c r="O154" s="264" t="str">
        <f t="shared" si="17"/>
        <v/>
      </c>
      <c r="P154" s="230">
        <f t="shared" si="18"/>
        <v>0</v>
      </c>
      <c r="Q154" s="231" t="str">
        <f t="shared" si="14"/>
        <v>×</v>
      </c>
      <c r="R154" s="231" t="str">
        <f t="shared" si="19"/>
        <v>×</v>
      </c>
      <c r="S154" s="232" t="str">
        <f t="shared" si="20"/>
        <v/>
      </c>
    </row>
    <row r="155" spans="2:19">
      <c r="B155" s="68"/>
      <c r="C155" s="57"/>
      <c r="D155" s="259" t="str">
        <f t="shared" si="15"/>
        <v/>
      </c>
      <c r="E155" s="260" t="str">
        <f t="shared" si="16"/>
        <v/>
      </c>
      <c r="F155" s="271" t="str">
        <f>IF(G155="","",VLOOKUP(G155,プルダウン用リスト!$K$1:$M$16,2,FALSE))</f>
        <v/>
      </c>
      <c r="G155" s="70"/>
      <c r="H155" s="58"/>
      <c r="I155" s="70"/>
      <c r="J155" s="135"/>
      <c r="K155" s="136"/>
      <c r="L155" s="71"/>
      <c r="M155" s="72"/>
      <c r="N155" s="72"/>
      <c r="O155" s="264" t="str">
        <f t="shared" si="17"/>
        <v/>
      </c>
      <c r="P155" s="230">
        <f t="shared" si="18"/>
        <v>0</v>
      </c>
      <c r="Q155" s="231" t="str">
        <f t="shared" si="14"/>
        <v>×</v>
      </c>
      <c r="R155" s="231" t="str">
        <f t="shared" si="19"/>
        <v>×</v>
      </c>
      <c r="S155" s="232" t="str">
        <f t="shared" si="20"/>
        <v/>
      </c>
    </row>
    <row r="156" spans="2:19">
      <c r="B156" s="68"/>
      <c r="C156" s="57"/>
      <c r="D156" s="259" t="str">
        <f t="shared" si="15"/>
        <v/>
      </c>
      <c r="E156" s="260" t="str">
        <f t="shared" si="16"/>
        <v/>
      </c>
      <c r="F156" s="271" t="str">
        <f>IF(G156="","",VLOOKUP(G156,プルダウン用リスト!$K$1:$M$16,2,FALSE))</f>
        <v/>
      </c>
      <c r="G156" s="70"/>
      <c r="H156" s="70"/>
      <c r="I156" s="70"/>
      <c r="J156" s="135"/>
      <c r="K156" s="136"/>
      <c r="L156" s="71"/>
      <c r="M156" s="72"/>
      <c r="N156" s="72"/>
      <c r="O156" s="264" t="str">
        <f t="shared" si="17"/>
        <v/>
      </c>
      <c r="P156" s="230">
        <f t="shared" si="18"/>
        <v>0</v>
      </c>
      <c r="Q156" s="231" t="str">
        <f t="shared" si="14"/>
        <v>×</v>
      </c>
      <c r="R156" s="231" t="str">
        <f t="shared" si="19"/>
        <v>×</v>
      </c>
      <c r="S156" s="232" t="str">
        <f t="shared" si="20"/>
        <v/>
      </c>
    </row>
    <row r="157" spans="2:19">
      <c r="B157" s="68"/>
      <c r="C157" s="57"/>
      <c r="D157" s="259" t="str">
        <f t="shared" si="15"/>
        <v/>
      </c>
      <c r="E157" s="260" t="str">
        <f t="shared" si="16"/>
        <v/>
      </c>
      <c r="F157" s="271" t="str">
        <f>IF(G157="","",VLOOKUP(G157,プルダウン用リスト!$K$1:$M$16,2,FALSE))</f>
        <v/>
      </c>
      <c r="G157" s="70"/>
      <c r="H157" s="58"/>
      <c r="I157" s="70"/>
      <c r="J157" s="135"/>
      <c r="K157" s="136"/>
      <c r="L157" s="71"/>
      <c r="M157" s="72"/>
      <c r="N157" s="72"/>
      <c r="O157" s="264" t="str">
        <f t="shared" si="17"/>
        <v/>
      </c>
      <c r="P157" s="230">
        <f t="shared" si="18"/>
        <v>0</v>
      </c>
      <c r="Q157" s="231" t="str">
        <f t="shared" si="14"/>
        <v>×</v>
      </c>
      <c r="R157" s="231" t="str">
        <f t="shared" si="19"/>
        <v>×</v>
      </c>
      <c r="S157" s="232" t="str">
        <f t="shared" si="20"/>
        <v/>
      </c>
    </row>
    <row r="158" spans="2:19">
      <c r="B158" s="68"/>
      <c r="C158" s="57"/>
      <c r="D158" s="259" t="str">
        <f t="shared" si="15"/>
        <v/>
      </c>
      <c r="E158" s="260" t="str">
        <f t="shared" si="16"/>
        <v/>
      </c>
      <c r="F158" s="271" t="str">
        <f>IF(G158="","",VLOOKUP(G158,プルダウン用リスト!$K$1:$M$16,2,FALSE))</f>
        <v/>
      </c>
      <c r="G158" s="70"/>
      <c r="H158" s="58"/>
      <c r="I158" s="70"/>
      <c r="J158" s="135"/>
      <c r="K158" s="136"/>
      <c r="L158" s="71"/>
      <c r="M158" s="72"/>
      <c r="N158" s="72"/>
      <c r="O158" s="264" t="str">
        <f t="shared" si="17"/>
        <v/>
      </c>
      <c r="P158" s="230">
        <f t="shared" si="18"/>
        <v>0</v>
      </c>
      <c r="Q158" s="231" t="str">
        <f t="shared" si="14"/>
        <v>×</v>
      </c>
      <c r="R158" s="231" t="str">
        <f t="shared" si="19"/>
        <v>×</v>
      </c>
      <c r="S158" s="232" t="str">
        <f t="shared" si="20"/>
        <v/>
      </c>
    </row>
    <row r="159" spans="2:19">
      <c r="B159" s="68"/>
      <c r="C159" s="57"/>
      <c r="D159" s="259" t="str">
        <f t="shared" si="15"/>
        <v/>
      </c>
      <c r="E159" s="260" t="str">
        <f t="shared" si="16"/>
        <v/>
      </c>
      <c r="F159" s="271" t="str">
        <f>IF(G159="","",VLOOKUP(G159,プルダウン用リスト!$K$1:$M$16,2,FALSE))</f>
        <v/>
      </c>
      <c r="G159" s="70"/>
      <c r="H159" s="70"/>
      <c r="I159" s="70"/>
      <c r="J159" s="135"/>
      <c r="K159" s="136"/>
      <c r="L159" s="71"/>
      <c r="M159" s="72"/>
      <c r="N159" s="72"/>
      <c r="O159" s="264" t="str">
        <f t="shared" si="17"/>
        <v/>
      </c>
      <c r="P159" s="230">
        <f t="shared" si="18"/>
        <v>0</v>
      </c>
      <c r="Q159" s="231" t="str">
        <f t="shared" si="14"/>
        <v>×</v>
      </c>
      <c r="R159" s="231" t="str">
        <f t="shared" si="19"/>
        <v>×</v>
      </c>
      <c r="S159" s="232" t="str">
        <f t="shared" si="20"/>
        <v/>
      </c>
    </row>
    <row r="160" spans="2:19">
      <c r="B160" s="68"/>
      <c r="C160" s="57"/>
      <c r="D160" s="259" t="str">
        <f t="shared" si="15"/>
        <v/>
      </c>
      <c r="E160" s="260" t="str">
        <f t="shared" si="16"/>
        <v/>
      </c>
      <c r="F160" s="271" t="str">
        <f>IF(G160="","",VLOOKUP(G160,プルダウン用リスト!$K$1:$M$16,2,FALSE))</f>
        <v/>
      </c>
      <c r="G160" s="70"/>
      <c r="H160" s="58"/>
      <c r="I160" s="70"/>
      <c r="J160" s="135"/>
      <c r="K160" s="136"/>
      <c r="L160" s="71"/>
      <c r="M160" s="72"/>
      <c r="N160" s="72"/>
      <c r="O160" s="264" t="str">
        <f t="shared" si="17"/>
        <v/>
      </c>
      <c r="P160" s="230">
        <f t="shared" si="18"/>
        <v>0</v>
      </c>
      <c r="Q160" s="231" t="str">
        <f t="shared" si="14"/>
        <v>×</v>
      </c>
      <c r="R160" s="231" t="str">
        <f t="shared" si="19"/>
        <v>×</v>
      </c>
      <c r="S160" s="232" t="str">
        <f t="shared" si="20"/>
        <v/>
      </c>
    </row>
    <row r="161" spans="2:19">
      <c r="B161" s="68"/>
      <c r="C161" s="57"/>
      <c r="D161" s="259" t="str">
        <f t="shared" si="15"/>
        <v/>
      </c>
      <c r="E161" s="260" t="str">
        <f t="shared" si="16"/>
        <v/>
      </c>
      <c r="F161" s="271" t="str">
        <f>IF(G161="","",VLOOKUP(G161,プルダウン用リスト!$K$1:$M$16,2,FALSE))</f>
        <v/>
      </c>
      <c r="G161" s="70"/>
      <c r="H161" s="58"/>
      <c r="I161" s="70"/>
      <c r="J161" s="135"/>
      <c r="K161" s="136"/>
      <c r="L161" s="71"/>
      <c r="M161" s="72"/>
      <c r="N161" s="72"/>
      <c r="O161" s="264" t="str">
        <f t="shared" si="17"/>
        <v/>
      </c>
      <c r="P161" s="230">
        <f t="shared" si="18"/>
        <v>0</v>
      </c>
      <c r="Q161" s="231" t="str">
        <f t="shared" si="14"/>
        <v>×</v>
      </c>
      <c r="R161" s="231" t="str">
        <f t="shared" si="19"/>
        <v>×</v>
      </c>
      <c r="S161" s="232" t="str">
        <f t="shared" si="20"/>
        <v/>
      </c>
    </row>
    <row r="162" spans="2:19">
      <c r="B162" s="68"/>
      <c r="C162" s="69"/>
      <c r="D162" s="259" t="str">
        <f t="shared" si="15"/>
        <v/>
      </c>
      <c r="E162" s="260" t="str">
        <f t="shared" si="16"/>
        <v/>
      </c>
      <c r="F162" s="271" t="str">
        <f>IF(G162="","",VLOOKUP(G162,プルダウン用リスト!$K$1:$M$16,2,FALSE))</f>
        <v/>
      </c>
      <c r="G162" s="70"/>
      <c r="H162" s="70"/>
      <c r="I162" s="70"/>
      <c r="J162" s="135"/>
      <c r="K162" s="136"/>
      <c r="L162" s="71"/>
      <c r="M162" s="72"/>
      <c r="N162" s="72"/>
      <c r="O162" s="264" t="str">
        <f t="shared" si="17"/>
        <v/>
      </c>
      <c r="P162" s="230">
        <f t="shared" si="18"/>
        <v>0</v>
      </c>
      <c r="Q162" s="231" t="str">
        <f t="shared" si="14"/>
        <v>×</v>
      </c>
      <c r="R162" s="231" t="str">
        <f t="shared" si="19"/>
        <v>×</v>
      </c>
      <c r="S162" s="232" t="str">
        <f t="shared" si="20"/>
        <v/>
      </c>
    </row>
    <row r="163" spans="2:19">
      <c r="B163" s="68"/>
      <c r="C163" s="57"/>
      <c r="D163" s="259" t="str">
        <f t="shared" si="15"/>
        <v/>
      </c>
      <c r="E163" s="260" t="str">
        <f t="shared" si="16"/>
        <v/>
      </c>
      <c r="F163" s="271" t="str">
        <f>IF(G163="","",VLOOKUP(G163,プルダウン用リスト!$K$1:$M$16,2,FALSE))</f>
        <v/>
      </c>
      <c r="G163" s="70"/>
      <c r="H163" s="58"/>
      <c r="I163" s="70"/>
      <c r="J163" s="135"/>
      <c r="K163" s="136"/>
      <c r="L163" s="71"/>
      <c r="M163" s="72"/>
      <c r="N163" s="72"/>
      <c r="O163" s="264" t="str">
        <f t="shared" si="17"/>
        <v/>
      </c>
      <c r="P163" s="230">
        <f t="shared" si="18"/>
        <v>0</v>
      </c>
      <c r="Q163" s="231" t="str">
        <f t="shared" si="14"/>
        <v>×</v>
      </c>
      <c r="R163" s="231" t="str">
        <f t="shared" si="19"/>
        <v>×</v>
      </c>
      <c r="S163" s="232" t="str">
        <f t="shared" si="20"/>
        <v/>
      </c>
    </row>
    <row r="164" spans="2:19">
      <c r="B164" s="68"/>
      <c r="C164" s="57"/>
      <c r="D164" s="259" t="str">
        <f t="shared" si="15"/>
        <v/>
      </c>
      <c r="E164" s="260" t="str">
        <f t="shared" si="16"/>
        <v/>
      </c>
      <c r="F164" s="271" t="str">
        <f>IF(G164="","",VLOOKUP(G164,プルダウン用リスト!$K$1:$M$16,2,FALSE))</f>
        <v/>
      </c>
      <c r="G164" s="70"/>
      <c r="H164" s="58"/>
      <c r="I164" s="70"/>
      <c r="J164" s="135"/>
      <c r="K164" s="136"/>
      <c r="L164" s="71"/>
      <c r="M164" s="72"/>
      <c r="N164" s="72"/>
      <c r="O164" s="264" t="str">
        <f t="shared" si="17"/>
        <v/>
      </c>
      <c r="P164" s="230">
        <f t="shared" si="18"/>
        <v>0</v>
      </c>
      <c r="Q164" s="231" t="str">
        <f t="shared" si="14"/>
        <v>×</v>
      </c>
      <c r="R164" s="231" t="str">
        <f t="shared" si="19"/>
        <v>×</v>
      </c>
      <c r="S164" s="232" t="str">
        <f t="shared" si="20"/>
        <v/>
      </c>
    </row>
    <row r="165" spans="2:19">
      <c r="B165" s="68"/>
      <c r="C165" s="57"/>
      <c r="D165" s="259" t="str">
        <f t="shared" si="15"/>
        <v/>
      </c>
      <c r="E165" s="260" t="str">
        <f t="shared" si="16"/>
        <v/>
      </c>
      <c r="F165" s="271" t="str">
        <f>IF(G165="","",VLOOKUP(G165,プルダウン用リスト!$K$1:$M$16,2,FALSE))</f>
        <v/>
      </c>
      <c r="G165" s="70"/>
      <c r="H165" s="70"/>
      <c r="I165" s="70"/>
      <c r="J165" s="135"/>
      <c r="K165" s="136"/>
      <c r="L165" s="71"/>
      <c r="M165" s="72"/>
      <c r="N165" s="72"/>
      <c r="O165" s="264" t="str">
        <f t="shared" si="17"/>
        <v/>
      </c>
      <c r="P165" s="230">
        <f t="shared" si="18"/>
        <v>0</v>
      </c>
      <c r="Q165" s="231" t="str">
        <f t="shared" si="14"/>
        <v>×</v>
      </c>
      <c r="R165" s="231" t="str">
        <f t="shared" si="19"/>
        <v>×</v>
      </c>
      <c r="S165" s="232" t="str">
        <f t="shared" si="20"/>
        <v/>
      </c>
    </row>
    <row r="166" spans="2:19">
      <c r="B166" s="68"/>
      <c r="C166" s="57"/>
      <c r="D166" s="259" t="str">
        <f t="shared" si="15"/>
        <v/>
      </c>
      <c r="E166" s="260" t="str">
        <f t="shared" si="16"/>
        <v/>
      </c>
      <c r="F166" s="271" t="str">
        <f>IF(G166="","",VLOOKUP(G166,プルダウン用リスト!$K$1:$M$16,2,FALSE))</f>
        <v/>
      </c>
      <c r="G166" s="70"/>
      <c r="H166" s="58"/>
      <c r="I166" s="70"/>
      <c r="J166" s="135"/>
      <c r="K166" s="136"/>
      <c r="L166" s="71"/>
      <c r="M166" s="72"/>
      <c r="N166" s="72"/>
      <c r="O166" s="264" t="str">
        <f t="shared" si="17"/>
        <v/>
      </c>
      <c r="P166" s="230">
        <f t="shared" si="18"/>
        <v>0</v>
      </c>
      <c r="Q166" s="231" t="str">
        <f t="shared" si="14"/>
        <v>×</v>
      </c>
      <c r="R166" s="231" t="str">
        <f t="shared" si="19"/>
        <v>×</v>
      </c>
      <c r="S166" s="232" t="str">
        <f t="shared" si="20"/>
        <v/>
      </c>
    </row>
    <row r="167" spans="2:19">
      <c r="B167" s="68"/>
      <c r="C167" s="57"/>
      <c r="D167" s="259" t="str">
        <f t="shared" si="15"/>
        <v/>
      </c>
      <c r="E167" s="260" t="str">
        <f t="shared" si="16"/>
        <v/>
      </c>
      <c r="F167" s="271" t="str">
        <f>IF(G167="","",VLOOKUP(G167,プルダウン用リスト!$K$1:$M$16,2,FALSE))</f>
        <v/>
      </c>
      <c r="G167" s="70"/>
      <c r="H167" s="58"/>
      <c r="I167" s="70"/>
      <c r="J167" s="135"/>
      <c r="K167" s="136"/>
      <c r="L167" s="71"/>
      <c r="M167" s="72"/>
      <c r="N167" s="72"/>
      <c r="O167" s="264" t="str">
        <f t="shared" si="17"/>
        <v/>
      </c>
      <c r="P167" s="230">
        <f t="shared" si="18"/>
        <v>0</v>
      </c>
      <c r="Q167" s="231" t="str">
        <f t="shared" si="14"/>
        <v>×</v>
      </c>
      <c r="R167" s="231" t="str">
        <f t="shared" si="19"/>
        <v>×</v>
      </c>
      <c r="S167" s="232" t="str">
        <f t="shared" si="20"/>
        <v/>
      </c>
    </row>
    <row r="168" spans="2:19">
      <c r="B168" s="68"/>
      <c r="C168" s="57"/>
      <c r="D168" s="259" t="str">
        <f t="shared" si="15"/>
        <v/>
      </c>
      <c r="E168" s="260" t="str">
        <f t="shared" si="16"/>
        <v/>
      </c>
      <c r="F168" s="271" t="str">
        <f>IF(G168="","",VLOOKUP(G168,プルダウン用リスト!$K$1:$M$16,2,FALSE))</f>
        <v/>
      </c>
      <c r="G168" s="70"/>
      <c r="H168" s="70"/>
      <c r="I168" s="70"/>
      <c r="J168" s="135"/>
      <c r="K168" s="136"/>
      <c r="L168" s="71"/>
      <c r="M168" s="72"/>
      <c r="N168" s="72"/>
      <c r="O168" s="264" t="str">
        <f t="shared" si="17"/>
        <v/>
      </c>
      <c r="P168" s="230">
        <f t="shared" si="18"/>
        <v>0</v>
      </c>
      <c r="Q168" s="231" t="str">
        <f t="shared" si="14"/>
        <v>×</v>
      </c>
      <c r="R168" s="231" t="str">
        <f t="shared" si="19"/>
        <v>×</v>
      </c>
      <c r="S168" s="232" t="str">
        <f t="shared" si="20"/>
        <v/>
      </c>
    </row>
    <row r="169" spans="2:19">
      <c r="B169" s="68"/>
      <c r="C169" s="57"/>
      <c r="D169" s="259" t="str">
        <f t="shared" si="15"/>
        <v/>
      </c>
      <c r="E169" s="260" t="str">
        <f t="shared" si="16"/>
        <v/>
      </c>
      <c r="F169" s="271" t="str">
        <f>IF(G169="","",VLOOKUP(G169,プルダウン用リスト!$K$1:$M$16,2,FALSE))</f>
        <v/>
      </c>
      <c r="G169" s="70"/>
      <c r="H169" s="58"/>
      <c r="I169" s="70"/>
      <c r="J169" s="135"/>
      <c r="K169" s="136"/>
      <c r="L169" s="71"/>
      <c r="M169" s="72"/>
      <c r="N169" s="72"/>
      <c r="O169" s="264" t="str">
        <f t="shared" si="17"/>
        <v/>
      </c>
      <c r="P169" s="230">
        <f t="shared" si="18"/>
        <v>0</v>
      </c>
      <c r="Q169" s="231" t="str">
        <f t="shared" si="14"/>
        <v>×</v>
      </c>
      <c r="R169" s="231" t="str">
        <f t="shared" si="19"/>
        <v>×</v>
      </c>
      <c r="S169" s="232" t="str">
        <f t="shared" si="20"/>
        <v/>
      </c>
    </row>
    <row r="170" spans="2:19">
      <c r="B170" s="68"/>
      <c r="C170" s="57"/>
      <c r="D170" s="259" t="str">
        <f t="shared" si="15"/>
        <v/>
      </c>
      <c r="E170" s="260" t="str">
        <f t="shared" si="16"/>
        <v/>
      </c>
      <c r="F170" s="271" t="str">
        <f>IF(G170="","",VLOOKUP(G170,プルダウン用リスト!$K$1:$M$16,2,FALSE))</f>
        <v/>
      </c>
      <c r="G170" s="70"/>
      <c r="H170" s="58"/>
      <c r="I170" s="70"/>
      <c r="J170" s="135"/>
      <c r="K170" s="136"/>
      <c r="L170" s="71"/>
      <c r="M170" s="72"/>
      <c r="N170" s="72"/>
      <c r="O170" s="264" t="str">
        <f t="shared" si="17"/>
        <v/>
      </c>
      <c r="P170" s="230">
        <f t="shared" si="18"/>
        <v>0</v>
      </c>
      <c r="Q170" s="231" t="str">
        <f t="shared" si="14"/>
        <v>×</v>
      </c>
      <c r="R170" s="231" t="str">
        <f t="shared" si="19"/>
        <v>×</v>
      </c>
      <c r="S170" s="232" t="str">
        <f t="shared" si="20"/>
        <v/>
      </c>
    </row>
    <row r="171" spans="2:19">
      <c r="B171" s="68"/>
      <c r="C171" s="57"/>
      <c r="D171" s="259" t="str">
        <f t="shared" si="15"/>
        <v/>
      </c>
      <c r="E171" s="260" t="str">
        <f t="shared" si="16"/>
        <v/>
      </c>
      <c r="F171" s="271" t="str">
        <f>IF(G171="","",VLOOKUP(G171,プルダウン用リスト!$K$1:$M$16,2,FALSE))</f>
        <v/>
      </c>
      <c r="G171" s="70"/>
      <c r="H171" s="70"/>
      <c r="I171" s="70"/>
      <c r="J171" s="135"/>
      <c r="K171" s="136"/>
      <c r="L171" s="71"/>
      <c r="M171" s="72"/>
      <c r="N171" s="72"/>
      <c r="O171" s="264" t="str">
        <f t="shared" si="17"/>
        <v/>
      </c>
      <c r="P171" s="230">
        <f t="shared" si="18"/>
        <v>0</v>
      </c>
      <c r="Q171" s="231" t="str">
        <f t="shared" si="14"/>
        <v>×</v>
      </c>
      <c r="R171" s="231" t="str">
        <f t="shared" si="19"/>
        <v>×</v>
      </c>
      <c r="S171" s="232" t="str">
        <f t="shared" si="20"/>
        <v/>
      </c>
    </row>
    <row r="172" spans="2:19">
      <c r="B172" s="68"/>
      <c r="C172" s="57"/>
      <c r="D172" s="259" t="str">
        <f t="shared" si="15"/>
        <v/>
      </c>
      <c r="E172" s="260" t="str">
        <f t="shared" si="16"/>
        <v/>
      </c>
      <c r="F172" s="271" t="str">
        <f>IF(G172="","",VLOOKUP(G172,プルダウン用リスト!$K$1:$M$16,2,FALSE))</f>
        <v/>
      </c>
      <c r="G172" s="70"/>
      <c r="H172" s="58"/>
      <c r="I172" s="70"/>
      <c r="J172" s="135"/>
      <c r="K172" s="136"/>
      <c r="L172" s="71"/>
      <c r="M172" s="72"/>
      <c r="N172" s="72"/>
      <c r="O172" s="264" t="str">
        <f t="shared" si="17"/>
        <v/>
      </c>
      <c r="P172" s="230">
        <f t="shared" si="18"/>
        <v>0</v>
      </c>
      <c r="Q172" s="231" t="str">
        <f t="shared" si="14"/>
        <v>×</v>
      </c>
      <c r="R172" s="231" t="str">
        <f t="shared" si="19"/>
        <v>×</v>
      </c>
      <c r="S172" s="232" t="str">
        <f t="shared" si="20"/>
        <v/>
      </c>
    </row>
    <row r="173" spans="2:19">
      <c r="B173" s="68"/>
      <c r="C173" s="57"/>
      <c r="D173" s="259" t="str">
        <f t="shared" si="15"/>
        <v/>
      </c>
      <c r="E173" s="260" t="str">
        <f t="shared" si="16"/>
        <v/>
      </c>
      <c r="F173" s="271" t="str">
        <f>IF(G173="","",VLOOKUP(G173,プルダウン用リスト!$K$1:$M$16,2,FALSE))</f>
        <v/>
      </c>
      <c r="G173" s="70"/>
      <c r="H173" s="58"/>
      <c r="I173" s="70"/>
      <c r="J173" s="135"/>
      <c r="K173" s="136"/>
      <c r="L173" s="71"/>
      <c r="M173" s="72"/>
      <c r="N173" s="72"/>
      <c r="O173" s="264" t="str">
        <f t="shared" si="17"/>
        <v/>
      </c>
      <c r="P173" s="230">
        <f t="shared" si="18"/>
        <v>0</v>
      </c>
      <c r="Q173" s="231" t="str">
        <f t="shared" si="14"/>
        <v>×</v>
      </c>
      <c r="R173" s="231" t="str">
        <f t="shared" si="19"/>
        <v>×</v>
      </c>
      <c r="S173" s="232" t="str">
        <f t="shared" si="20"/>
        <v/>
      </c>
    </row>
    <row r="174" spans="2:19">
      <c r="B174" s="68"/>
      <c r="C174" s="69"/>
      <c r="D174" s="259" t="str">
        <f t="shared" si="15"/>
        <v/>
      </c>
      <c r="E174" s="260" t="str">
        <f t="shared" si="16"/>
        <v/>
      </c>
      <c r="F174" s="271" t="str">
        <f>IF(G174="","",VLOOKUP(G174,プルダウン用リスト!$K$1:$M$16,2,FALSE))</f>
        <v/>
      </c>
      <c r="G174" s="70"/>
      <c r="H174" s="70"/>
      <c r="I174" s="70"/>
      <c r="J174" s="135"/>
      <c r="K174" s="136"/>
      <c r="L174" s="71"/>
      <c r="M174" s="72"/>
      <c r="N174" s="72"/>
      <c r="O174" s="264" t="str">
        <f t="shared" si="17"/>
        <v/>
      </c>
      <c r="P174" s="230">
        <f t="shared" si="18"/>
        <v>0</v>
      </c>
      <c r="Q174" s="231" t="str">
        <f t="shared" si="14"/>
        <v>×</v>
      </c>
      <c r="R174" s="231" t="str">
        <f t="shared" si="19"/>
        <v>×</v>
      </c>
      <c r="S174" s="232" t="str">
        <f t="shared" si="20"/>
        <v/>
      </c>
    </row>
    <row r="175" spans="2:19">
      <c r="B175" s="68"/>
      <c r="C175" s="57"/>
      <c r="D175" s="259" t="str">
        <f t="shared" si="15"/>
        <v/>
      </c>
      <c r="E175" s="260" t="str">
        <f t="shared" si="16"/>
        <v/>
      </c>
      <c r="F175" s="271" t="str">
        <f>IF(G175="","",VLOOKUP(G175,プルダウン用リスト!$K$1:$M$16,2,FALSE))</f>
        <v/>
      </c>
      <c r="G175" s="70"/>
      <c r="H175" s="58"/>
      <c r="I175" s="70"/>
      <c r="J175" s="135"/>
      <c r="K175" s="136"/>
      <c r="L175" s="71"/>
      <c r="M175" s="72"/>
      <c r="N175" s="72"/>
      <c r="O175" s="264" t="str">
        <f t="shared" si="17"/>
        <v/>
      </c>
      <c r="P175" s="230">
        <f t="shared" si="18"/>
        <v>0</v>
      </c>
      <c r="Q175" s="231" t="str">
        <f t="shared" si="14"/>
        <v>×</v>
      </c>
      <c r="R175" s="231" t="str">
        <f t="shared" si="19"/>
        <v>×</v>
      </c>
      <c r="S175" s="232" t="str">
        <f t="shared" si="20"/>
        <v/>
      </c>
    </row>
    <row r="176" spans="2:19">
      <c r="B176" s="68"/>
      <c r="C176" s="57"/>
      <c r="D176" s="259" t="str">
        <f t="shared" si="15"/>
        <v/>
      </c>
      <c r="E176" s="260" t="str">
        <f t="shared" si="16"/>
        <v/>
      </c>
      <c r="F176" s="271" t="str">
        <f>IF(G176="","",VLOOKUP(G176,プルダウン用リスト!$K$1:$M$16,2,FALSE))</f>
        <v/>
      </c>
      <c r="G176" s="70"/>
      <c r="H176" s="58"/>
      <c r="I176" s="70"/>
      <c r="J176" s="135"/>
      <c r="K176" s="136"/>
      <c r="L176" s="71"/>
      <c r="M176" s="72"/>
      <c r="N176" s="72"/>
      <c r="O176" s="264" t="str">
        <f t="shared" si="17"/>
        <v/>
      </c>
      <c r="P176" s="230">
        <f t="shared" si="18"/>
        <v>0</v>
      </c>
      <c r="Q176" s="231" t="str">
        <f t="shared" si="14"/>
        <v>×</v>
      </c>
      <c r="R176" s="231" t="str">
        <f t="shared" si="19"/>
        <v>×</v>
      </c>
      <c r="S176" s="232" t="str">
        <f t="shared" si="20"/>
        <v/>
      </c>
    </row>
    <row r="177" spans="2:19">
      <c r="B177" s="68"/>
      <c r="C177" s="57"/>
      <c r="D177" s="259" t="str">
        <f t="shared" si="15"/>
        <v/>
      </c>
      <c r="E177" s="260" t="str">
        <f t="shared" si="16"/>
        <v/>
      </c>
      <c r="F177" s="271" t="str">
        <f>IF(G177="","",VLOOKUP(G177,プルダウン用リスト!$K$1:$M$16,2,FALSE))</f>
        <v/>
      </c>
      <c r="G177" s="70"/>
      <c r="H177" s="70"/>
      <c r="I177" s="70"/>
      <c r="J177" s="135"/>
      <c r="K177" s="136"/>
      <c r="L177" s="71"/>
      <c r="M177" s="72"/>
      <c r="N177" s="72"/>
      <c r="O177" s="264" t="str">
        <f t="shared" si="17"/>
        <v/>
      </c>
      <c r="P177" s="230">
        <f t="shared" si="18"/>
        <v>0</v>
      </c>
      <c r="Q177" s="231" t="str">
        <f t="shared" si="14"/>
        <v>×</v>
      </c>
      <c r="R177" s="231" t="str">
        <f t="shared" si="19"/>
        <v>×</v>
      </c>
      <c r="S177" s="232" t="str">
        <f t="shared" si="20"/>
        <v/>
      </c>
    </row>
    <row r="178" spans="2:19">
      <c r="B178" s="68"/>
      <c r="C178" s="57"/>
      <c r="D178" s="259" t="str">
        <f t="shared" si="15"/>
        <v/>
      </c>
      <c r="E178" s="260" t="str">
        <f t="shared" si="16"/>
        <v/>
      </c>
      <c r="F178" s="271" t="str">
        <f>IF(G178="","",VLOOKUP(G178,プルダウン用リスト!$K$1:$M$16,2,FALSE))</f>
        <v/>
      </c>
      <c r="G178" s="70"/>
      <c r="H178" s="58"/>
      <c r="I178" s="70"/>
      <c r="J178" s="135"/>
      <c r="K178" s="136"/>
      <c r="L178" s="71"/>
      <c r="M178" s="72"/>
      <c r="N178" s="72"/>
      <c r="O178" s="264" t="str">
        <f t="shared" si="17"/>
        <v/>
      </c>
      <c r="P178" s="230">
        <f t="shared" si="18"/>
        <v>0</v>
      </c>
      <c r="Q178" s="231" t="str">
        <f t="shared" si="14"/>
        <v>×</v>
      </c>
      <c r="R178" s="231" t="str">
        <f t="shared" si="19"/>
        <v>×</v>
      </c>
      <c r="S178" s="232" t="str">
        <f t="shared" si="20"/>
        <v/>
      </c>
    </row>
    <row r="179" spans="2:19">
      <c r="B179" s="68"/>
      <c r="C179" s="57"/>
      <c r="D179" s="259" t="str">
        <f t="shared" si="15"/>
        <v/>
      </c>
      <c r="E179" s="260" t="str">
        <f t="shared" si="16"/>
        <v/>
      </c>
      <c r="F179" s="271" t="str">
        <f>IF(G179="","",VLOOKUP(G179,プルダウン用リスト!$K$1:$M$16,2,FALSE))</f>
        <v/>
      </c>
      <c r="G179" s="70"/>
      <c r="H179" s="58"/>
      <c r="I179" s="70"/>
      <c r="J179" s="135"/>
      <c r="K179" s="136"/>
      <c r="L179" s="71"/>
      <c r="M179" s="72"/>
      <c r="N179" s="72"/>
      <c r="O179" s="264" t="str">
        <f t="shared" si="17"/>
        <v/>
      </c>
      <c r="P179" s="230">
        <f t="shared" si="18"/>
        <v>0</v>
      </c>
      <c r="Q179" s="231" t="str">
        <f t="shared" si="14"/>
        <v>×</v>
      </c>
      <c r="R179" s="231" t="str">
        <f t="shared" si="19"/>
        <v>×</v>
      </c>
      <c r="S179" s="232" t="str">
        <f t="shared" si="20"/>
        <v/>
      </c>
    </row>
    <row r="180" spans="2:19">
      <c r="B180" s="68"/>
      <c r="C180" s="57"/>
      <c r="D180" s="259" t="str">
        <f t="shared" si="15"/>
        <v/>
      </c>
      <c r="E180" s="260" t="str">
        <f t="shared" si="16"/>
        <v/>
      </c>
      <c r="F180" s="271" t="str">
        <f>IF(G180="","",VLOOKUP(G180,プルダウン用リスト!$K$1:$M$16,2,FALSE))</f>
        <v/>
      </c>
      <c r="G180" s="70"/>
      <c r="H180" s="70"/>
      <c r="I180" s="70"/>
      <c r="J180" s="135"/>
      <c r="K180" s="136"/>
      <c r="L180" s="71"/>
      <c r="M180" s="72"/>
      <c r="N180" s="72"/>
      <c r="O180" s="264" t="str">
        <f t="shared" si="17"/>
        <v/>
      </c>
      <c r="P180" s="230">
        <f t="shared" si="18"/>
        <v>0</v>
      </c>
      <c r="Q180" s="231" t="str">
        <f t="shared" si="14"/>
        <v>×</v>
      </c>
      <c r="R180" s="231" t="str">
        <f t="shared" si="19"/>
        <v>×</v>
      </c>
      <c r="S180" s="232" t="str">
        <f t="shared" si="20"/>
        <v/>
      </c>
    </row>
    <row r="181" spans="2:19">
      <c r="B181" s="68"/>
      <c r="C181" s="57"/>
      <c r="D181" s="259" t="str">
        <f t="shared" si="15"/>
        <v/>
      </c>
      <c r="E181" s="260" t="str">
        <f t="shared" si="16"/>
        <v/>
      </c>
      <c r="F181" s="271" t="str">
        <f>IF(G181="","",VLOOKUP(G181,プルダウン用リスト!$K$1:$M$16,2,FALSE))</f>
        <v/>
      </c>
      <c r="G181" s="70"/>
      <c r="H181" s="58"/>
      <c r="I181" s="70"/>
      <c r="J181" s="135"/>
      <c r="K181" s="136"/>
      <c r="L181" s="71"/>
      <c r="M181" s="72"/>
      <c r="N181" s="72"/>
      <c r="O181" s="264" t="str">
        <f t="shared" si="17"/>
        <v/>
      </c>
      <c r="P181" s="230">
        <f t="shared" si="18"/>
        <v>0</v>
      </c>
      <c r="Q181" s="231" t="str">
        <f t="shared" si="14"/>
        <v>×</v>
      </c>
      <c r="R181" s="231" t="str">
        <f t="shared" si="19"/>
        <v>×</v>
      </c>
      <c r="S181" s="232" t="str">
        <f t="shared" si="20"/>
        <v/>
      </c>
    </row>
    <row r="182" spans="2:19">
      <c r="B182" s="68"/>
      <c r="C182" s="57"/>
      <c r="D182" s="259" t="str">
        <f t="shared" si="15"/>
        <v/>
      </c>
      <c r="E182" s="260" t="str">
        <f t="shared" si="16"/>
        <v/>
      </c>
      <c r="F182" s="271" t="str">
        <f>IF(G182="","",VLOOKUP(G182,プルダウン用リスト!$K$1:$M$16,2,FALSE))</f>
        <v/>
      </c>
      <c r="G182" s="70"/>
      <c r="H182" s="58"/>
      <c r="I182" s="70"/>
      <c r="J182" s="135"/>
      <c r="K182" s="136"/>
      <c r="L182" s="71"/>
      <c r="M182" s="72"/>
      <c r="N182" s="72"/>
      <c r="O182" s="264" t="str">
        <f t="shared" si="17"/>
        <v/>
      </c>
      <c r="P182" s="230">
        <f t="shared" si="18"/>
        <v>0</v>
      </c>
      <c r="Q182" s="231" t="str">
        <f t="shared" si="14"/>
        <v>×</v>
      </c>
      <c r="R182" s="231" t="str">
        <f t="shared" si="19"/>
        <v>×</v>
      </c>
      <c r="S182" s="232" t="str">
        <f t="shared" si="20"/>
        <v/>
      </c>
    </row>
    <row r="183" spans="2:19">
      <c r="B183" s="68"/>
      <c r="C183" s="57"/>
      <c r="D183" s="259" t="str">
        <f t="shared" si="15"/>
        <v/>
      </c>
      <c r="E183" s="260" t="str">
        <f t="shared" si="16"/>
        <v/>
      </c>
      <c r="F183" s="271" t="str">
        <f>IF(G183="","",VLOOKUP(G183,プルダウン用リスト!$K$1:$M$16,2,FALSE))</f>
        <v/>
      </c>
      <c r="G183" s="70"/>
      <c r="H183" s="70"/>
      <c r="I183" s="70"/>
      <c r="J183" s="135"/>
      <c r="K183" s="136"/>
      <c r="L183" s="71"/>
      <c r="M183" s="72"/>
      <c r="N183" s="72"/>
      <c r="O183" s="264" t="str">
        <f t="shared" si="17"/>
        <v/>
      </c>
      <c r="P183" s="230">
        <f t="shared" si="18"/>
        <v>0</v>
      </c>
      <c r="Q183" s="231" t="str">
        <f t="shared" si="14"/>
        <v>×</v>
      </c>
      <c r="R183" s="231" t="str">
        <f t="shared" si="19"/>
        <v>×</v>
      </c>
      <c r="S183" s="232" t="str">
        <f t="shared" si="20"/>
        <v/>
      </c>
    </row>
    <row r="184" spans="2:19">
      <c r="B184" s="68"/>
      <c r="C184" s="57"/>
      <c r="D184" s="259" t="str">
        <f t="shared" si="15"/>
        <v/>
      </c>
      <c r="E184" s="260" t="str">
        <f t="shared" si="16"/>
        <v/>
      </c>
      <c r="F184" s="271" t="str">
        <f>IF(G184="","",VLOOKUP(G184,プルダウン用リスト!$K$1:$M$16,2,FALSE))</f>
        <v/>
      </c>
      <c r="G184" s="70"/>
      <c r="H184" s="58"/>
      <c r="I184" s="70"/>
      <c r="J184" s="135"/>
      <c r="K184" s="136"/>
      <c r="L184" s="71"/>
      <c r="M184" s="72"/>
      <c r="N184" s="72"/>
      <c r="O184" s="264" t="str">
        <f t="shared" si="17"/>
        <v/>
      </c>
      <c r="P184" s="230">
        <f t="shared" si="18"/>
        <v>0</v>
      </c>
      <c r="Q184" s="231" t="str">
        <f t="shared" si="14"/>
        <v>×</v>
      </c>
      <c r="R184" s="231" t="str">
        <f t="shared" si="19"/>
        <v>×</v>
      </c>
      <c r="S184" s="232" t="str">
        <f t="shared" si="20"/>
        <v/>
      </c>
    </row>
    <row r="185" spans="2:19">
      <c r="B185" s="68"/>
      <c r="C185" s="57"/>
      <c r="D185" s="259" t="str">
        <f t="shared" si="15"/>
        <v/>
      </c>
      <c r="E185" s="260" t="str">
        <f t="shared" si="16"/>
        <v/>
      </c>
      <c r="F185" s="271" t="str">
        <f>IF(G185="","",VLOOKUP(G185,プルダウン用リスト!$K$1:$M$16,2,FALSE))</f>
        <v/>
      </c>
      <c r="G185" s="70"/>
      <c r="H185" s="58"/>
      <c r="I185" s="70"/>
      <c r="J185" s="135"/>
      <c r="K185" s="136"/>
      <c r="L185" s="71"/>
      <c r="M185" s="72"/>
      <c r="N185" s="72"/>
      <c r="O185" s="264" t="str">
        <f t="shared" si="17"/>
        <v/>
      </c>
      <c r="P185" s="230">
        <f t="shared" si="18"/>
        <v>0</v>
      </c>
      <c r="Q185" s="231" t="str">
        <f t="shared" si="14"/>
        <v>×</v>
      </c>
      <c r="R185" s="231" t="str">
        <f t="shared" si="19"/>
        <v>×</v>
      </c>
      <c r="S185" s="232" t="str">
        <f t="shared" si="20"/>
        <v/>
      </c>
    </row>
    <row r="186" spans="2:19">
      <c r="B186" s="68"/>
      <c r="C186" s="69"/>
      <c r="D186" s="259" t="str">
        <f t="shared" si="15"/>
        <v/>
      </c>
      <c r="E186" s="260" t="str">
        <f t="shared" si="16"/>
        <v/>
      </c>
      <c r="F186" s="271" t="str">
        <f>IF(G186="","",VLOOKUP(G186,プルダウン用リスト!$K$1:$M$16,2,FALSE))</f>
        <v/>
      </c>
      <c r="G186" s="70"/>
      <c r="H186" s="70"/>
      <c r="I186" s="70"/>
      <c r="J186" s="135"/>
      <c r="K186" s="136"/>
      <c r="L186" s="71"/>
      <c r="M186" s="72"/>
      <c r="N186" s="72"/>
      <c r="O186" s="264" t="str">
        <f t="shared" si="17"/>
        <v/>
      </c>
      <c r="P186" s="230">
        <f t="shared" si="18"/>
        <v>0</v>
      </c>
      <c r="Q186" s="231" t="str">
        <f t="shared" si="14"/>
        <v>×</v>
      </c>
      <c r="R186" s="231" t="str">
        <f t="shared" si="19"/>
        <v>×</v>
      </c>
      <c r="S186" s="232" t="str">
        <f t="shared" si="20"/>
        <v/>
      </c>
    </row>
    <row r="187" spans="2:19">
      <c r="B187" s="68"/>
      <c r="C187" s="57"/>
      <c r="D187" s="259" t="str">
        <f t="shared" si="15"/>
        <v/>
      </c>
      <c r="E187" s="260" t="str">
        <f t="shared" si="16"/>
        <v/>
      </c>
      <c r="F187" s="271" t="str">
        <f>IF(G187="","",VLOOKUP(G187,プルダウン用リスト!$K$1:$M$16,2,FALSE))</f>
        <v/>
      </c>
      <c r="G187" s="70"/>
      <c r="H187" s="58"/>
      <c r="I187" s="70"/>
      <c r="J187" s="135"/>
      <c r="K187" s="136"/>
      <c r="L187" s="71"/>
      <c r="M187" s="72"/>
      <c r="N187" s="72"/>
      <c r="O187" s="264" t="str">
        <f t="shared" si="17"/>
        <v/>
      </c>
      <c r="P187" s="230">
        <f t="shared" si="18"/>
        <v>0</v>
      </c>
      <c r="Q187" s="231" t="str">
        <f t="shared" si="14"/>
        <v>×</v>
      </c>
      <c r="R187" s="231" t="str">
        <f t="shared" si="19"/>
        <v>×</v>
      </c>
      <c r="S187" s="232" t="str">
        <f t="shared" si="20"/>
        <v/>
      </c>
    </row>
    <row r="188" spans="2:19">
      <c r="B188" s="68"/>
      <c r="C188" s="57"/>
      <c r="D188" s="259" t="str">
        <f t="shared" si="15"/>
        <v/>
      </c>
      <c r="E188" s="260" t="str">
        <f t="shared" si="16"/>
        <v/>
      </c>
      <c r="F188" s="271" t="str">
        <f>IF(G188="","",VLOOKUP(G188,プルダウン用リスト!$K$1:$M$16,2,FALSE))</f>
        <v/>
      </c>
      <c r="G188" s="70"/>
      <c r="H188" s="58"/>
      <c r="I188" s="70"/>
      <c r="J188" s="135"/>
      <c r="K188" s="136"/>
      <c r="L188" s="71"/>
      <c r="M188" s="72"/>
      <c r="N188" s="72"/>
      <c r="O188" s="264" t="str">
        <f t="shared" si="17"/>
        <v/>
      </c>
      <c r="P188" s="230">
        <f t="shared" si="18"/>
        <v>0</v>
      </c>
      <c r="Q188" s="231" t="str">
        <f t="shared" si="14"/>
        <v>×</v>
      </c>
      <c r="R188" s="231" t="str">
        <f t="shared" si="19"/>
        <v>×</v>
      </c>
      <c r="S188" s="232" t="str">
        <f t="shared" si="20"/>
        <v/>
      </c>
    </row>
    <row r="189" spans="2:19">
      <c r="B189" s="68"/>
      <c r="C189" s="57"/>
      <c r="D189" s="259" t="str">
        <f t="shared" si="15"/>
        <v/>
      </c>
      <c r="E189" s="260" t="str">
        <f t="shared" si="16"/>
        <v/>
      </c>
      <c r="F189" s="271" t="str">
        <f>IF(G189="","",VLOOKUP(G189,プルダウン用リスト!$K$1:$M$16,2,FALSE))</f>
        <v/>
      </c>
      <c r="G189" s="70"/>
      <c r="H189" s="70"/>
      <c r="I189" s="70"/>
      <c r="J189" s="135"/>
      <c r="K189" s="136"/>
      <c r="L189" s="71"/>
      <c r="M189" s="72"/>
      <c r="N189" s="72"/>
      <c r="O189" s="264" t="str">
        <f t="shared" si="17"/>
        <v/>
      </c>
      <c r="P189" s="230">
        <f t="shared" si="18"/>
        <v>0</v>
      </c>
      <c r="Q189" s="231" t="str">
        <f t="shared" si="14"/>
        <v>×</v>
      </c>
      <c r="R189" s="231" t="str">
        <f t="shared" si="19"/>
        <v>×</v>
      </c>
      <c r="S189" s="232" t="str">
        <f t="shared" si="20"/>
        <v/>
      </c>
    </row>
    <row r="190" spans="2:19">
      <c r="B190" s="68"/>
      <c r="C190" s="57"/>
      <c r="D190" s="259" t="str">
        <f t="shared" si="15"/>
        <v/>
      </c>
      <c r="E190" s="260" t="str">
        <f t="shared" si="16"/>
        <v/>
      </c>
      <c r="F190" s="271" t="str">
        <f>IF(G190="","",VLOOKUP(G190,プルダウン用リスト!$K$1:$M$16,2,FALSE))</f>
        <v/>
      </c>
      <c r="G190" s="70"/>
      <c r="H190" s="58"/>
      <c r="I190" s="70"/>
      <c r="J190" s="135"/>
      <c r="K190" s="136"/>
      <c r="L190" s="71"/>
      <c r="M190" s="72"/>
      <c r="N190" s="72"/>
      <c r="O190" s="264" t="str">
        <f t="shared" si="17"/>
        <v/>
      </c>
      <c r="P190" s="230">
        <f t="shared" si="18"/>
        <v>0</v>
      </c>
      <c r="Q190" s="231" t="str">
        <f t="shared" si="14"/>
        <v>×</v>
      </c>
      <c r="R190" s="231" t="str">
        <f t="shared" si="19"/>
        <v>×</v>
      </c>
      <c r="S190" s="232" t="str">
        <f t="shared" si="20"/>
        <v/>
      </c>
    </row>
    <row r="191" spans="2:19">
      <c r="B191" s="68"/>
      <c r="C191" s="57"/>
      <c r="D191" s="259" t="str">
        <f t="shared" si="15"/>
        <v/>
      </c>
      <c r="E191" s="260" t="str">
        <f t="shared" si="16"/>
        <v/>
      </c>
      <c r="F191" s="271" t="str">
        <f>IF(G191="","",VLOOKUP(G191,プルダウン用リスト!$K$1:$M$16,2,FALSE))</f>
        <v/>
      </c>
      <c r="G191" s="70"/>
      <c r="H191" s="58"/>
      <c r="I191" s="70"/>
      <c r="J191" s="135"/>
      <c r="K191" s="136"/>
      <c r="L191" s="71"/>
      <c r="M191" s="72"/>
      <c r="N191" s="72"/>
      <c r="O191" s="264" t="str">
        <f t="shared" si="17"/>
        <v/>
      </c>
      <c r="P191" s="230">
        <f t="shared" si="18"/>
        <v>0</v>
      </c>
      <c r="Q191" s="231" t="str">
        <f t="shared" si="14"/>
        <v>×</v>
      </c>
      <c r="R191" s="231" t="str">
        <f t="shared" si="19"/>
        <v>×</v>
      </c>
      <c r="S191" s="232" t="str">
        <f t="shared" si="20"/>
        <v/>
      </c>
    </row>
    <row r="192" spans="2:19">
      <c r="B192" s="68"/>
      <c r="C192" s="57"/>
      <c r="D192" s="259" t="str">
        <f t="shared" si="15"/>
        <v/>
      </c>
      <c r="E192" s="260" t="str">
        <f t="shared" si="16"/>
        <v/>
      </c>
      <c r="F192" s="271" t="str">
        <f>IF(G192="","",VLOOKUP(G192,プルダウン用リスト!$K$1:$M$16,2,FALSE))</f>
        <v/>
      </c>
      <c r="G192" s="70"/>
      <c r="H192" s="70"/>
      <c r="I192" s="70"/>
      <c r="J192" s="135"/>
      <c r="K192" s="136"/>
      <c r="L192" s="71"/>
      <c r="M192" s="72"/>
      <c r="N192" s="72"/>
      <c r="O192" s="264" t="str">
        <f t="shared" si="17"/>
        <v/>
      </c>
      <c r="P192" s="230">
        <f t="shared" si="18"/>
        <v>0</v>
      </c>
      <c r="Q192" s="231" t="str">
        <f t="shared" si="14"/>
        <v>×</v>
      </c>
      <c r="R192" s="231" t="str">
        <f t="shared" si="19"/>
        <v>×</v>
      </c>
      <c r="S192" s="232" t="str">
        <f t="shared" si="20"/>
        <v/>
      </c>
    </row>
    <row r="193" spans="2:19">
      <c r="B193" s="68"/>
      <c r="C193" s="57"/>
      <c r="D193" s="259" t="str">
        <f t="shared" si="15"/>
        <v/>
      </c>
      <c r="E193" s="260" t="str">
        <f t="shared" si="16"/>
        <v/>
      </c>
      <c r="F193" s="271" t="str">
        <f>IF(G193="","",VLOOKUP(G193,プルダウン用リスト!$K$1:$M$16,2,FALSE))</f>
        <v/>
      </c>
      <c r="G193" s="70"/>
      <c r="H193" s="58"/>
      <c r="I193" s="70"/>
      <c r="J193" s="135"/>
      <c r="K193" s="136"/>
      <c r="L193" s="71"/>
      <c r="M193" s="72"/>
      <c r="N193" s="72"/>
      <c r="O193" s="264" t="str">
        <f t="shared" si="17"/>
        <v/>
      </c>
      <c r="P193" s="230">
        <f t="shared" si="18"/>
        <v>0</v>
      </c>
      <c r="Q193" s="231" t="str">
        <f t="shared" si="14"/>
        <v>×</v>
      </c>
      <c r="R193" s="231" t="str">
        <f t="shared" si="19"/>
        <v>×</v>
      </c>
      <c r="S193" s="232" t="str">
        <f t="shared" si="20"/>
        <v/>
      </c>
    </row>
    <row r="194" spans="2:19">
      <c r="B194" s="68"/>
      <c r="C194" s="57"/>
      <c r="D194" s="259" t="str">
        <f t="shared" si="15"/>
        <v/>
      </c>
      <c r="E194" s="260" t="str">
        <f t="shared" si="16"/>
        <v/>
      </c>
      <c r="F194" s="271" t="str">
        <f>IF(G194="","",VLOOKUP(G194,プルダウン用リスト!$K$1:$M$16,2,FALSE))</f>
        <v/>
      </c>
      <c r="G194" s="70"/>
      <c r="H194" s="58"/>
      <c r="I194" s="70"/>
      <c r="J194" s="135"/>
      <c r="K194" s="136"/>
      <c r="L194" s="71"/>
      <c r="M194" s="72"/>
      <c r="N194" s="72"/>
      <c r="O194" s="264" t="str">
        <f t="shared" si="17"/>
        <v/>
      </c>
      <c r="P194" s="230">
        <f t="shared" si="18"/>
        <v>0</v>
      </c>
      <c r="Q194" s="231" t="str">
        <f t="shared" si="14"/>
        <v>×</v>
      </c>
      <c r="R194" s="231" t="str">
        <f t="shared" si="19"/>
        <v>×</v>
      </c>
      <c r="S194" s="232" t="str">
        <f t="shared" si="20"/>
        <v/>
      </c>
    </row>
    <row r="195" spans="2:19">
      <c r="B195" s="68"/>
      <c r="C195" s="57"/>
      <c r="D195" s="259" t="str">
        <f t="shared" si="15"/>
        <v/>
      </c>
      <c r="E195" s="260" t="str">
        <f t="shared" si="16"/>
        <v/>
      </c>
      <c r="F195" s="271" t="str">
        <f>IF(G195="","",VLOOKUP(G195,プルダウン用リスト!$K$1:$M$16,2,FALSE))</f>
        <v/>
      </c>
      <c r="G195" s="70"/>
      <c r="H195" s="70"/>
      <c r="I195" s="70"/>
      <c r="J195" s="135"/>
      <c r="K195" s="136"/>
      <c r="L195" s="71"/>
      <c r="M195" s="72"/>
      <c r="N195" s="72"/>
      <c r="O195" s="264" t="str">
        <f t="shared" si="17"/>
        <v/>
      </c>
      <c r="P195" s="230">
        <f t="shared" si="18"/>
        <v>0</v>
      </c>
      <c r="Q195" s="231" t="str">
        <f t="shared" si="14"/>
        <v>×</v>
      </c>
      <c r="R195" s="231" t="str">
        <f t="shared" si="19"/>
        <v>×</v>
      </c>
      <c r="S195" s="232" t="str">
        <f t="shared" si="20"/>
        <v/>
      </c>
    </row>
    <row r="196" spans="2:19">
      <c r="B196" s="68"/>
      <c r="C196" s="57"/>
      <c r="D196" s="259" t="str">
        <f t="shared" si="15"/>
        <v/>
      </c>
      <c r="E196" s="260" t="str">
        <f t="shared" si="16"/>
        <v/>
      </c>
      <c r="F196" s="271" t="str">
        <f>IF(G196="","",VLOOKUP(G196,プルダウン用リスト!$K$1:$M$16,2,FALSE))</f>
        <v/>
      </c>
      <c r="G196" s="70"/>
      <c r="H196" s="58"/>
      <c r="I196" s="70"/>
      <c r="J196" s="135"/>
      <c r="K196" s="136"/>
      <c r="L196" s="71"/>
      <c r="M196" s="72"/>
      <c r="N196" s="72"/>
      <c r="O196" s="264" t="str">
        <f t="shared" si="17"/>
        <v/>
      </c>
      <c r="P196" s="230">
        <f t="shared" si="18"/>
        <v>0</v>
      </c>
      <c r="Q196" s="231" t="str">
        <f t="shared" si="14"/>
        <v>×</v>
      </c>
      <c r="R196" s="231" t="str">
        <f t="shared" si="19"/>
        <v>×</v>
      </c>
      <c r="S196" s="232" t="str">
        <f t="shared" si="20"/>
        <v/>
      </c>
    </row>
    <row r="197" spans="2:19">
      <c r="B197" s="68"/>
      <c r="C197" s="57"/>
      <c r="D197" s="259" t="str">
        <f t="shared" si="15"/>
        <v/>
      </c>
      <c r="E197" s="260" t="str">
        <f t="shared" si="16"/>
        <v/>
      </c>
      <c r="F197" s="271" t="str">
        <f>IF(G197="","",VLOOKUP(G197,プルダウン用リスト!$K$1:$M$16,2,FALSE))</f>
        <v/>
      </c>
      <c r="G197" s="70"/>
      <c r="H197" s="58"/>
      <c r="I197" s="70"/>
      <c r="J197" s="135"/>
      <c r="K197" s="136"/>
      <c r="L197" s="71"/>
      <c r="M197" s="72"/>
      <c r="N197" s="72"/>
      <c r="O197" s="264" t="str">
        <f t="shared" si="17"/>
        <v/>
      </c>
      <c r="P197" s="230">
        <f t="shared" si="18"/>
        <v>0</v>
      </c>
      <c r="Q197" s="231" t="str">
        <f t="shared" si="14"/>
        <v>×</v>
      </c>
      <c r="R197" s="231" t="str">
        <f t="shared" si="19"/>
        <v>×</v>
      </c>
      <c r="S197" s="232" t="str">
        <f t="shared" si="20"/>
        <v/>
      </c>
    </row>
    <row r="198" spans="2:19">
      <c r="B198" s="68"/>
      <c r="C198" s="69"/>
      <c r="D198" s="259" t="str">
        <f t="shared" si="15"/>
        <v/>
      </c>
      <c r="E198" s="260" t="str">
        <f t="shared" si="16"/>
        <v/>
      </c>
      <c r="F198" s="271" t="str">
        <f>IF(G198="","",VLOOKUP(G198,プルダウン用リスト!$K$1:$M$16,2,FALSE))</f>
        <v/>
      </c>
      <c r="G198" s="70"/>
      <c r="H198" s="70"/>
      <c r="I198" s="70"/>
      <c r="J198" s="135"/>
      <c r="K198" s="136"/>
      <c r="L198" s="71"/>
      <c r="M198" s="72"/>
      <c r="N198" s="72"/>
      <c r="O198" s="264" t="str">
        <f t="shared" si="17"/>
        <v/>
      </c>
      <c r="P198" s="230">
        <f t="shared" si="18"/>
        <v>0</v>
      </c>
      <c r="Q198" s="231" t="str">
        <f t="shared" ref="Q198:Q261" si="21">IF(G198="旅費","〇","×")</f>
        <v>×</v>
      </c>
      <c r="R198" s="231" t="str">
        <f t="shared" si="19"/>
        <v>×</v>
      </c>
      <c r="S198" s="232" t="str">
        <f t="shared" si="20"/>
        <v/>
      </c>
    </row>
    <row r="199" spans="2:19">
      <c r="B199" s="68"/>
      <c r="C199" s="57"/>
      <c r="D199" s="259" t="str">
        <f t="shared" ref="D199:D262" si="22">IF(E199="","",IF(E199="謝金","01.",IF(E199="旅費","02.",IF(E199="その他","04.","03."))))</f>
        <v/>
      </c>
      <c r="E199" s="260" t="str">
        <f t="shared" ref="E199:E262" si="23">IF(G199="","",IF(OR(G199="謝金（内部）",G199="謝金（外部）"),"謝金",IF(G199="旅費","旅費",IF(G199="対象外経費","その他","所費"))))</f>
        <v/>
      </c>
      <c r="F199" s="271" t="str">
        <f>IF(G199="","",VLOOKUP(G199,プルダウン用リスト!$K$1:$M$16,2,FALSE))</f>
        <v/>
      </c>
      <c r="G199" s="70"/>
      <c r="H199" s="58"/>
      <c r="I199" s="70"/>
      <c r="J199" s="135"/>
      <c r="K199" s="136"/>
      <c r="L199" s="71"/>
      <c r="M199" s="72"/>
      <c r="N199" s="72"/>
      <c r="O199" s="264" t="str">
        <f t="shared" ref="O199:O262" si="24">IF(G199="対象外経費",M199,IF(N199="","",M199-N199))</f>
        <v/>
      </c>
      <c r="P199" s="230">
        <f t="shared" si="18"/>
        <v>0</v>
      </c>
      <c r="Q199" s="231" t="str">
        <f t="shared" si="21"/>
        <v>×</v>
      </c>
      <c r="R199" s="231" t="str">
        <f t="shared" si="19"/>
        <v>×</v>
      </c>
      <c r="S199" s="232" t="str">
        <f t="shared" si="20"/>
        <v/>
      </c>
    </row>
    <row r="200" spans="2:19">
      <c r="B200" s="68"/>
      <c r="C200" s="57"/>
      <c r="D200" s="259" t="str">
        <f t="shared" si="22"/>
        <v/>
      </c>
      <c r="E200" s="260" t="str">
        <f t="shared" si="23"/>
        <v/>
      </c>
      <c r="F200" s="271" t="str">
        <f>IF(G200="","",VLOOKUP(G200,プルダウン用リスト!$K$1:$M$16,2,FALSE))</f>
        <v/>
      </c>
      <c r="G200" s="70"/>
      <c r="H200" s="58"/>
      <c r="I200" s="70"/>
      <c r="J200" s="135"/>
      <c r="K200" s="136"/>
      <c r="L200" s="71"/>
      <c r="M200" s="72"/>
      <c r="N200" s="72"/>
      <c r="O200" s="264" t="str">
        <f t="shared" si="24"/>
        <v/>
      </c>
      <c r="P200" s="230">
        <f t="shared" ref="P200:P263" si="25">COUNTA(B200,C200,G200,H200,I200,L200,M200,J200,K200,N200)</f>
        <v>0</v>
      </c>
      <c r="Q200" s="231" t="str">
        <f t="shared" si="21"/>
        <v>×</v>
      </c>
      <c r="R200" s="231" t="str">
        <f t="shared" si="19"/>
        <v>×</v>
      </c>
      <c r="S200" s="232" t="str">
        <f t="shared" si="20"/>
        <v/>
      </c>
    </row>
    <row r="201" spans="2:19">
      <c r="B201" s="68"/>
      <c r="C201" s="57"/>
      <c r="D201" s="259" t="str">
        <f t="shared" si="22"/>
        <v/>
      </c>
      <c r="E201" s="260" t="str">
        <f t="shared" si="23"/>
        <v/>
      </c>
      <c r="F201" s="271" t="str">
        <f>IF(G201="","",VLOOKUP(G201,プルダウン用リスト!$K$1:$M$16,2,FALSE))</f>
        <v/>
      </c>
      <c r="G201" s="70"/>
      <c r="H201" s="70"/>
      <c r="I201" s="70"/>
      <c r="J201" s="135"/>
      <c r="K201" s="136"/>
      <c r="L201" s="71"/>
      <c r="M201" s="72"/>
      <c r="N201" s="72"/>
      <c r="O201" s="264" t="str">
        <f t="shared" si="24"/>
        <v/>
      </c>
      <c r="P201" s="230">
        <f t="shared" si="25"/>
        <v>0</v>
      </c>
      <c r="Q201" s="231" t="str">
        <f t="shared" si="21"/>
        <v>×</v>
      </c>
      <c r="R201" s="231" t="str">
        <f t="shared" ref="R201:R264" si="26">IF(E201="謝金","〇","×")</f>
        <v>×</v>
      </c>
      <c r="S201" s="232" t="str">
        <f t="shared" ref="S201:S264" si="27">_xlfn.IFS(P201=0,"",AND(G201="対象外経費",P201=7),"OK",P201&lt;=7,"ピンク色のセルを全て入力してください",P201=9,"OK",Q201="〇","ピンク色のセルを全て入力してください",R201="〇","ピンク色のセルを全て入力してください",P201=8,"OK")</f>
        <v/>
      </c>
    </row>
    <row r="202" spans="2:19">
      <c r="B202" s="68"/>
      <c r="C202" s="57"/>
      <c r="D202" s="259" t="str">
        <f t="shared" si="22"/>
        <v/>
      </c>
      <c r="E202" s="260" t="str">
        <f t="shared" si="23"/>
        <v/>
      </c>
      <c r="F202" s="271" t="str">
        <f>IF(G202="","",VLOOKUP(G202,プルダウン用リスト!$K$1:$M$16,2,FALSE))</f>
        <v/>
      </c>
      <c r="G202" s="70"/>
      <c r="H202" s="58"/>
      <c r="I202" s="70"/>
      <c r="J202" s="135"/>
      <c r="K202" s="136"/>
      <c r="L202" s="71"/>
      <c r="M202" s="72"/>
      <c r="N202" s="72"/>
      <c r="O202" s="264" t="str">
        <f t="shared" si="24"/>
        <v/>
      </c>
      <c r="P202" s="230">
        <f t="shared" si="25"/>
        <v>0</v>
      </c>
      <c r="Q202" s="231" t="str">
        <f t="shared" si="21"/>
        <v>×</v>
      </c>
      <c r="R202" s="231" t="str">
        <f t="shared" si="26"/>
        <v>×</v>
      </c>
      <c r="S202" s="232" t="str">
        <f t="shared" si="27"/>
        <v/>
      </c>
    </row>
    <row r="203" spans="2:19">
      <c r="B203" s="68"/>
      <c r="C203" s="57"/>
      <c r="D203" s="259" t="str">
        <f t="shared" si="22"/>
        <v/>
      </c>
      <c r="E203" s="260" t="str">
        <f t="shared" si="23"/>
        <v/>
      </c>
      <c r="F203" s="271" t="str">
        <f>IF(G203="","",VLOOKUP(G203,プルダウン用リスト!$K$1:$M$16,2,FALSE))</f>
        <v/>
      </c>
      <c r="G203" s="70"/>
      <c r="H203" s="58"/>
      <c r="I203" s="70"/>
      <c r="J203" s="135"/>
      <c r="K203" s="136"/>
      <c r="L203" s="71"/>
      <c r="M203" s="72"/>
      <c r="N203" s="72"/>
      <c r="O203" s="264" t="str">
        <f t="shared" si="24"/>
        <v/>
      </c>
      <c r="P203" s="230">
        <f t="shared" si="25"/>
        <v>0</v>
      </c>
      <c r="Q203" s="231" t="str">
        <f t="shared" si="21"/>
        <v>×</v>
      </c>
      <c r="R203" s="231" t="str">
        <f t="shared" si="26"/>
        <v>×</v>
      </c>
      <c r="S203" s="232" t="str">
        <f t="shared" si="27"/>
        <v/>
      </c>
    </row>
    <row r="204" spans="2:19">
      <c r="B204" s="68"/>
      <c r="C204" s="57"/>
      <c r="D204" s="259" t="str">
        <f t="shared" si="22"/>
        <v/>
      </c>
      <c r="E204" s="260" t="str">
        <f t="shared" si="23"/>
        <v/>
      </c>
      <c r="F204" s="271" t="str">
        <f>IF(G204="","",VLOOKUP(G204,プルダウン用リスト!$K$1:$M$16,2,FALSE))</f>
        <v/>
      </c>
      <c r="G204" s="70"/>
      <c r="H204" s="70"/>
      <c r="I204" s="70"/>
      <c r="J204" s="135"/>
      <c r="K204" s="136"/>
      <c r="L204" s="71"/>
      <c r="M204" s="72"/>
      <c r="N204" s="72"/>
      <c r="O204" s="264" t="str">
        <f t="shared" si="24"/>
        <v/>
      </c>
      <c r="P204" s="230">
        <f t="shared" si="25"/>
        <v>0</v>
      </c>
      <c r="Q204" s="231" t="str">
        <f t="shared" si="21"/>
        <v>×</v>
      </c>
      <c r="R204" s="231" t="str">
        <f t="shared" si="26"/>
        <v>×</v>
      </c>
      <c r="S204" s="232" t="str">
        <f t="shared" si="27"/>
        <v/>
      </c>
    </row>
    <row r="205" spans="2:19">
      <c r="B205" s="68"/>
      <c r="C205" s="57"/>
      <c r="D205" s="259" t="str">
        <f t="shared" si="22"/>
        <v/>
      </c>
      <c r="E205" s="260" t="str">
        <f t="shared" si="23"/>
        <v/>
      </c>
      <c r="F205" s="271" t="str">
        <f>IF(G205="","",VLOOKUP(G205,プルダウン用リスト!$K$1:$M$16,2,FALSE))</f>
        <v/>
      </c>
      <c r="G205" s="70"/>
      <c r="H205" s="58"/>
      <c r="I205" s="70"/>
      <c r="J205" s="135"/>
      <c r="K205" s="136"/>
      <c r="L205" s="71"/>
      <c r="M205" s="72"/>
      <c r="N205" s="72"/>
      <c r="O205" s="264" t="str">
        <f t="shared" si="24"/>
        <v/>
      </c>
      <c r="P205" s="230">
        <f t="shared" si="25"/>
        <v>0</v>
      </c>
      <c r="Q205" s="231" t="str">
        <f t="shared" si="21"/>
        <v>×</v>
      </c>
      <c r="R205" s="231" t="str">
        <f t="shared" si="26"/>
        <v>×</v>
      </c>
      <c r="S205" s="232" t="str">
        <f t="shared" si="27"/>
        <v/>
      </c>
    </row>
    <row r="206" spans="2:19">
      <c r="B206" s="68"/>
      <c r="C206" s="57"/>
      <c r="D206" s="259" t="str">
        <f t="shared" si="22"/>
        <v/>
      </c>
      <c r="E206" s="260" t="str">
        <f t="shared" si="23"/>
        <v/>
      </c>
      <c r="F206" s="271" t="str">
        <f>IF(G206="","",VLOOKUP(G206,プルダウン用リスト!$K$1:$M$16,2,FALSE))</f>
        <v/>
      </c>
      <c r="G206" s="70"/>
      <c r="H206" s="58"/>
      <c r="I206" s="70"/>
      <c r="J206" s="135"/>
      <c r="K206" s="136"/>
      <c r="L206" s="71"/>
      <c r="M206" s="72"/>
      <c r="N206" s="72"/>
      <c r="O206" s="264" t="str">
        <f t="shared" si="24"/>
        <v/>
      </c>
      <c r="P206" s="230">
        <f t="shared" si="25"/>
        <v>0</v>
      </c>
      <c r="Q206" s="231" t="str">
        <f t="shared" si="21"/>
        <v>×</v>
      </c>
      <c r="R206" s="231" t="str">
        <f t="shared" si="26"/>
        <v>×</v>
      </c>
      <c r="S206" s="232" t="str">
        <f t="shared" si="27"/>
        <v/>
      </c>
    </row>
    <row r="207" spans="2:19">
      <c r="B207" s="68"/>
      <c r="C207" s="57"/>
      <c r="D207" s="259" t="str">
        <f t="shared" si="22"/>
        <v/>
      </c>
      <c r="E207" s="260" t="str">
        <f t="shared" si="23"/>
        <v/>
      </c>
      <c r="F207" s="271" t="str">
        <f>IF(G207="","",VLOOKUP(G207,プルダウン用リスト!$K$1:$M$16,2,FALSE))</f>
        <v/>
      </c>
      <c r="G207" s="70"/>
      <c r="H207" s="70"/>
      <c r="I207" s="70"/>
      <c r="J207" s="135"/>
      <c r="K207" s="136"/>
      <c r="L207" s="71"/>
      <c r="M207" s="72"/>
      <c r="N207" s="72"/>
      <c r="O207" s="264" t="str">
        <f t="shared" si="24"/>
        <v/>
      </c>
      <c r="P207" s="230">
        <f t="shared" si="25"/>
        <v>0</v>
      </c>
      <c r="Q207" s="231" t="str">
        <f t="shared" si="21"/>
        <v>×</v>
      </c>
      <c r="R207" s="231" t="str">
        <f t="shared" si="26"/>
        <v>×</v>
      </c>
      <c r="S207" s="232" t="str">
        <f t="shared" si="27"/>
        <v/>
      </c>
    </row>
    <row r="208" spans="2:19">
      <c r="B208" s="68"/>
      <c r="C208" s="57"/>
      <c r="D208" s="259" t="str">
        <f t="shared" si="22"/>
        <v/>
      </c>
      <c r="E208" s="260" t="str">
        <f t="shared" si="23"/>
        <v/>
      </c>
      <c r="F208" s="271" t="str">
        <f>IF(G208="","",VLOOKUP(G208,プルダウン用リスト!$K$1:$M$16,2,FALSE))</f>
        <v/>
      </c>
      <c r="G208" s="70"/>
      <c r="H208" s="58"/>
      <c r="I208" s="70"/>
      <c r="J208" s="135"/>
      <c r="K208" s="136"/>
      <c r="L208" s="71"/>
      <c r="M208" s="72"/>
      <c r="N208" s="72"/>
      <c r="O208" s="264" t="str">
        <f t="shared" si="24"/>
        <v/>
      </c>
      <c r="P208" s="230">
        <f t="shared" si="25"/>
        <v>0</v>
      </c>
      <c r="Q208" s="231" t="str">
        <f t="shared" si="21"/>
        <v>×</v>
      </c>
      <c r="R208" s="231" t="str">
        <f t="shared" si="26"/>
        <v>×</v>
      </c>
      <c r="S208" s="232" t="str">
        <f t="shared" si="27"/>
        <v/>
      </c>
    </row>
    <row r="209" spans="2:19">
      <c r="B209" s="68"/>
      <c r="C209" s="57"/>
      <c r="D209" s="259" t="str">
        <f t="shared" si="22"/>
        <v/>
      </c>
      <c r="E209" s="260" t="str">
        <f t="shared" si="23"/>
        <v/>
      </c>
      <c r="F209" s="271" t="str">
        <f>IF(G209="","",VLOOKUP(G209,プルダウン用リスト!$K$1:$M$16,2,FALSE))</f>
        <v/>
      </c>
      <c r="G209" s="70"/>
      <c r="H209" s="58"/>
      <c r="I209" s="70"/>
      <c r="J209" s="135"/>
      <c r="K209" s="136"/>
      <c r="L209" s="71"/>
      <c r="M209" s="72"/>
      <c r="N209" s="72"/>
      <c r="O209" s="264" t="str">
        <f t="shared" si="24"/>
        <v/>
      </c>
      <c r="P209" s="230">
        <f t="shared" si="25"/>
        <v>0</v>
      </c>
      <c r="Q209" s="231" t="str">
        <f t="shared" si="21"/>
        <v>×</v>
      </c>
      <c r="R209" s="231" t="str">
        <f t="shared" si="26"/>
        <v>×</v>
      </c>
      <c r="S209" s="232" t="str">
        <f t="shared" si="27"/>
        <v/>
      </c>
    </row>
    <row r="210" spans="2:19">
      <c r="B210" s="68"/>
      <c r="C210" s="69"/>
      <c r="D210" s="259" t="str">
        <f t="shared" si="22"/>
        <v/>
      </c>
      <c r="E210" s="260" t="str">
        <f t="shared" si="23"/>
        <v/>
      </c>
      <c r="F210" s="271" t="str">
        <f>IF(G210="","",VLOOKUP(G210,プルダウン用リスト!$K$1:$M$16,2,FALSE))</f>
        <v/>
      </c>
      <c r="G210" s="70"/>
      <c r="H210" s="70"/>
      <c r="I210" s="70"/>
      <c r="J210" s="135"/>
      <c r="K210" s="136"/>
      <c r="L210" s="71"/>
      <c r="M210" s="72"/>
      <c r="N210" s="72"/>
      <c r="O210" s="264" t="str">
        <f t="shared" si="24"/>
        <v/>
      </c>
      <c r="P210" s="230">
        <f t="shared" si="25"/>
        <v>0</v>
      </c>
      <c r="Q210" s="231" t="str">
        <f t="shared" si="21"/>
        <v>×</v>
      </c>
      <c r="R210" s="231" t="str">
        <f t="shared" si="26"/>
        <v>×</v>
      </c>
      <c r="S210" s="232" t="str">
        <f t="shared" si="27"/>
        <v/>
      </c>
    </row>
    <row r="211" spans="2:19">
      <c r="B211" s="68"/>
      <c r="C211" s="57"/>
      <c r="D211" s="259" t="str">
        <f t="shared" si="22"/>
        <v/>
      </c>
      <c r="E211" s="260" t="str">
        <f t="shared" si="23"/>
        <v/>
      </c>
      <c r="F211" s="271" t="str">
        <f>IF(G211="","",VLOOKUP(G211,プルダウン用リスト!$K$1:$M$16,2,FALSE))</f>
        <v/>
      </c>
      <c r="G211" s="70"/>
      <c r="H211" s="58"/>
      <c r="I211" s="70"/>
      <c r="J211" s="135"/>
      <c r="K211" s="136"/>
      <c r="L211" s="71"/>
      <c r="M211" s="72"/>
      <c r="N211" s="72"/>
      <c r="O211" s="264" t="str">
        <f t="shared" si="24"/>
        <v/>
      </c>
      <c r="P211" s="230">
        <f t="shared" si="25"/>
        <v>0</v>
      </c>
      <c r="Q211" s="231" t="str">
        <f t="shared" si="21"/>
        <v>×</v>
      </c>
      <c r="R211" s="231" t="str">
        <f t="shared" si="26"/>
        <v>×</v>
      </c>
      <c r="S211" s="232" t="str">
        <f t="shared" si="27"/>
        <v/>
      </c>
    </row>
    <row r="212" spans="2:19">
      <c r="B212" s="68"/>
      <c r="C212" s="57"/>
      <c r="D212" s="259" t="str">
        <f t="shared" si="22"/>
        <v/>
      </c>
      <c r="E212" s="260" t="str">
        <f t="shared" si="23"/>
        <v/>
      </c>
      <c r="F212" s="271" t="str">
        <f>IF(G212="","",VLOOKUP(G212,プルダウン用リスト!$K$1:$M$16,2,FALSE))</f>
        <v/>
      </c>
      <c r="G212" s="70"/>
      <c r="H212" s="58"/>
      <c r="I212" s="70"/>
      <c r="J212" s="135"/>
      <c r="K212" s="136"/>
      <c r="L212" s="71"/>
      <c r="M212" s="72"/>
      <c r="N212" s="72"/>
      <c r="O212" s="264" t="str">
        <f t="shared" si="24"/>
        <v/>
      </c>
      <c r="P212" s="230">
        <f t="shared" si="25"/>
        <v>0</v>
      </c>
      <c r="Q212" s="231" t="str">
        <f t="shared" si="21"/>
        <v>×</v>
      </c>
      <c r="R212" s="231" t="str">
        <f t="shared" si="26"/>
        <v>×</v>
      </c>
      <c r="S212" s="232" t="str">
        <f t="shared" si="27"/>
        <v/>
      </c>
    </row>
    <row r="213" spans="2:19">
      <c r="B213" s="68"/>
      <c r="C213" s="57"/>
      <c r="D213" s="259" t="str">
        <f t="shared" si="22"/>
        <v/>
      </c>
      <c r="E213" s="260" t="str">
        <f t="shared" si="23"/>
        <v/>
      </c>
      <c r="F213" s="271" t="str">
        <f>IF(G213="","",VLOOKUP(G213,プルダウン用リスト!$K$1:$M$16,2,FALSE))</f>
        <v/>
      </c>
      <c r="G213" s="70"/>
      <c r="H213" s="70"/>
      <c r="I213" s="70"/>
      <c r="J213" s="135"/>
      <c r="K213" s="136"/>
      <c r="L213" s="71"/>
      <c r="M213" s="72"/>
      <c r="N213" s="72"/>
      <c r="O213" s="264" t="str">
        <f t="shared" si="24"/>
        <v/>
      </c>
      <c r="P213" s="230">
        <f t="shared" si="25"/>
        <v>0</v>
      </c>
      <c r="Q213" s="231" t="str">
        <f t="shared" si="21"/>
        <v>×</v>
      </c>
      <c r="R213" s="231" t="str">
        <f t="shared" si="26"/>
        <v>×</v>
      </c>
      <c r="S213" s="232" t="str">
        <f t="shared" si="27"/>
        <v/>
      </c>
    </row>
    <row r="214" spans="2:19">
      <c r="B214" s="68"/>
      <c r="C214" s="57"/>
      <c r="D214" s="259" t="str">
        <f t="shared" si="22"/>
        <v/>
      </c>
      <c r="E214" s="260" t="str">
        <f t="shared" si="23"/>
        <v/>
      </c>
      <c r="F214" s="271" t="str">
        <f>IF(G214="","",VLOOKUP(G214,プルダウン用リスト!$K$1:$M$16,2,FALSE))</f>
        <v/>
      </c>
      <c r="G214" s="70"/>
      <c r="H214" s="58"/>
      <c r="I214" s="70"/>
      <c r="J214" s="135"/>
      <c r="K214" s="136"/>
      <c r="L214" s="71"/>
      <c r="M214" s="72"/>
      <c r="N214" s="72"/>
      <c r="O214" s="264" t="str">
        <f t="shared" si="24"/>
        <v/>
      </c>
      <c r="P214" s="230">
        <f t="shared" si="25"/>
        <v>0</v>
      </c>
      <c r="Q214" s="231" t="str">
        <f t="shared" si="21"/>
        <v>×</v>
      </c>
      <c r="R214" s="231" t="str">
        <f t="shared" si="26"/>
        <v>×</v>
      </c>
      <c r="S214" s="232" t="str">
        <f t="shared" si="27"/>
        <v/>
      </c>
    </row>
    <row r="215" spans="2:19">
      <c r="B215" s="68"/>
      <c r="C215" s="57"/>
      <c r="D215" s="259" t="str">
        <f t="shared" si="22"/>
        <v/>
      </c>
      <c r="E215" s="260" t="str">
        <f t="shared" si="23"/>
        <v/>
      </c>
      <c r="F215" s="271" t="str">
        <f>IF(G215="","",VLOOKUP(G215,プルダウン用リスト!$K$1:$M$16,2,FALSE))</f>
        <v/>
      </c>
      <c r="G215" s="70"/>
      <c r="H215" s="58"/>
      <c r="I215" s="70"/>
      <c r="J215" s="135"/>
      <c r="K215" s="136"/>
      <c r="L215" s="71"/>
      <c r="M215" s="72"/>
      <c r="N215" s="72"/>
      <c r="O215" s="264" t="str">
        <f t="shared" si="24"/>
        <v/>
      </c>
      <c r="P215" s="230">
        <f t="shared" si="25"/>
        <v>0</v>
      </c>
      <c r="Q215" s="231" t="str">
        <f t="shared" si="21"/>
        <v>×</v>
      </c>
      <c r="R215" s="231" t="str">
        <f t="shared" si="26"/>
        <v>×</v>
      </c>
      <c r="S215" s="232" t="str">
        <f t="shared" si="27"/>
        <v/>
      </c>
    </row>
    <row r="216" spans="2:19">
      <c r="B216" s="68"/>
      <c r="C216" s="57"/>
      <c r="D216" s="259" t="str">
        <f t="shared" si="22"/>
        <v/>
      </c>
      <c r="E216" s="260" t="str">
        <f t="shared" si="23"/>
        <v/>
      </c>
      <c r="F216" s="271" t="str">
        <f>IF(G216="","",VLOOKUP(G216,プルダウン用リスト!$K$1:$M$16,2,FALSE))</f>
        <v/>
      </c>
      <c r="G216" s="70"/>
      <c r="H216" s="70"/>
      <c r="I216" s="70"/>
      <c r="J216" s="135"/>
      <c r="K216" s="136"/>
      <c r="L216" s="71"/>
      <c r="M216" s="72"/>
      <c r="N216" s="72"/>
      <c r="O216" s="264" t="str">
        <f t="shared" si="24"/>
        <v/>
      </c>
      <c r="P216" s="230">
        <f t="shared" si="25"/>
        <v>0</v>
      </c>
      <c r="Q216" s="231" t="str">
        <f t="shared" si="21"/>
        <v>×</v>
      </c>
      <c r="R216" s="231" t="str">
        <f t="shared" si="26"/>
        <v>×</v>
      </c>
      <c r="S216" s="232" t="str">
        <f t="shared" si="27"/>
        <v/>
      </c>
    </row>
    <row r="217" spans="2:19">
      <c r="B217" s="68"/>
      <c r="C217" s="57"/>
      <c r="D217" s="259" t="str">
        <f t="shared" si="22"/>
        <v/>
      </c>
      <c r="E217" s="260" t="str">
        <f t="shared" si="23"/>
        <v/>
      </c>
      <c r="F217" s="271" t="str">
        <f>IF(G217="","",VLOOKUP(G217,プルダウン用リスト!$K$1:$M$16,2,FALSE))</f>
        <v/>
      </c>
      <c r="G217" s="70"/>
      <c r="H217" s="58"/>
      <c r="I217" s="70"/>
      <c r="J217" s="135"/>
      <c r="K217" s="136"/>
      <c r="L217" s="71"/>
      <c r="M217" s="72"/>
      <c r="N217" s="72"/>
      <c r="O217" s="264" t="str">
        <f t="shared" si="24"/>
        <v/>
      </c>
      <c r="P217" s="230">
        <f t="shared" si="25"/>
        <v>0</v>
      </c>
      <c r="Q217" s="231" t="str">
        <f t="shared" si="21"/>
        <v>×</v>
      </c>
      <c r="R217" s="231" t="str">
        <f t="shared" si="26"/>
        <v>×</v>
      </c>
      <c r="S217" s="232" t="str">
        <f t="shared" si="27"/>
        <v/>
      </c>
    </row>
    <row r="218" spans="2:19">
      <c r="B218" s="68"/>
      <c r="C218" s="57"/>
      <c r="D218" s="259" t="str">
        <f t="shared" si="22"/>
        <v/>
      </c>
      <c r="E218" s="260" t="str">
        <f t="shared" si="23"/>
        <v/>
      </c>
      <c r="F218" s="271" t="str">
        <f>IF(G218="","",VLOOKUP(G218,プルダウン用リスト!$K$1:$M$16,2,FALSE))</f>
        <v/>
      </c>
      <c r="G218" s="70"/>
      <c r="H218" s="58"/>
      <c r="I218" s="70"/>
      <c r="J218" s="135"/>
      <c r="K218" s="136"/>
      <c r="L218" s="71"/>
      <c r="M218" s="72"/>
      <c r="N218" s="72"/>
      <c r="O218" s="264" t="str">
        <f t="shared" si="24"/>
        <v/>
      </c>
      <c r="P218" s="230">
        <f t="shared" si="25"/>
        <v>0</v>
      </c>
      <c r="Q218" s="231" t="str">
        <f t="shared" si="21"/>
        <v>×</v>
      </c>
      <c r="R218" s="231" t="str">
        <f t="shared" si="26"/>
        <v>×</v>
      </c>
      <c r="S218" s="232" t="str">
        <f t="shared" si="27"/>
        <v/>
      </c>
    </row>
    <row r="219" spans="2:19">
      <c r="B219" s="68"/>
      <c r="C219" s="57"/>
      <c r="D219" s="259" t="str">
        <f t="shared" si="22"/>
        <v/>
      </c>
      <c r="E219" s="260" t="str">
        <f t="shared" si="23"/>
        <v/>
      </c>
      <c r="F219" s="271" t="str">
        <f>IF(G219="","",VLOOKUP(G219,プルダウン用リスト!$K$1:$M$16,2,FALSE))</f>
        <v/>
      </c>
      <c r="G219" s="70"/>
      <c r="H219" s="70"/>
      <c r="I219" s="70"/>
      <c r="J219" s="135"/>
      <c r="K219" s="136"/>
      <c r="L219" s="71"/>
      <c r="M219" s="72"/>
      <c r="N219" s="72"/>
      <c r="O219" s="264" t="str">
        <f t="shared" si="24"/>
        <v/>
      </c>
      <c r="P219" s="230">
        <f t="shared" si="25"/>
        <v>0</v>
      </c>
      <c r="Q219" s="231" t="str">
        <f t="shared" si="21"/>
        <v>×</v>
      </c>
      <c r="R219" s="231" t="str">
        <f t="shared" si="26"/>
        <v>×</v>
      </c>
      <c r="S219" s="232" t="str">
        <f t="shared" si="27"/>
        <v/>
      </c>
    </row>
    <row r="220" spans="2:19">
      <c r="B220" s="68"/>
      <c r="C220" s="57"/>
      <c r="D220" s="259" t="str">
        <f t="shared" si="22"/>
        <v/>
      </c>
      <c r="E220" s="260" t="str">
        <f t="shared" si="23"/>
        <v/>
      </c>
      <c r="F220" s="271" t="str">
        <f>IF(G220="","",VLOOKUP(G220,プルダウン用リスト!$K$1:$M$16,2,FALSE))</f>
        <v/>
      </c>
      <c r="G220" s="70"/>
      <c r="H220" s="58"/>
      <c r="I220" s="70"/>
      <c r="J220" s="135"/>
      <c r="K220" s="136"/>
      <c r="L220" s="71"/>
      <c r="M220" s="72"/>
      <c r="N220" s="72"/>
      <c r="O220" s="264" t="str">
        <f t="shared" si="24"/>
        <v/>
      </c>
      <c r="P220" s="230">
        <f t="shared" si="25"/>
        <v>0</v>
      </c>
      <c r="Q220" s="231" t="str">
        <f t="shared" si="21"/>
        <v>×</v>
      </c>
      <c r="R220" s="231" t="str">
        <f t="shared" si="26"/>
        <v>×</v>
      </c>
      <c r="S220" s="232" t="str">
        <f t="shared" si="27"/>
        <v/>
      </c>
    </row>
    <row r="221" spans="2:19">
      <c r="B221" s="68"/>
      <c r="C221" s="57"/>
      <c r="D221" s="259" t="str">
        <f t="shared" si="22"/>
        <v/>
      </c>
      <c r="E221" s="260" t="str">
        <f t="shared" si="23"/>
        <v/>
      </c>
      <c r="F221" s="271" t="str">
        <f>IF(G221="","",VLOOKUP(G221,プルダウン用リスト!$K$1:$M$16,2,FALSE))</f>
        <v/>
      </c>
      <c r="G221" s="70"/>
      <c r="H221" s="58"/>
      <c r="I221" s="70"/>
      <c r="J221" s="135"/>
      <c r="K221" s="136"/>
      <c r="L221" s="71"/>
      <c r="M221" s="72"/>
      <c r="N221" s="72"/>
      <c r="O221" s="264" t="str">
        <f t="shared" si="24"/>
        <v/>
      </c>
      <c r="P221" s="230">
        <f t="shared" si="25"/>
        <v>0</v>
      </c>
      <c r="Q221" s="231" t="str">
        <f t="shared" si="21"/>
        <v>×</v>
      </c>
      <c r="R221" s="231" t="str">
        <f t="shared" si="26"/>
        <v>×</v>
      </c>
      <c r="S221" s="232" t="str">
        <f t="shared" si="27"/>
        <v/>
      </c>
    </row>
    <row r="222" spans="2:19">
      <c r="B222" s="68"/>
      <c r="C222" s="69"/>
      <c r="D222" s="259" t="str">
        <f t="shared" si="22"/>
        <v/>
      </c>
      <c r="E222" s="260" t="str">
        <f t="shared" si="23"/>
        <v/>
      </c>
      <c r="F222" s="271" t="str">
        <f>IF(G222="","",VLOOKUP(G222,プルダウン用リスト!$K$1:$M$16,2,FALSE))</f>
        <v/>
      </c>
      <c r="G222" s="70"/>
      <c r="H222" s="70"/>
      <c r="I222" s="70"/>
      <c r="J222" s="135"/>
      <c r="K222" s="136"/>
      <c r="L222" s="71"/>
      <c r="M222" s="72"/>
      <c r="N222" s="72"/>
      <c r="O222" s="264" t="str">
        <f t="shared" si="24"/>
        <v/>
      </c>
      <c r="P222" s="230">
        <f t="shared" si="25"/>
        <v>0</v>
      </c>
      <c r="Q222" s="231" t="str">
        <f t="shared" si="21"/>
        <v>×</v>
      </c>
      <c r="R222" s="231" t="str">
        <f t="shared" si="26"/>
        <v>×</v>
      </c>
      <c r="S222" s="232" t="str">
        <f t="shared" si="27"/>
        <v/>
      </c>
    </row>
    <row r="223" spans="2:19">
      <c r="B223" s="68"/>
      <c r="C223" s="57"/>
      <c r="D223" s="259" t="str">
        <f t="shared" si="22"/>
        <v/>
      </c>
      <c r="E223" s="260" t="str">
        <f t="shared" si="23"/>
        <v/>
      </c>
      <c r="F223" s="271" t="str">
        <f>IF(G223="","",VLOOKUP(G223,プルダウン用リスト!$K$1:$M$16,2,FALSE))</f>
        <v/>
      </c>
      <c r="G223" s="70"/>
      <c r="H223" s="58"/>
      <c r="I223" s="70"/>
      <c r="J223" s="135"/>
      <c r="K223" s="136"/>
      <c r="L223" s="71"/>
      <c r="M223" s="72"/>
      <c r="N223" s="72"/>
      <c r="O223" s="264" t="str">
        <f t="shared" si="24"/>
        <v/>
      </c>
      <c r="P223" s="230">
        <f t="shared" si="25"/>
        <v>0</v>
      </c>
      <c r="Q223" s="231" t="str">
        <f t="shared" si="21"/>
        <v>×</v>
      </c>
      <c r="R223" s="231" t="str">
        <f t="shared" si="26"/>
        <v>×</v>
      </c>
      <c r="S223" s="232" t="str">
        <f t="shared" si="27"/>
        <v/>
      </c>
    </row>
    <row r="224" spans="2:19">
      <c r="B224" s="68"/>
      <c r="C224" s="57"/>
      <c r="D224" s="259" t="str">
        <f t="shared" si="22"/>
        <v/>
      </c>
      <c r="E224" s="260" t="str">
        <f t="shared" si="23"/>
        <v/>
      </c>
      <c r="F224" s="271" t="str">
        <f>IF(G224="","",VLOOKUP(G224,プルダウン用リスト!$K$1:$M$16,2,FALSE))</f>
        <v/>
      </c>
      <c r="G224" s="70"/>
      <c r="H224" s="58"/>
      <c r="I224" s="70"/>
      <c r="J224" s="135"/>
      <c r="K224" s="136"/>
      <c r="L224" s="71"/>
      <c r="M224" s="72"/>
      <c r="N224" s="72"/>
      <c r="O224" s="264" t="str">
        <f t="shared" si="24"/>
        <v/>
      </c>
      <c r="P224" s="230">
        <f t="shared" si="25"/>
        <v>0</v>
      </c>
      <c r="Q224" s="231" t="str">
        <f t="shared" si="21"/>
        <v>×</v>
      </c>
      <c r="R224" s="231" t="str">
        <f t="shared" si="26"/>
        <v>×</v>
      </c>
      <c r="S224" s="232" t="str">
        <f t="shared" si="27"/>
        <v/>
      </c>
    </row>
    <row r="225" spans="2:19">
      <c r="B225" s="68"/>
      <c r="C225" s="57"/>
      <c r="D225" s="259" t="str">
        <f t="shared" si="22"/>
        <v/>
      </c>
      <c r="E225" s="260" t="str">
        <f t="shared" si="23"/>
        <v/>
      </c>
      <c r="F225" s="271" t="str">
        <f>IF(G225="","",VLOOKUP(G225,プルダウン用リスト!$K$1:$M$16,2,FALSE))</f>
        <v/>
      </c>
      <c r="G225" s="70"/>
      <c r="H225" s="70"/>
      <c r="I225" s="70"/>
      <c r="J225" s="135"/>
      <c r="K225" s="136"/>
      <c r="L225" s="71"/>
      <c r="M225" s="72"/>
      <c r="N225" s="72"/>
      <c r="O225" s="264" t="str">
        <f t="shared" si="24"/>
        <v/>
      </c>
      <c r="P225" s="230">
        <f t="shared" si="25"/>
        <v>0</v>
      </c>
      <c r="Q225" s="231" t="str">
        <f t="shared" si="21"/>
        <v>×</v>
      </c>
      <c r="R225" s="231" t="str">
        <f t="shared" si="26"/>
        <v>×</v>
      </c>
      <c r="S225" s="232" t="str">
        <f t="shared" si="27"/>
        <v/>
      </c>
    </row>
    <row r="226" spans="2:19">
      <c r="B226" s="68"/>
      <c r="C226" s="57"/>
      <c r="D226" s="259" t="str">
        <f t="shared" si="22"/>
        <v/>
      </c>
      <c r="E226" s="260" t="str">
        <f t="shared" si="23"/>
        <v/>
      </c>
      <c r="F226" s="271" t="str">
        <f>IF(G226="","",VLOOKUP(G226,プルダウン用リスト!$K$1:$M$16,2,FALSE))</f>
        <v/>
      </c>
      <c r="G226" s="70"/>
      <c r="H226" s="58"/>
      <c r="I226" s="70"/>
      <c r="J226" s="135"/>
      <c r="K226" s="136"/>
      <c r="L226" s="71"/>
      <c r="M226" s="72"/>
      <c r="N226" s="72"/>
      <c r="O226" s="264" t="str">
        <f t="shared" si="24"/>
        <v/>
      </c>
      <c r="P226" s="230">
        <f t="shared" si="25"/>
        <v>0</v>
      </c>
      <c r="Q226" s="231" t="str">
        <f t="shared" si="21"/>
        <v>×</v>
      </c>
      <c r="R226" s="231" t="str">
        <f t="shared" si="26"/>
        <v>×</v>
      </c>
      <c r="S226" s="232" t="str">
        <f t="shared" si="27"/>
        <v/>
      </c>
    </row>
    <row r="227" spans="2:19">
      <c r="B227" s="68"/>
      <c r="C227" s="57"/>
      <c r="D227" s="259" t="str">
        <f t="shared" si="22"/>
        <v/>
      </c>
      <c r="E227" s="260" t="str">
        <f t="shared" si="23"/>
        <v/>
      </c>
      <c r="F227" s="271" t="str">
        <f>IF(G227="","",VLOOKUP(G227,プルダウン用リスト!$K$1:$M$16,2,FALSE))</f>
        <v/>
      </c>
      <c r="G227" s="70"/>
      <c r="H227" s="58"/>
      <c r="I227" s="70"/>
      <c r="J227" s="135"/>
      <c r="K227" s="136"/>
      <c r="L227" s="71"/>
      <c r="M227" s="72"/>
      <c r="N227" s="72"/>
      <c r="O227" s="264" t="str">
        <f t="shared" si="24"/>
        <v/>
      </c>
      <c r="P227" s="230">
        <f t="shared" si="25"/>
        <v>0</v>
      </c>
      <c r="Q227" s="231" t="str">
        <f t="shared" si="21"/>
        <v>×</v>
      </c>
      <c r="R227" s="231" t="str">
        <f t="shared" si="26"/>
        <v>×</v>
      </c>
      <c r="S227" s="232" t="str">
        <f t="shared" si="27"/>
        <v/>
      </c>
    </row>
    <row r="228" spans="2:19">
      <c r="B228" s="68"/>
      <c r="C228" s="57"/>
      <c r="D228" s="259" t="str">
        <f t="shared" si="22"/>
        <v/>
      </c>
      <c r="E228" s="260" t="str">
        <f t="shared" si="23"/>
        <v/>
      </c>
      <c r="F228" s="271" t="str">
        <f>IF(G228="","",VLOOKUP(G228,プルダウン用リスト!$K$1:$M$16,2,FALSE))</f>
        <v/>
      </c>
      <c r="G228" s="70"/>
      <c r="H228" s="70"/>
      <c r="I228" s="70"/>
      <c r="J228" s="135"/>
      <c r="K228" s="136"/>
      <c r="L228" s="71"/>
      <c r="M228" s="72"/>
      <c r="N228" s="72"/>
      <c r="O228" s="264" t="str">
        <f t="shared" si="24"/>
        <v/>
      </c>
      <c r="P228" s="230">
        <f t="shared" si="25"/>
        <v>0</v>
      </c>
      <c r="Q228" s="231" t="str">
        <f t="shared" si="21"/>
        <v>×</v>
      </c>
      <c r="R228" s="231" t="str">
        <f t="shared" si="26"/>
        <v>×</v>
      </c>
      <c r="S228" s="232" t="str">
        <f t="shared" si="27"/>
        <v/>
      </c>
    </row>
    <row r="229" spans="2:19">
      <c r="B229" s="68"/>
      <c r="C229" s="57"/>
      <c r="D229" s="259" t="str">
        <f t="shared" si="22"/>
        <v/>
      </c>
      <c r="E229" s="260" t="str">
        <f t="shared" si="23"/>
        <v/>
      </c>
      <c r="F229" s="271" t="str">
        <f>IF(G229="","",VLOOKUP(G229,プルダウン用リスト!$K$1:$M$16,2,FALSE))</f>
        <v/>
      </c>
      <c r="G229" s="70"/>
      <c r="H229" s="58"/>
      <c r="I229" s="70"/>
      <c r="J229" s="135"/>
      <c r="K229" s="136"/>
      <c r="L229" s="71"/>
      <c r="M229" s="72"/>
      <c r="N229" s="72"/>
      <c r="O229" s="264" t="str">
        <f t="shared" si="24"/>
        <v/>
      </c>
      <c r="P229" s="230">
        <f t="shared" si="25"/>
        <v>0</v>
      </c>
      <c r="Q229" s="231" t="str">
        <f t="shared" si="21"/>
        <v>×</v>
      </c>
      <c r="R229" s="231" t="str">
        <f t="shared" si="26"/>
        <v>×</v>
      </c>
      <c r="S229" s="232" t="str">
        <f t="shared" si="27"/>
        <v/>
      </c>
    </row>
    <row r="230" spans="2:19">
      <c r="B230" s="68"/>
      <c r="C230" s="57"/>
      <c r="D230" s="259" t="str">
        <f t="shared" si="22"/>
        <v/>
      </c>
      <c r="E230" s="260" t="str">
        <f t="shared" si="23"/>
        <v/>
      </c>
      <c r="F230" s="271" t="str">
        <f>IF(G230="","",VLOOKUP(G230,プルダウン用リスト!$K$1:$M$16,2,FALSE))</f>
        <v/>
      </c>
      <c r="G230" s="70"/>
      <c r="H230" s="58"/>
      <c r="I230" s="70"/>
      <c r="J230" s="135"/>
      <c r="K230" s="136"/>
      <c r="L230" s="71"/>
      <c r="M230" s="72"/>
      <c r="N230" s="72"/>
      <c r="O230" s="264" t="str">
        <f t="shared" si="24"/>
        <v/>
      </c>
      <c r="P230" s="230">
        <f t="shared" si="25"/>
        <v>0</v>
      </c>
      <c r="Q230" s="231" t="str">
        <f t="shared" si="21"/>
        <v>×</v>
      </c>
      <c r="R230" s="231" t="str">
        <f t="shared" si="26"/>
        <v>×</v>
      </c>
      <c r="S230" s="232" t="str">
        <f t="shared" si="27"/>
        <v/>
      </c>
    </row>
    <row r="231" spans="2:19">
      <c r="B231" s="68"/>
      <c r="C231" s="57"/>
      <c r="D231" s="259" t="str">
        <f t="shared" si="22"/>
        <v/>
      </c>
      <c r="E231" s="260" t="str">
        <f t="shared" si="23"/>
        <v/>
      </c>
      <c r="F231" s="271" t="str">
        <f>IF(G231="","",VLOOKUP(G231,プルダウン用リスト!$K$1:$M$16,2,FALSE))</f>
        <v/>
      </c>
      <c r="G231" s="70"/>
      <c r="H231" s="70"/>
      <c r="I231" s="70"/>
      <c r="J231" s="135"/>
      <c r="K231" s="136"/>
      <c r="L231" s="71"/>
      <c r="M231" s="72"/>
      <c r="N231" s="72"/>
      <c r="O231" s="264" t="str">
        <f t="shared" si="24"/>
        <v/>
      </c>
      <c r="P231" s="230">
        <f t="shared" si="25"/>
        <v>0</v>
      </c>
      <c r="Q231" s="231" t="str">
        <f t="shared" si="21"/>
        <v>×</v>
      </c>
      <c r="R231" s="231" t="str">
        <f t="shared" si="26"/>
        <v>×</v>
      </c>
      <c r="S231" s="232" t="str">
        <f t="shared" si="27"/>
        <v/>
      </c>
    </row>
    <row r="232" spans="2:19">
      <c r="B232" s="68"/>
      <c r="C232" s="57"/>
      <c r="D232" s="259" t="str">
        <f t="shared" si="22"/>
        <v/>
      </c>
      <c r="E232" s="260" t="str">
        <f t="shared" si="23"/>
        <v/>
      </c>
      <c r="F232" s="271" t="str">
        <f>IF(G232="","",VLOOKUP(G232,プルダウン用リスト!$K$1:$M$16,2,FALSE))</f>
        <v/>
      </c>
      <c r="G232" s="70"/>
      <c r="H232" s="58"/>
      <c r="I232" s="70"/>
      <c r="J232" s="135"/>
      <c r="K232" s="136"/>
      <c r="L232" s="71"/>
      <c r="M232" s="72"/>
      <c r="N232" s="72"/>
      <c r="O232" s="264" t="str">
        <f t="shared" si="24"/>
        <v/>
      </c>
      <c r="P232" s="230">
        <f t="shared" si="25"/>
        <v>0</v>
      </c>
      <c r="Q232" s="231" t="str">
        <f t="shared" si="21"/>
        <v>×</v>
      </c>
      <c r="R232" s="231" t="str">
        <f t="shared" si="26"/>
        <v>×</v>
      </c>
      <c r="S232" s="232" t="str">
        <f t="shared" si="27"/>
        <v/>
      </c>
    </row>
    <row r="233" spans="2:19">
      <c r="B233" s="68"/>
      <c r="C233" s="57"/>
      <c r="D233" s="259" t="str">
        <f t="shared" si="22"/>
        <v/>
      </c>
      <c r="E233" s="260" t="str">
        <f t="shared" si="23"/>
        <v/>
      </c>
      <c r="F233" s="271" t="str">
        <f>IF(G233="","",VLOOKUP(G233,プルダウン用リスト!$K$1:$M$16,2,FALSE))</f>
        <v/>
      </c>
      <c r="G233" s="70"/>
      <c r="H233" s="58"/>
      <c r="I233" s="70"/>
      <c r="J233" s="135"/>
      <c r="K233" s="136"/>
      <c r="L233" s="71"/>
      <c r="M233" s="72"/>
      <c r="N233" s="72"/>
      <c r="O233" s="264" t="str">
        <f t="shared" si="24"/>
        <v/>
      </c>
      <c r="P233" s="230">
        <f t="shared" si="25"/>
        <v>0</v>
      </c>
      <c r="Q233" s="231" t="str">
        <f t="shared" si="21"/>
        <v>×</v>
      </c>
      <c r="R233" s="231" t="str">
        <f t="shared" si="26"/>
        <v>×</v>
      </c>
      <c r="S233" s="232" t="str">
        <f t="shared" si="27"/>
        <v/>
      </c>
    </row>
    <row r="234" spans="2:19">
      <c r="B234" s="68"/>
      <c r="C234" s="69"/>
      <c r="D234" s="259" t="str">
        <f t="shared" si="22"/>
        <v/>
      </c>
      <c r="E234" s="260" t="str">
        <f t="shared" si="23"/>
        <v/>
      </c>
      <c r="F234" s="271" t="str">
        <f>IF(G234="","",VLOOKUP(G234,プルダウン用リスト!$K$1:$M$16,2,FALSE))</f>
        <v/>
      </c>
      <c r="G234" s="70"/>
      <c r="H234" s="70"/>
      <c r="I234" s="70"/>
      <c r="J234" s="135"/>
      <c r="K234" s="136"/>
      <c r="L234" s="71"/>
      <c r="M234" s="72"/>
      <c r="N234" s="72"/>
      <c r="O234" s="264" t="str">
        <f t="shared" si="24"/>
        <v/>
      </c>
      <c r="P234" s="230">
        <f t="shared" si="25"/>
        <v>0</v>
      </c>
      <c r="Q234" s="231" t="str">
        <f t="shared" si="21"/>
        <v>×</v>
      </c>
      <c r="R234" s="231" t="str">
        <f t="shared" si="26"/>
        <v>×</v>
      </c>
      <c r="S234" s="232" t="str">
        <f t="shared" si="27"/>
        <v/>
      </c>
    </row>
    <row r="235" spans="2:19">
      <c r="B235" s="68"/>
      <c r="C235" s="57"/>
      <c r="D235" s="259" t="str">
        <f t="shared" si="22"/>
        <v/>
      </c>
      <c r="E235" s="260" t="str">
        <f t="shared" si="23"/>
        <v/>
      </c>
      <c r="F235" s="271" t="str">
        <f>IF(G235="","",VLOOKUP(G235,プルダウン用リスト!$K$1:$M$16,2,FALSE))</f>
        <v/>
      </c>
      <c r="G235" s="70"/>
      <c r="H235" s="58"/>
      <c r="I235" s="70"/>
      <c r="J235" s="135"/>
      <c r="K235" s="136"/>
      <c r="L235" s="71"/>
      <c r="M235" s="72"/>
      <c r="N235" s="72"/>
      <c r="O235" s="264" t="str">
        <f t="shared" si="24"/>
        <v/>
      </c>
      <c r="P235" s="230">
        <f t="shared" si="25"/>
        <v>0</v>
      </c>
      <c r="Q235" s="231" t="str">
        <f t="shared" si="21"/>
        <v>×</v>
      </c>
      <c r="R235" s="231" t="str">
        <f t="shared" si="26"/>
        <v>×</v>
      </c>
      <c r="S235" s="232" t="str">
        <f t="shared" si="27"/>
        <v/>
      </c>
    </row>
    <row r="236" spans="2:19">
      <c r="B236" s="68"/>
      <c r="C236" s="57"/>
      <c r="D236" s="259" t="str">
        <f t="shared" si="22"/>
        <v/>
      </c>
      <c r="E236" s="260" t="str">
        <f t="shared" si="23"/>
        <v/>
      </c>
      <c r="F236" s="271" t="str">
        <f>IF(G236="","",VLOOKUP(G236,プルダウン用リスト!$K$1:$M$16,2,FALSE))</f>
        <v/>
      </c>
      <c r="G236" s="70"/>
      <c r="H236" s="58"/>
      <c r="I236" s="70"/>
      <c r="J236" s="135"/>
      <c r="K236" s="136"/>
      <c r="L236" s="71"/>
      <c r="M236" s="72"/>
      <c r="N236" s="72"/>
      <c r="O236" s="264" t="str">
        <f t="shared" si="24"/>
        <v/>
      </c>
      <c r="P236" s="230">
        <f t="shared" si="25"/>
        <v>0</v>
      </c>
      <c r="Q236" s="231" t="str">
        <f t="shared" si="21"/>
        <v>×</v>
      </c>
      <c r="R236" s="231" t="str">
        <f t="shared" si="26"/>
        <v>×</v>
      </c>
      <c r="S236" s="232" t="str">
        <f t="shared" si="27"/>
        <v/>
      </c>
    </row>
    <row r="237" spans="2:19">
      <c r="B237" s="68"/>
      <c r="C237" s="57"/>
      <c r="D237" s="259" t="str">
        <f t="shared" si="22"/>
        <v/>
      </c>
      <c r="E237" s="260" t="str">
        <f t="shared" si="23"/>
        <v/>
      </c>
      <c r="F237" s="271" t="str">
        <f>IF(G237="","",VLOOKUP(G237,プルダウン用リスト!$K$1:$M$16,2,FALSE))</f>
        <v/>
      </c>
      <c r="G237" s="70"/>
      <c r="H237" s="70"/>
      <c r="I237" s="70"/>
      <c r="J237" s="135"/>
      <c r="K237" s="136"/>
      <c r="L237" s="71"/>
      <c r="M237" s="72"/>
      <c r="N237" s="72"/>
      <c r="O237" s="264" t="str">
        <f t="shared" si="24"/>
        <v/>
      </c>
      <c r="P237" s="230">
        <f t="shared" si="25"/>
        <v>0</v>
      </c>
      <c r="Q237" s="231" t="str">
        <f t="shared" si="21"/>
        <v>×</v>
      </c>
      <c r="R237" s="231" t="str">
        <f t="shared" si="26"/>
        <v>×</v>
      </c>
      <c r="S237" s="232" t="str">
        <f t="shared" si="27"/>
        <v/>
      </c>
    </row>
    <row r="238" spans="2:19">
      <c r="B238" s="68"/>
      <c r="C238" s="57"/>
      <c r="D238" s="259" t="str">
        <f t="shared" si="22"/>
        <v/>
      </c>
      <c r="E238" s="260" t="str">
        <f t="shared" si="23"/>
        <v/>
      </c>
      <c r="F238" s="271" t="str">
        <f>IF(G238="","",VLOOKUP(G238,プルダウン用リスト!$K$1:$M$16,2,FALSE))</f>
        <v/>
      </c>
      <c r="G238" s="70"/>
      <c r="H238" s="58"/>
      <c r="I238" s="70"/>
      <c r="J238" s="135"/>
      <c r="K238" s="136"/>
      <c r="L238" s="71"/>
      <c r="M238" s="72"/>
      <c r="N238" s="72"/>
      <c r="O238" s="264" t="str">
        <f t="shared" si="24"/>
        <v/>
      </c>
      <c r="P238" s="230">
        <f t="shared" si="25"/>
        <v>0</v>
      </c>
      <c r="Q238" s="231" t="str">
        <f t="shared" si="21"/>
        <v>×</v>
      </c>
      <c r="R238" s="231" t="str">
        <f t="shared" si="26"/>
        <v>×</v>
      </c>
      <c r="S238" s="232" t="str">
        <f t="shared" si="27"/>
        <v/>
      </c>
    </row>
    <row r="239" spans="2:19">
      <c r="B239" s="68"/>
      <c r="C239" s="57"/>
      <c r="D239" s="259" t="str">
        <f t="shared" si="22"/>
        <v/>
      </c>
      <c r="E239" s="260" t="str">
        <f t="shared" si="23"/>
        <v/>
      </c>
      <c r="F239" s="271" t="str">
        <f>IF(G239="","",VLOOKUP(G239,プルダウン用リスト!$K$1:$M$16,2,FALSE))</f>
        <v/>
      </c>
      <c r="G239" s="70"/>
      <c r="H239" s="58"/>
      <c r="I239" s="70"/>
      <c r="J239" s="135"/>
      <c r="K239" s="136"/>
      <c r="L239" s="71"/>
      <c r="M239" s="72"/>
      <c r="N239" s="72"/>
      <c r="O239" s="264" t="str">
        <f t="shared" si="24"/>
        <v/>
      </c>
      <c r="P239" s="230">
        <f t="shared" si="25"/>
        <v>0</v>
      </c>
      <c r="Q239" s="231" t="str">
        <f t="shared" si="21"/>
        <v>×</v>
      </c>
      <c r="R239" s="231" t="str">
        <f t="shared" si="26"/>
        <v>×</v>
      </c>
      <c r="S239" s="232" t="str">
        <f t="shared" si="27"/>
        <v/>
      </c>
    </row>
    <row r="240" spans="2:19">
      <c r="B240" s="68"/>
      <c r="C240" s="57"/>
      <c r="D240" s="259" t="str">
        <f t="shared" si="22"/>
        <v/>
      </c>
      <c r="E240" s="260" t="str">
        <f t="shared" si="23"/>
        <v/>
      </c>
      <c r="F240" s="271" t="str">
        <f>IF(G240="","",VLOOKUP(G240,プルダウン用リスト!$K$1:$M$16,2,FALSE))</f>
        <v/>
      </c>
      <c r="G240" s="70"/>
      <c r="H240" s="70"/>
      <c r="I240" s="70"/>
      <c r="J240" s="135"/>
      <c r="K240" s="136"/>
      <c r="L240" s="71"/>
      <c r="M240" s="72"/>
      <c r="N240" s="72"/>
      <c r="O240" s="264" t="str">
        <f t="shared" si="24"/>
        <v/>
      </c>
      <c r="P240" s="230">
        <f t="shared" si="25"/>
        <v>0</v>
      </c>
      <c r="Q240" s="231" t="str">
        <f t="shared" si="21"/>
        <v>×</v>
      </c>
      <c r="R240" s="231" t="str">
        <f t="shared" si="26"/>
        <v>×</v>
      </c>
      <c r="S240" s="232" t="str">
        <f t="shared" si="27"/>
        <v/>
      </c>
    </row>
    <row r="241" spans="2:19">
      <c r="B241" s="68"/>
      <c r="C241" s="57"/>
      <c r="D241" s="259" t="str">
        <f t="shared" si="22"/>
        <v/>
      </c>
      <c r="E241" s="260" t="str">
        <f t="shared" si="23"/>
        <v/>
      </c>
      <c r="F241" s="271" t="str">
        <f>IF(G241="","",VLOOKUP(G241,プルダウン用リスト!$K$1:$M$16,2,FALSE))</f>
        <v/>
      </c>
      <c r="G241" s="70"/>
      <c r="H241" s="58"/>
      <c r="I241" s="70"/>
      <c r="J241" s="135"/>
      <c r="K241" s="136"/>
      <c r="L241" s="71"/>
      <c r="M241" s="72"/>
      <c r="N241" s="72"/>
      <c r="O241" s="264" t="str">
        <f t="shared" si="24"/>
        <v/>
      </c>
      <c r="P241" s="230">
        <f t="shared" si="25"/>
        <v>0</v>
      </c>
      <c r="Q241" s="231" t="str">
        <f t="shared" si="21"/>
        <v>×</v>
      </c>
      <c r="R241" s="231" t="str">
        <f t="shared" si="26"/>
        <v>×</v>
      </c>
      <c r="S241" s="232" t="str">
        <f t="shared" si="27"/>
        <v/>
      </c>
    </row>
    <row r="242" spans="2:19">
      <c r="B242" s="68"/>
      <c r="C242" s="57"/>
      <c r="D242" s="259" t="str">
        <f t="shared" si="22"/>
        <v/>
      </c>
      <c r="E242" s="260" t="str">
        <f t="shared" si="23"/>
        <v/>
      </c>
      <c r="F242" s="271" t="str">
        <f>IF(G242="","",VLOOKUP(G242,プルダウン用リスト!$K$1:$M$16,2,FALSE))</f>
        <v/>
      </c>
      <c r="G242" s="70"/>
      <c r="H242" s="58"/>
      <c r="I242" s="70"/>
      <c r="J242" s="135"/>
      <c r="K242" s="136"/>
      <c r="L242" s="71"/>
      <c r="M242" s="72"/>
      <c r="N242" s="72"/>
      <c r="O242" s="264" t="str">
        <f t="shared" si="24"/>
        <v/>
      </c>
      <c r="P242" s="230">
        <f t="shared" si="25"/>
        <v>0</v>
      </c>
      <c r="Q242" s="231" t="str">
        <f t="shared" si="21"/>
        <v>×</v>
      </c>
      <c r="R242" s="231" t="str">
        <f t="shared" si="26"/>
        <v>×</v>
      </c>
      <c r="S242" s="232" t="str">
        <f t="shared" si="27"/>
        <v/>
      </c>
    </row>
    <row r="243" spans="2:19">
      <c r="B243" s="68"/>
      <c r="C243" s="57"/>
      <c r="D243" s="259" t="str">
        <f t="shared" si="22"/>
        <v/>
      </c>
      <c r="E243" s="260" t="str">
        <f t="shared" si="23"/>
        <v/>
      </c>
      <c r="F243" s="271" t="str">
        <f>IF(G243="","",VLOOKUP(G243,プルダウン用リスト!$K$1:$M$16,2,FALSE))</f>
        <v/>
      </c>
      <c r="G243" s="70"/>
      <c r="H243" s="70"/>
      <c r="I243" s="70"/>
      <c r="J243" s="135"/>
      <c r="K243" s="136"/>
      <c r="L243" s="71"/>
      <c r="M243" s="72"/>
      <c r="N243" s="72"/>
      <c r="O243" s="264" t="str">
        <f t="shared" si="24"/>
        <v/>
      </c>
      <c r="P243" s="230">
        <f t="shared" si="25"/>
        <v>0</v>
      </c>
      <c r="Q243" s="231" t="str">
        <f t="shared" si="21"/>
        <v>×</v>
      </c>
      <c r="R243" s="231" t="str">
        <f t="shared" si="26"/>
        <v>×</v>
      </c>
      <c r="S243" s="232" t="str">
        <f t="shared" si="27"/>
        <v/>
      </c>
    </row>
    <row r="244" spans="2:19">
      <c r="B244" s="68"/>
      <c r="C244" s="57"/>
      <c r="D244" s="259" t="str">
        <f t="shared" si="22"/>
        <v/>
      </c>
      <c r="E244" s="260" t="str">
        <f t="shared" si="23"/>
        <v/>
      </c>
      <c r="F244" s="271" t="str">
        <f>IF(G244="","",VLOOKUP(G244,プルダウン用リスト!$K$1:$M$16,2,FALSE))</f>
        <v/>
      </c>
      <c r="G244" s="70"/>
      <c r="H244" s="58"/>
      <c r="I244" s="70"/>
      <c r="J244" s="135"/>
      <c r="K244" s="136"/>
      <c r="L244" s="71"/>
      <c r="M244" s="72"/>
      <c r="N244" s="72"/>
      <c r="O244" s="264" t="str">
        <f t="shared" si="24"/>
        <v/>
      </c>
      <c r="P244" s="230">
        <f t="shared" si="25"/>
        <v>0</v>
      </c>
      <c r="Q244" s="231" t="str">
        <f t="shared" si="21"/>
        <v>×</v>
      </c>
      <c r="R244" s="231" t="str">
        <f t="shared" si="26"/>
        <v>×</v>
      </c>
      <c r="S244" s="232" t="str">
        <f t="shared" si="27"/>
        <v/>
      </c>
    </row>
    <row r="245" spans="2:19">
      <c r="B245" s="68"/>
      <c r="C245" s="57"/>
      <c r="D245" s="259" t="str">
        <f t="shared" si="22"/>
        <v/>
      </c>
      <c r="E245" s="260" t="str">
        <f t="shared" si="23"/>
        <v/>
      </c>
      <c r="F245" s="271" t="str">
        <f>IF(G245="","",VLOOKUP(G245,プルダウン用リスト!$K$1:$M$16,2,FALSE))</f>
        <v/>
      </c>
      <c r="G245" s="70"/>
      <c r="H245" s="58"/>
      <c r="I245" s="70"/>
      <c r="J245" s="135"/>
      <c r="K245" s="136"/>
      <c r="L245" s="71"/>
      <c r="M245" s="72"/>
      <c r="N245" s="72"/>
      <c r="O245" s="264" t="str">
        <f t="shared" si="24"/>
        <v/>
      </c>
      <c r="P245" s="230">
        <f t="shared" si="25"/>
        <v>0</v>
      </c>
      <c r="Q245" s="231" t="str">
        <f t="shared" si="21"/>
        <v>×</v>
      </c>
      <c r="R245" s="231" t="str">
        <f t="shared" si="26"/>
        <v>×</v>
      </c>
      <c r="S245" s="232" t="str">
        <f t="shared" si="27"/>
        <v/>
      </c>
    </row>
    <row r="246" spans="2:19">
      <c r="B246" s="68"/>
      <c r="C246" s="69"/>
      <c r="D246" s="259" t="str">
        <f t="shared" si="22"/>
        <v/>
      </c>
      <c r="E246" s="260" t="str">
        <f t="shared" si="23"/>
        <v/>
      </c>
      <c r="F246" s="271" t="str">
        <f>IF(G246="","",VLOOKUP(G246,プルダウン用リスト!$K$1:$M$16,2,FALSE))</f>
        <v/>
      </c>
      <c r="G246" s="70"/>
      <c r="H246" s="70"/>
      <c r="I246" s="70"/>
      <c r="J246" s="135"/>
      <c r="K246" s="136"/>
      <c r="L246" s="71"/>
      <c r="M246" s="72"/>
      <c r="N246" s="72"/>
      <c r="O246" s="264" t="str">
        <f t="shared" si="24"/>
        <v/>
      </c>
      <c r="P246" s="230">
        <f t="shared" si="25"/>
        <v>0</v>
      </c>
      <c r="Q246" s="231" t="str">
        <f t="shared" si="21"/>
        <v>×</v>
      </c>
      <c r="R246" s="231" t="str">
        <f t="shared" si="26"/>
        <v>×</v>
      </c>
      <c r="S246" s="232" t="str">
        <f t="shared" si="27"/>
        <v/>
      </c>
    </row>
    <row r="247" spans="2:19">
      <c r="B247" s="68"/>
      <c r="C247" s="57"/>
      <c r="D247" s="259" t="str">
        <f t="shared" si="22"/>
        <v/>
      </c>
      <c r="E247" s="260" t="str">
        <f t="shared" si="23"/>
        <v/>
      </c>
      <c r="F247" s="271" t="str">
        <f>IF(G247="","",VLOOKUP(G247,プルダウン用リスト!$K$1:$M$16,2,FALSE))</f>
        <v/>
      </c>
      <c r="G247" s="70"/>
      <c r="H247" s="58"/>
      <c r="I247" s="70"/>
      <c r="J247" s="135"/>
      <c r="K247" s="136"/>
      <c r="L247" s="71"/>
      <c r="M247" s="72"/>
      <c r="N247" s="72"/>
      <c r="O247" s="264" t="str">
        <f t="shared" si="24"/>
        <v/>
      </c>
      <c r="P247" s="230">
        <f t="shared" si="25"/>
        <v>0</v>
      </c>
      <c r="Q247" s="231" t="str">
        <f t="shared" si="21"/>
        <v>×</v>
      </c>
      <c r="R247" s="231" t="str">
        <f t="shared" si="26"/>
        <v>×</v>
      </c>
      <c r="S247" s="232" t="str">
        <f t="shared" si="27"/>
        <v/>
      </c>
    </row>
    <row r="248" spans="2:19">
      <c r="B248" s="68"/>
      <c r="C248" s="57"/>
      <c r="D248" s="259" t="str">
        <f t="shared" si="22"/>
        <v/>
      </c>
      <c r="E248" s="260" t="str">
        <f t="shared" si="23"/>
        <v/>
      </c>
      <c r="F248" s="271" t="str">
        <f>IF(G248="","",VLOOKUP(G248,プルダウン用リスト!$K$1:$M$16,2,FALSE))</f>
        <v/>
      </c>
      <c r="G248" s="70"/>
      <c r="H248" s="58"/>
      <c r="I248" s="70"/>
      <c r="J248" s="135"/>
      <c r="K248" s="136"/>
      <c r="L248" s="71"/>
      <c r="M248" s="72"/>
      <c r="N248" s="72"/>
      <c r="O248" s="264" t="str">
        <f t="shared" si="24"/>
        <v/>
      </c>
      <c r="P248" s="230">
        <f t="shared" si="25"/>
        <v>0</v>
      </c>
      <c r="Q248" s="231" t="str">
        <f t="shared" si="21"/>
        <v>×</v>
      </c>
      <c r="R248" s="231" t="str">
        <f t="shared" si="26"/>
        <v>×</v>
      </c>
      <c r="S248" s="232" t="str">
        <f t="shared" si="27"/>
        <v/>
      </c>
    </row>
    <row r="249" spans="2:19">
      <c r="B249" s="68"/>
      <c r="C249" s="57"/>
      <c r="D249" s="259" t="str">
        <f t="shared" si="22"/>
        <v/>
      </c>
      <c r="E249" s="260" t="str">
        <f t="shared" si="23"/>
        <v/>
      </c>
      <c r="F249" s="271" t="str">
        <f>IF(G249="","",VLOOKUP(G249,プルダウン用リスト!$K$1:$M$16,2,FALSE))</f>
        <v/>
      </c>
      <c r="G249" s="70"/>
      <c r="H249" s="70"/>
      <c r="I249" s="70"/>
      <c r="J249" s="135"/>
      <c r="K249" s="136"/>
      <c r="L249" s="71"/>
      <c r="M249" s="72"/>
      <c r="N249" s="72"/>
      <c r="O249" s="264" t="str">
        <f t="shared" si="24"/>
        <v/>
      </c>
      <c r="P249" s="230">
        <f t="shared" si="25"/>
        <v>0</v>
      </c>
      <c r="Q249" s="231" t="str">
        <f t="shared" si="21"/>
        <v>×</v>
      </c>
      <c r="R249" s="231" t="str">
        <f t="shared" si="26"/>
        <v>×</v>
      </c>
      <c r="S249" s="232" t="str">
        <f t="shared" si="27"/>
        <v/>
      </c>
    </row>
    <row r="250" spans="2:19">
      <c r="B250" s="68"/>
      <c r="C250" s="57"/>
      <c r="D250" s="259" t="str">
        <f t="shared" si="22"/>
        <v/>
      </c>
      <c r="E250" s="260" t="str">
        <f t="shared" si="23"/>
        <v/>
      </c>
      <c r="F250" s="271" t="str">
        <f>IF(G250="","",VLOOKUP(G250,プルダウン用リスト!$K$1:$M$16,2,FALSE))</f>
        <v/>
      </c>
      <c r="G250" s="70"/>
      <c r="H250" s="58"/>
      <c r="I250" s="70"/>
      <c r="J250" s="135"/>
      <c r="K250" s="136"/>
      <c r="L250" s="71"/>
      <c r="M250" s="72"/>
      <c r="N250" s="72"/>
      <c r="O250" s="264" t="str">
        <f t="shared" si="24"/>
        <v/>
      </c>
      <c r="P250" s="230">
        <f t="shared" si="25"/>
        <v>0</v>
      </c>
      <c r="Q250" s="231" t="str">
        <f t="shared" si="21"/>
        <v>×</v>
      </c>
      <c r="R250" s="231" t="str">
        <f t="shared" si="26"/>
        <v>×</v>
      </c>
      <c r="S250" s="232" t="str">
        <f t="shared" si="27"/>
        <v/>
      </c>
    </row>
    <row r="251" spans="2:19">
      <c r="B251" s="68"/>
      <c r="C251" s="57"/>
      <c r="D251" s="259" t="str">
        <f t="shared" si="22"/>
        <v/>
      </c>
      <c r="E251" s="260" t="str">
        <f t="shared" si="23"/>
        <v/>
      </c>
      <c r="F251" s="271" t="str">
        <f>IF(G251="","",VLOOKUP(G251,プルダウン用リスト!$K$1:$M$16,2,FALSE))</f>
        <v/>
      </c>
      <c r="G251" s="70"/>
      <c r="H251" s="58"/>
      <c r="I251" s="70"/>
      <c r="J251" s="135"/>
      <c r="K251" s="136"/>
      <c r="L251" s="71"/>
      <c r="M251" s="72"/>
      <c r="N251" s="72"/>
      <c r="O251" s="264" t="str">
        <f t="shared" si="24"/>
        <v/>
      </c>
      <c r="P251" s="230">
        <f t="shared" si="25"/>
        <v>0</v>
      </c>
      <c r="Q251" s="231" t="str">
        <f t="shared" si="21"/>
        <v>×</v>
      </c>
      <c r="R251" s="231" t="str">
        <f t="shared" si="26"/>
        <v>×</v>
      </c>
      <c r="S251" s="232" t="str">
        <f t="shared" si="27"/>
        <v/>
      </c>
    </row>
    <row r="252" spans="2:19">
      <c r="B252" s="68"/>
      <c r="C252" s="57"/>
      <c r="D252" s="259" t="str">
        <f t="shared" si="22"/>
        <v/>
      </c>
      <c r="E252" s="260" t="str">
        <f t="shared" si="23"/>
        <v/>
      </c>
      <c r="F252" s="271" t="str">
        <f>IF(G252="","",VLOOKUP(G252,プルダウン用リスト!$K$1:$M$16,2,FALSE))</f>
        <v/>
      </c>
      <c r="G252" s="70"/>
      <c r="H252" s="70"/>
      <c r="I252" s="70"/>
      <c r="J252" s="135"/>
      <c r="K252" s="136"/>
      <c r="L252" s="71"/>
      <c r="M252" s="72"/>
      <c r="N252" s="72"/>
      <c r="O252" s="264" t="str">
        <f t="shared" si="24"/>
        <v/>
      </c>
      <c r="P252" s="230">
        <f t="shared" si="25"/>
        <v>0</v>
      </c>
      <c r="Q252" s="231" t="str">
        <f t="shared" si="21"/>
        <v>×</v>
      </c>
      <c r="R252" s="231" t="str">
        <f t="shared" si="26"/>
        <v>×</v>
      </c>
      <c r="S252" s="232" t="str">
        <f t="shared" si="27"/>
        <v/>
      </c>
    </row>
    <row r="253" spans="2:19">
      <c r="B253" s="68"/>
      <c r="C253" s="57"/>
      <c r="D253" s="259" t="str">
        <f t="shared" si="22"/>
        <v/>
      </c>
      <c r="E253" s="260" t="str">
        <f t="shared" si="23"/>
        <v/>
      </c>
      <c r="F253" s="271" t="str">
        <f>IF(G253="","",VLOOKUP(G253,プルダウン用リスト!$K$1:$M$16,2,FALSE))</f>
        <v/>
      </c>
      <c r="G253" s="70"/>
      <c r="H253" s="58"/>
      <c r="I253" s="70"/>
      <c r="J253" s="135"/>
      <c r="K253" s="136"/>
      <c r="L253" s="71"/>
      <c r="M253" s="72"/>
      <c r="N253" s="72"/>
      <c r="O253" s="264" t="str">
        <f t="shared" si="24"/>
        <v/>
      </c>
      <c r="P253" s="230">
        <f t="shared" si="25"/>
        <v>0</v>
      </c>
      <c r="Q253" s="231" t="str">
        <f t="shared" si="21"/>
        <v>×</v>
      </c>
      <c r="R253" s="231" t="str">
        <f t="shared" si="26"/>
        <v>×</v>
      </c>
      <c r="S253" s="232" t="str">
        <f t="shared" si="27"/>
        <v/>
      </c>
    </row>
    <row r="254" spans="2:19">
      <c r="B254" s="68"/>
      <c r="C254" s="57"/>
      <c r="D254" s="259" t="str">
        <f t="shared" si="22"/>
        <v/>
      </c>
      <c r="E254" s="260" t="str">
        <f t="shared" si="23"/>
        <v/>
      </c>
      <c r="F254" s="271" t="str">
        <f>IF(G254="","",VLOOKUP(G254,プルダウン用リスト!$K$1:$M$16,2,FALSE))</f>
        <v/>
      </c>
      <c r="G254" s="70"/>
      <c r="H254" s="58"/>
      <c r="I254" s="70"/>
      <c r="J254" s="135"/>
      <c r="K254" s="136"/>
      <c r="L254" s="71"/>
      <c r="M254" s="72"/>
      <c r="N254" s="72"/>
      <c r="O254" s="264" t="str">
        <f t="shared" si="24"/>
        <v/>
      </c>
      <c r="P254" s="230">
        <f t="shared" si="25"/>
        <v>0</v>
      </c>
      <c r="Q254" s="231" t="str">
        <f t="shared" si="21"/>
        <v>×</v>
      </c>
      <c r="R254" s="231" t="str">
        <f t="shared" si="26"/>
        <v>×</v>
      </c>
      <c r="S254" s="232" t="str">
        <f t="shared" si="27"/>
        <v/>
      </c>
    </row>
    <row r="255" spans="2:19">
      <c r="B255" s="68"/>
      <c r="C255" s="57"/>
      <c r="D255" s="259" t="str">
        <f t="shared" si="22"/>
        <v/>
      </c>
      <c r="E255" s="260" t="str">
        <f t="shared" si="23"/>
        <v/>
      </c>
      <c r="F255" s="271" t="str">
        <f>IF(G255="","",VLOOKUP(G255,プルダウン用リスト!$K$1:$M$16,2,FALSE))</f>
        <v/>
      </c>
      <c r="G255" s="70"/>
      <c r="H255" s="70"/>
      <c r="I255" s="70"/>
      <c r="J255" s="135"/>
      <c r="K255" s="136"/>
      <c r="L255" s="71"/>
      <c r="M255" s="72"/>
      <c r="N255" s="72"/>
      <c r="O255" s="264" t="str">
        <f t="shared" si="24"/>
        <v/>
      </c>
      <c r="P255" s="230">
        <f t="shared" si="25"/>
        <v>0</v>
      </c>
      <c r="Q255" s="231" t="str">
        <f t="shared" si="21"/>
        <v>×</v>
      </c>
      <c r="R255" s="231" t="str">
        <f t="shared" si="26"/>
        <v>×</v>
      </c>
      <c r="S255" s="232" t="str">
        <f t="shared" si="27"/>
        <v/>
      </c>
    </row>
    <row r="256" spans="2:19">
      <c r="B256" s="68"/>
      <c r="C256" s="57"/>
      <c r="D256" s="259" t="str">
        <f t="shared" si="22"/>
        <v/>
      </c>
      <c r="E256" s="260" t="str">
        <f t="shared" si="23"/>
        <v/>
      </c>
      <c r="F256" s="271" t="str">
        <f>IF(G256="","",VLOOKUP(G256,プルダウン用リスト!$K$1:$M$16,2,FALSE))</f>
        <v/>
      </c>
      <c r="G256" s="70"/>
      <c r="H256" s="58"/>
      <c r="I256" s="70"/>
      <c r="J256" s="135"/>
      <c r="K256" s="136"/>
      <c r="L256" s="71"/>
      <c r="M256" s="72"/>
      <c r="N256" s="72"/>
      <c r="O256" s="264" t="str">
        <f t="shared" si="24"/>
        <v/>
      </c>
      <c r="P256" s="230">
        <f t="shared" si="25"/>
        <v>0</v>
      </c>
      <c r="Q256" s="231" t="str">
        <f t="shared" si="21"/>
        <v>×</v>
      </c>
      <c r="R256" s="231" t="str">
        <f t="shared" si="26"/>
        <v>×</v>
      </c>
      <c r="S256" s="232" t="str">
        <f t="shared" si="27"/>
        <v/>
      </c>
    </row>
    <row r="257" spans="2:19">
      <c r="B257" s="68"/>
      <c r="C257" s="57"/>
      <c r="D257" s="259" t="str">
        <f t="shared" si="22"/>
        <v/>
      </c>
      <c r="E257" s="260" t="str">
        <f t="shared" si="23"/>
        <v/>
      </c>
      <c r="F257" s="271" t="str">
        <f>IF(G257="","",VLOOKUP(G257,プルダウン用リスト!$K$1:$M$16,2,FALSE))</f>
        <v/>
      </c>
      <c r="G257" s="70"/>
      <c r="H257" s="58"/>
      <c r="I257" s="70"/>
      <c r="J257" s="135"/>
      <c r="K257" s="136"/>
      <c r="L257" s="71"/>
      <c r="M257" s="72"/>
      <c r="N257" s="72"/>
      <c r="O257" s="264" t="str">
        <f t="shared" si="24"/>
        <v/>
      </c>
      <c r="P257" s="230">
        <f t="shared" si="25"/>
        <v>0</v>
      </c>
      <c r="Q257" s="231" t="str">
        <f t="shared" si="21"/>
        <v>×</v>
      </c>
      <c r="R257" s="231" t="str">
        <f t="shared" si="26"/>
        <v>×</v>
      </c>
      <c r="S257" s="232" t="str">
        <f t="shared" si="27"/>
        <v/>
      </c>
    </row>
    <row r="258" spans="2:19">
      <c r="B258" s="68"/>
      <c r="C258" s="69"/>
      <c r="D258" s="259" t="str">
        <f t="shared" si="22"/>
        <v/>
      </c>
      <c r="E258" s="260" t="str">
        <f t="shared" si="23"/>
        <v/>
      </c>
      <c r="F258" s="271" t="str">
        <f>IF(G258="","",VLOOKUP(G258,プルダウン用リスト!$K$1:$M$16,2,FALSE))</f>
        <v/>
      </c>
      <c r="G258" s="70"/>
      <c r="H258" s="70"/>
      <c r="I258" s="70"/>
      <c r="J258" s="135"/>
      <c r="K258" s="136"/>
      <c r="L258" s="71"/>
      <c r="M258" s="72"/>
      <c r="N258" s="72"/>
      <c r="O258" s="264" t="str">
        <f t="shared" si="24"/>
        <v/>
      </c>
      <c r="P258" s="230">
        <f t="shared" si="25"/>
        <v>0</v>
      </c>
      <c r="Q258" s="231" t="str">
        <f t="shared" si="21"/>
        <v>×</v>
      </c>
      <c r="R258" s="231" t="str">
        <f t="shared" si="26"/>
        <v>×</v>
      </c>
      <c r="S258" s="232" t="str">
        <f t="shared" si="27"/>
        <v/>
      </c>
    </row>
    <row r="259" spans="2:19">
      <c r="B259" s="68"/>
      <c r="C259" s="57"/>
      <c r="D259" s="259" t="str">
        <f t="shared" si="22"/>
        <v/>
      </c>
      <c r="E259" s="260" t="str">
        <f t="shared" si="23"/>
        <v/>
      </c>
      <c r="F259" s="271" t="str">
        <f>IF(G259="","",VLOOKUP(G259,プルダウン用リスト!$K$1:$M$16,2,FALSE))</f>
        <v/>
      </c>
      <c r="G259" s="70"/>
      <c r="H259" s="58"/>
      <c r="I259" s="70"/>
      <c r="J259" s="135"/>
      <c r="K259" s="136"/>
      <c r="L259" s="71"/>
      <c r="M259" s="72"/>
      <c r="N259" s="72"/>
      <c r="O259" s="264" t="str">
        <f t="shared" si="24"/>
        <v/>
      </c>
      <c r="P259" s="230">
        <f t="shared" si="25"/>
        <v>0</v>
      </c>
      <c r="Q259" s="231" t="str">
        <f t="shared" si="21"/>
        <v>×</v>
      </c>
      <c r="R259" s="231" t="str">
        <f t="shared" si="26"/>
        <v>×</v>
      </c>
      <c r="S259" s="232" t="str">
        <f t="shared" si="27"/>
        <v/>
      </c>
    </row>
    <row r="260" spans="2:19">
      <c r="B260" s="68"/>
      <c r="C260" s="57"/>
      <c r="D260" s="259" t="str">
        <f t="shared" si="22"/>
        <v/>
      </c>
      <c r="E260" s="260" t="str">
        <f t="shared" si="23"/>
        <v/>
      </c>
      <c r="F260" s="271" t="str">
        <f>IF(G260="","",VLOOKUP(G260,プルダウン用リスト!$K$1:$M$16,2,FALSE))</f>
        <v/>
      </c>
      <c r="G260" s="70"/>
      <c r="H260" s="58"/>
      <c r="I260" s="70"/>
      <c r="J260" s="135"/>
      <c r="K260" s="136"/>
      <c r="L260" s="71"/>
      <c r="M260" s="72"/>
      <c r="N260" s="72"/>
      <c r="O260" s="264" t="str">
        <f t="shared" si="24"/>
        <v/>
      </c>
      <c r="P260" s="230">
        <f t="shared" si="25"/>
        <v>0</v>
      </c>
      <c r="Q260" s="231" t="str">
        <f t="shared" si="21"/>
        <v>×</v>
      </c>
      <c r="R260" s="231" t="str">
        <f t="shared" si="26"/>
        <v>×</v>
      </c>
      <c r="S260" s="232" t="str">
        <f t="shared" si="27"/>
        <v/>
      </c>
    </row>
    <row r="261" spans="2:19">
      <c r="B261" s="68"/>
      <c r="C261" s="57"/>
      <c r="D261" s="259" t="str">
        <f t="shared" si="22"/>
        <v/>
      </c>
      <c r="E261" s="260" t="str">
        <f t="shared" si="23"/>
        <v/>
      </c>
      <c r="F261" s="271" t="str">
        <f>IF(G261="","",VLOOKUP(G261,プルダウン用リスト!$K$1:$M$16,2,FALSE))</f>
        <v/>
      </c>
      <c r="G261" s="70"/>
      <c r="H261" s="70"/>
      <c r="I261" s="70"/>
      <c r="J261" s="135"/>
      <c r="K261" s="136"/>
      <c r="L261" s="71"/>
      <c r="M261" s="72"/>
      <c r="N261" s="72"/>
      <c r="O261" s="264" t="str">
        <f t="shared" si="24"/>
        <v/>
      </c>
      <c r="P261" s="230">
        <f t="shared" si="25"/>
        <v>0</v>
      </c>
      <c r="Q261" s="231" t="str">
        <f t="shared" si="21"/>
        <v>×</v>
      </c>
      <c r="R261" s="231" t="str">
        <f t="shared" si="26"/>
        <v>×</v>
      </c>
      <c r="S261" s="232" t="str">
        <f t="shared" si="27"/>
        <v/>
      </c>
    </row>
    <row r="262" spans="2:19">
      <c r="B262" s="68"/>
      <c r="C262" s="57"/>
      <c r="D262" s="259" t="str">
        <f t="shared" si="22"/>
        <v/>
      </c>
      <c r="E262" s="260" t="str">
        <f t="shared" si="23"/>
        <v/>
      </c>
      <c r="F262" s="271" t="str">
        <f>IF(G262="","",VLOOKUP(G262,プルダウン用リスト!$K$1:$M$16,2,FALSE))</f>
        <v/>
      </c>
      <c r="G262" s="70"/>
      <c r="H262" s="58"/>
      <c r="I262" s="70"/>
      <c r="J262" s="135"/>
      <c r="K262" s="136"/>
      <c r="L262" s="71"/>
      <c r="M262" s="72"/>
      <c r="N262" s="72"/>
      <c r="O262" s="264" t="str">
        <f t="shared" si="24"/>
        <v/>
      </c>
      <c r="P262" s="230">
        <f t="shared" si="25"/>
        <v>0</v>
      </c>
      <c r="Q262" s="231" t="str">
        <f t="shared" ref="Q262:Q325" si="28">IF(G262="旅費","〇","×")</f>
        <v>×</v>
      </c>
      <c r="R262" s="231" t="str">
        <f t="shared" si="26"/>
        <v>×</v>
      </c>
      <c r="S262" s="232" t="str">
        <f t="shared" si="27"/>
        <v/>
      </c>
    </row>
    <row r="263" spans="2:19">
      <c r="B263" s="68"/>
      <c r="C263" s="57"/>
      <c r="D263" s="259" t="str">
        <f t="shared" ref="D263:D326" si="29">IF(E263="","",IF(E263="謝金","01.",IF(E263="旅費","02.",IF(E263="その他","04.","03."))))</f>
        <v/>
      </c>
      <c r="E263" s="260" t="str">
        <f t="shared" ref="E263:E326" si="30">IF(G263="","",IF(OR(G263="謝金（内部）",G263="謝金（外部）"),"謝金",IF(G263="旅費","旅費",IF(G263="対象外経費","その他","所費"))))</f>
        <v/>
      </c>
      <c r="F263" s="271" t="str">
        <f>IF(G263="","",VLOOKUP(G263,プルダウン用リスト!$K$1:$M$16,2,FALSE))</f>
        <v/>
      </c>
      <c r="G263" s="70"/>
      <c r="H263" s="58"/>
      <c r="I263" s="70"/>
      <c r="J263" s="135"/>
      <c r="K263" s="136"/>
      <c r="L263" s="71"/>
      <c r="M263" s="72"/>
      <c r="N263" s="72"/>
      <c r="O263" s="264" t="str">
        <f t="shared" ref="O263:O326" si="31">IF(G263="対象外経費",M263,IF(N263="","",M263-N263))</f>
        <v/>
      </c>
      <c r="P263" s="230">
        <f t="shared" si="25"/>
        <v>0</v>
      </c>
      <c r="Q263" s="231" t="str">
        <f t="shared" si="28"/>
        <v>×</v>
      </c>
      <c r="R263" s="231" t="str">
        <f t="shared" si="26"/>
        <v>×</v>
      </c>
      <c r="S263" s="232" t="str">
        <f t="shared" si="27"/>
        <v/>
      </c>
    </row>
    <row r="264" spans="2:19">
      <c r="B264" s="68"/>
      <c r="C264" s="57"/>
      <c r="D264" s="259" t="str">
        <f t="shared" si="29"/>
        <v/>
      </c>
      <c r="E264" s="260" t="str">
        <f t="shared" si="30"/>
        <v/>
      </c>
      <c r="F264" s="271" t="str">
        <f>IF(G264="","",VLOOKUP(G264,プルダウン用リスト!$K$1:$M$16,2,FALSE))</f>
        <v/>
      </c>
      <c r="G264" s="70"/>
      <c r="H264" s="70"/>
      <c r="I264" s="70"/>
      <c r="J264" s="135"/>
      <c r="K264" s="136"/>
      <c r="L264" s="71"/>
      <c r="M264" s="72"/>
      <c r="N264" s="72"/>
      <c r="O264" s="264" t="str">
        <f t="shared" si="31"/>
        <v/>
      </c>
      <c r="P264" s="230">
        <f t="shared" ref="P264:P327" si="32">COUNTA(B264,C264,G264,H264,I264,L264,M264,J264,K264,N264)</f>
        <v>0</v>
      </c>
      <c r="Q264" s="231" t="str">
        <f t="shared" si="28"/>
        <v>×</v>
      </c>
      <c r="R264" s="231" t="str">
        <f t="shared" si="26"/>
        <v>×</v>
      </c>
      <c r="S264" s="232" t="str">
        <f t="shared" si="27"/>
        <v/>
      </c>
    </row>
    <row r="265" spans="2:19">
      <c r="B265" s="68"/>
      <c r="C265" s="57"/>
      <c r="D265" s="259" t="str">
        <f t="shared" si="29"/>
        <v/>
      </c>
      <c r="E265" s="260" t="str">
        <f t="shared" si="30"/>
        <v/>
      </c>
      <c r="F265" s="271" t="str">
        <f>IF(G265="","",VLOOKUP(G265,プルダウン用リスト!$K$1:$M$16,2,FALSE))</f>
        <v/>
      </c>
      <c r="G265" s="70"/>
      <c r="H265" s="58"/>
      <c r="I265" s="70"/>
      <c r="J265" s="135"/>
      <c r="K265" s="136"/>
      <c r="L265" s="71"/>
      <c r="M265" s="72"/>
      <c r="N265" s="72"/>
      <c r="O265" s="264" t="str">
        <f t="shared" si="31"/>
        <v/>
      </c>
      <c r="P265" s="230">
        <f t="shared" si="32"/>
        <v>0</v>
      </c>
      <c r="Q265" s="231" t="str">
        <f t="shared" si="28"/>
        <v>×</v>
      </c>
      <c r="R265" s="231" t="str">
        <f t="shared" ref="R265:R328" si="33">IF(E265="謝金","〇","×")</f>
        <v>×</v>
      </c>
      <c r="S265" s="232" t="str">
        <f t="shared" ref="S265:S328" si="34">_xlfn.IFS(P265=0,"",AND(G265="対象外経費",P265=7),"OK",P265&lt;=7,"ピンク色のセルを全て入力してください",P265=9,"OK",Q265="〇","ピンク色のセルを全て入力してください",R265="〇","ピンク色のセルを全て入力してください",P265=8,"OK")</f>
        <v/>
      </c>
    </row>
    <row r="266" spans="2:19">
      <c r="B266" s="68"/>
      <c r="C266" s="57"/>
      <c r="D266" s="259" t="str">
        <f t="shared" si="29"/>
        <v/>
      </c>
      <c r="E266" s="260" t="str">
        <f t="shared" si="30"/>
        <v/>
      </c>
      <c r="F266" s="271" t="str">
        <f>IF(G266="","",VLOOKUP(G266,プルダウン用リスト!$K$1:$M$16,2,FALSE))</f>
        <v/>
      </c>
      <c r="G266" s="70"/>
      <c r="H266" s="58"/>
      <c r="I266" s="70"/>
      <c r="J266" s="135"/>
      <c r="K266" s="136"/>
      <c r="L266" s="71"/>
      <c r="M266" s="72"/>
      <c r="N266" s="72"/>
      <c r="O266" s="264" t="str">
        <f t="shared" si="31"/>
        <v/>
      </c>
      <c r="P266" s="230">
        <f t="shared" si="32"/>
        <v>0</v>
      </c>
      <c r="Q266" s="231" t="str">
        <f t="shared" si="28"/>
        <v>×</v>
      </c>
      <c r="R266" s="231" t="str">
        <f t="shared" si="33"/>
        <v>×</v>
      </c>
      <c r="S266" s="232" t="str">
        <f t="shared" si="34"/>
        <v/>
      </c>
    </row>
    <row r="267" spans="2:19">
      <c r="B267" s="68"/>
      <c r="C267" s="57"/>
      <c r="D267" s="259" t="str">
        <f t="shared" si="29"/>
        <v/>
      </c>
      <c r="E267" s="260" t="str">
        <f t="shared" si="30"/>
        <v/>
      </c>
      <c r="F267" s="271" t="str">
        <f>IF(G267="","",VLOOKUP(G267,プルダウン用リスト!$K$1:$M$16,2,FALSE))</f>
        <v/>
      </c>
      <c r="G267" s="70"/>
      <c r="H267" s="70"/>
      <c r="I267" s="70"/>
      <c r="J267" s="135"/>
      <c r="K267" s="136"/>
      <c r="L267" s="71"/>
      <c r="M267" s="72"/>
      <c r="N267" s="72"/>
      <c r="O267" s="264" t="str">
        <f t="shared" si="31"/>
        <v/>
      </c>
      <c r="P267" s="230">
        <f t="shared" si="32"/>
        <v>0</v>
      </c>
      <c r="Q267" s="231" t="str">
        <f t="shared" si="28"/>
        <v>×</v>
      </c>
      <c r="R267" s="231" t="str">
        <f t="shared" si="33"/>
        <v>×</v>
      </c>
      <c r="S267" s="232" t="str">
        <f t="shared" si="34"/>
        <v/>
      </c>
    </row>
    <row r="268" spans="2:19">
      <c r="B268" s="68"/>
      <c r="C268" s="57"/>
      <c r="D268" s="259" t="str">
        <f t="shared" si="29"/>
        <v/>
      </c>
      <c r="E268" s="260" t="str">
        <f t="shared" si="30"/>
        <v/>
      </c>
      <c r="F268" s="271" t="str">
        <f>IF(G268="","",VLOOKUP(G268,プルダウン用リスト!$K$1:$M$16,2,FALSE))</f>
        <v/>
      </c>
      <c r="G268" s="70"/>
      <c r="H268" s="58"/>
      <c r="I268" s="70"/>
      <c r="J268" s="135"/>
      <c r="K268" s="136"/>
      <c r="L268" s="71"/>
      <c r="M268" s="72"/>
      <c r="N268" s="72"/>
      <c r="O268" s="264" t="str">
        <f t="shared" si="31"/>
        <v/>
      </c>
      <c r="P268" s="230">
        <f t="shared" si="32"/>
        <v>0</v>
      </c>
      <c r="Q268" s="231" t="str">
        <f t="shared" si="28"/>
        <v>×</v>
      </c>
      <c r="R268" s="231" t="str">
        <f t="shared" si="33"/>
        <v>×</v>
      </c>
      <c r="S268" s="232" t="str">
        <f t="shared" si="34"/>
        <v/>
      </c>
    </row>
    <row r="269" spans="2:19">
      <c r="B269" s="68"/>
      <c r="C269" s="57"/>
      <c r="D269" s="259" t="str">
        <f t="shared" si="29"/>
        <v/>
      </c>
      <c r="E269" s="260" t="str">
        <f t="shared" si="30"/>
        <v/>
      </c>
      <c r="F269" s="271" t="str">
        <f>IF(G269="","",VLOOKUP(G269,プルダウン用リスト!$K$1:$M$16,2,FALSE))</f>
        <v/>
      </c>
      <c r="G269" s="70"/>
      <c r="H269" s="58"/>
      <c r="I269" s="70"/>
      <c r="J269" s="135"/>
      <c r="K269" s="136"/>
      <c r="L269" s="71"/>
      <c r="M269" s="72"/>
      <c r="N269" s="72"/>
      <c r="O269" s="264" t="str">
        <f t="shared" si="31"/>
        <v/>
      </c>
      <c r="P269" s="230">
        <f t="shared" si="32"/>
        <v>0</v>
      </c>
      <c r="Q269" s="231" t="str">
        <f t="shared" si="28"/>
        <v>×</v>
      </c>
      <c r="R269" s="231" t="str">
        <f t="shared" si="33"/>
        <v>×</v>
      </c>
      <c r="S269" s="232" t="str">
        <f t="shared" si="34"/>
        <v/>
      </c>
    </row>
    <row r="270" spans="2:19">
      <c r="B270" s="68"/>
      <c r="C270" s="69"/>
      <c r="D270" s="259" t="str">
        <f t="shared" si="29"/>
        <v/>
      </c>
      <c r="E270" s="260" t="str">
        <f t="shared" si="30"/>
        <v/>
      </c>
      <c r="F270" s="271" t="str">
        <f>IF(G270="","",VLOOKUP(G270,プルダウン用リスト!$K$1:$M$16,2,FALSE))</f>
        <v/>
      </c>
      <c r="G270" s="70"/>
      <c r="H270" s="70"/>
      <c r="I270" s="70"/>
      <c r="J270" s="135"/>
      <c r="K270" s="136"/>
      <c r="L270" s="71"/>
      <c r="M270" s="72"/>
      <c r="N270" s="72"/>
      <c r="O270" s="264" t="str">
        <f t="shared" si="31"/>
        <v/>
      </c>
      <c r="P270" s="230">
        <f t="shared" si="32"/>
        <v>0</v>
      </c>
      <c r="Q270" s="231" t="str">
        <f t="shared" si="28"/>
        <v>×</v>
      </c>
      <c r="R270" s="231" t="str">
        <f t="shared" si="33"/>
        <v>×</v>
      </c>
      <c r="S270" s="232" t="str">
        <f t="shared" si="34"/>
        <v/>
      </c>
    </row>
    <row r="271" spans="2:19">
      <c r="B271" s="68"/>
      <c r="C271" s="57"/>
      <c r="D271" s="259" t="str">
        <f t="shared" si="29"/>
        <v/>
      </c>
      <c r="E271" s="260" t="str">
        <f t="shared" si="30"/>
        <v/>
      </c>
      <c r="F271" s="271" t="str">
        <f>IF(G271="","",VLOOKUP(G271,プルダウン用リスト!$K$1:$M$16,2,FALSE))</f>
        <v/>
      </c>
      <c r="G271" s="70"/>
      <c r="H271" s="58"/>
      <c r="I271" s="70"/>
      <c r="J271" s="135"/>
      <c r="K271" s="136"/>
      <c r="L271" s="71"/>
      <c r="M271" s="72"/>
      <c r="N271" s="72"/>
      <c r="O271" s="264" t="str">
        <f t="shared" si="31"/>
        <v/>
      </c>
      <c r="P271" s="230">
        <f t="shared" si="32"/>
        <v>0</v>
      </c>
      <c r="Q271" s="231" t="str">
        <f t="shared" si="28"/>
        <v>×</v>
      </c>
      <c r="R271" s="231" t="str">
        <f t="shared" si="33"/>
        <v>×</v>
      </c>
      <c r="S271" s="232" t="str">
        <f t="shared" si="34"/>
        <v/>
      </c>
    </row>
    <row r="272" spans="2:19">
      <c r="B272" s="68"/>
      <c r="C272" s="57"/>
      <c r="D272" s="259" t="str">
        <f t="shared" si="29"/>
        <v/>
      </c>
      <c r="E272" s="260" t="str">
        <f t="shared" si="30"/>
        <v/>
      </c>
      <c r="F272" s="271" t="str">
        <f>IF(G272="","",VLOOKUP(G272,プルダウン用リスト!$K$1:$M$16,2,FALSE))</f>
        <v/>
      </c>
      <c r="G272" s="70"/>
      <c r="H272" s="58"/>
      <c r="I272" s="70"/>
      <c r="J272" s="135"/>
      <c r="K272" s="136"/>
      <c r="L272" s="71"/>
      <c r="M272" s="72"/>
      <c r="N272" s="72"/>
      <c r="O272" s="264" t="str">
        <f t="shared" si="31"/>
        <v/>
      </c>
      <c r="P272" s="230">
        <f t="shared" si="32"/>
        <v>0</v>
      </c>
      <c r="Q272" s="231" t="str">
        <f t="shared" si="28"/>
        <v>×</v>
      </c>
      <c r="R272" s="231" t="str">
        <f t="shared" si="33"/>
        <v>×</v>
      </c>
      <c r="S272" s="232" t="str">
        <f t="shared" si="34"/>
        <v/>
      </c>
    </row>
    <row r="273" spans="2:19">
      <c r="B273" s="68"/>
      <c r="C273" s="57"/>
      <c r="D273" s="259" t="str">
        <f t="shared" si="29"/>
        <v/>
      </c>
      <c r="E273" s="260" t="str">
        <f t="shared" si="30"/>
        <v/>
      </c>
      <c r="F273" s="271" t="str">
        <f>IF(G273="","",VLOOKUP(G273,プルダウン用リスト!$K$1:$M$16,2,FALSE))</f>
        <v/>
      </c>
      <c r="G273" s="70"/>
      <c r="H273" s="70"/>
      <c r="I273" s="70"/>
      <c r="J273" s="135"/>
      <c r="K273" s="136"/>
      <c r="L273" s="71"/>
      <c r="M273" s="72"/>
      <c r="N273" s="72"/>
      <c r="O273" s="264" t="str">
        <f t="shared" si="31"/>
        <v/>
      </c>
      <c r="P273" s="230">
        <f t="shared" si="32"/>
        <v>0</v>
      </c>
      <c r="Q273" s="231" t="str">
        <f t="shared" si="28"/>
        <v>×</v>
      </c>
      <c r="R273" s="231" t="str">
        <f t="shared" si="33"/>
        <v>×</v>
      </c>
      <c r="S273" s="232" t="str">
        <f t="shared" si="34"/>
        <v/>
      </c>
    </row>
    <row r="274" spans="2:19">
      <c r="B274" s="68"/>
      <c r="C274" s="57"/>
      <c r="D274" s="259" t="str">
        <f t="shared" si="29"/>
        <v/>
      </c>
      <c r="E274" s="260" t="str">
        <f t="shared" si="30"/>
        <v/>
      </c>
      <c r="F274" s="271" t="str">
        <f>IF(G274="","",VLOOKUP(G274,プルダウン用リスト!$K$1:$M$16,2,FALSE))</f>
        <v/>
      </c>
      <c r="G274" s="70"/>
      <c r="H274" s="58"/>
      <c r="I274" s="70"/>
      <c r="J274" s="135"/>
      <c r="K274" s="136"/>
      <c r="L274" s="71"/>
      <c r="M274" s="72"/>
      <c r="N274" s="72"/>
      <c r="O274" s="264" t="str">
        <f t="shared" si="31"/>
        <v/>
      </c>
      <c r="P274" s="230">
        <f t="shared" si="32"/>
        <v>0</v>
      </c>
      <c r="Q274" s="231" t="str">
        <f t="shared" si="28"/>
        <v>×</v>
      </c>
      <c r="R274" s="231" t="str">
        <f t="shared" si="33"/>
        <v>×</v>
      </c>
      <c r="S274" s="232" t="str">
        <f t="shared" si="34"/>
        <v/>
      </c>
    </row>
    <row r="275" spans="2:19">
      <c r="B275" s="68"/>
      <c r="C275" s="57"/>
      <c r="D275" s="259" t="str">
        <f t="shared" si="29"/>
        <v/>
      </c>
      <c r="E275" s="260" t="str">
        <f t="shared" si="30"/>
        <v/>
      </c>
      <c r="F275" s="271" t="str">
        <f>IF(G275="","",VLOOKUP(G275,プルダウン用リスト!$K$1:$M$16,2,FALSE))</f>
        <v/>
      </c>
      <c r="G275" s="70"/>
      <c r="H275" s="58"/>
      <c r="I275" s="70"/>
      <c r="J275" s="135"/>
      <c r="K275" s="136"/>
      <c r="L275" s="71"/>
      <c r="M275" s="72"/>
      <c r="N275" s="72"/>
      <c r="O275" s="264" t="str">
        <f t="shared" si="31"/>
        <v/>
      </c>
      <c r="P275" s="230">
        <f t="shared" si="32"/>
        <v>0</v>
      </c>
      <c r="Q275" s="231" t="str">
        <f t="shared" si="28"/>
        <v>×</v>
      </c>
      <c r="R275" s="231" t="str">
        <f t="shared" si="33"/>
        <v>×</v>
      </c>
      <c r="S275" s="232" t="str">
        <f t="shared" si="34"/>
        <v/>
      </c>
    </row>
    <row r="276" spans="2:19">
      <c r="B276" s="68"/>
      <c r="C276" s="57"/>
      <c r="D276" s="259" t="str">
        <f t="shared" si="29"/>
        <v/>
      </c>
      <c r="E276" s="260" t="str">
        <f t="shared" si="30"/>
        <v/>
      </c>
      <c r="F276" s="271" t="str">
        <f>IF(G276="","",VLOOKUP(G276,プルダウン用リスト!$K$1:$M$16,2,FALSE))</f>
        <v/>
      </c>
      <c r="G276" s="70"/>
      <c r="H276" s="70"/>
      <c r="I276" s="70"/>
      <c r="J276" s="135"/>
      <c r="K276" s="136"/>
      <c r="L276" s="71"/>
      <c r="M276" s="72"/>
      <c r="N276" s="72"/>
      <c r="O276" s="264" t="str">
        <f t="shared" si="31"/>
        <v/>
      </c>
      <c r="P276" s="230">
        <f t="shared" si="32"/>
        <v>0</v>
      </c>
      <c r="Q276" s="231" t="str">
        <f t="shared" si="28"/>
        <v>×</v>
      </c>
      <c r="R276" s="231" t="str">
        <f t="shared" si="33"/>
        <v>×</v>
      </c>
      <c r="S276" s="232" t="str">
        <f t="shared" si="34"/>
        <v/>
      </c>
    </row>
    <row r="277" spans="2:19">
      <c r="B277" s="68"/>
      <c r="C277" s="57"/>
      <c r="D277" s="259" t="str">
        <f t="shared" si="29"/>
        <v/>
      </c>
      <c r="E277" s="260" t="str">
        <f t="shared" si="30"/>
        <v/>
      </c>
      <c r="F277" s="271" t="str">
        <f>IF(G277="","",VLOOKUP(G277,プルダウン用リスト!$K$1:$M$16,2,FALSE))</f>
        <v/>
      </c>
      <c r="G277" s="70"/>
      <c r="H277" s="58"/>
      <c r="I277" s="70"/>
      <c r="J277" s="135"/>
      <c r="K277" s="136"/>
      <c r="L277" s="71"/>
      <c r="M277" s="72"/>
      <c r="N277" s="72"/>
      <c r="O277" s="264" t="str">
        <f t="shared" si="31"/>
        <v/>
      </c>
      <c r="P277" s="230">
        <f t="shared" si="32"/>
        <v>0</v>
      </c>
      <c r="Q277" s="231" t="str">
        <f t="shared" si="28"/>
        <v>×</v>
      </c>
      <c r="R277" s="231" t="str">
        <f t="shared" si="33"/>
        <v>×</v>
      </c>
      <c r="S277" s="232" t="str">
        <f t="shared" si="34"/>
        <v/>
      </c>
    </row>
    <row r="278" spans="2:19">
      <c r="B278" s="68"/>
      <c r="C278" s="57"/>
      <c r="D278" s="259" t="str">
        <f t="shared" si="29"/>
        <v/>
      </c>
      <c r="E278" s="260" t="str">
        <f t="shared" si="30"/>
        <v/>
      </c>
      <c r="F278" s="271" t="str">
        <f>IF(G278="","",VLOOKUP(G278,プルダウン用リスト!$K$1:$M$16,2,FALSE))</f>
        <v/>
      </c>
      <c r="G278" s="70"/>
      <c r="H278" s="58"/>
      <c r="I278" s="70"/>
      <c r="J278" s="135"/>
      <c r="K278" s="136"/>
      <c r="L278" s="71"/>
      <c r="M278" s="72"/>
      <c r="N278" s="72"/>
      <c r="O278" s="264" t="str">
        <f t="shared" si="31"/>
        <v/>
      </c>
      <c r="P278" s="230">
        <f t="shared" si="32"/>
        <v>0</v>
      </c>
      <c r="Q278" s="231" t="str">
        <f t="shared" si="28"/>
        <v>×</v>
      </c>
      <c r="R278" s="231" t="str">
        <f t="shared" si="33"/>
        <v>×</v>
      </c>
      <c r="S278" s="232" t="str">
        <f t="shared" si="34"/>
        <v/>
      </c>
    </row>
    <row r="279" spans="2:19">
      <c r="B279" s="68"/>
      <c r="C279" s="57"/>
      <c r="D279" s="259" t="str">
        <f t="shared" si="29"/>
        <v/>
      </c>
      <c r="E279" s="260" t="str">
        <f t="shared" si="30"/>
        <v/>
      </c>
      <c r="F279" s="271" t="str">
        <f>IF(G279="","",VLOOKUP(G279,プルダウン用リスト!$K$1:$M$16,2,FALSE))</f>
        <v/>
      </c>
      <c r="G279" s="70"/>
      <c r="H279" s="70"/>
      <c r="I279" s="70"/>
      <c r="J279" s="135"/>
      <c r="K279" s="136"/>
      <c r="L279" s="71"/>
      <c r="M279" s="72"/>
      <c r="N279" s="72"/>
      <c r="O279" s="264" t="str">
        <f t="shared" si="31"/>
        <v/>
      </c>
      <c r="P279" s="230">
        <f t="shared" si="32"/>
        <v>0</v>
      </c>
      <c r="Q279" s="231" t="str">
        <f t="shared" si="28"/>
        <v>×</v>
      </c>
      <c r="R279" s="231" t="str">
        <f t="shared" si="33"/>
        <v>×</v>
      </c>
      <c r="S279" s="232" t="str">
        <f t="shared" si="34"/>
        <v/>
      </c>
    </row>
    <row r="280" spans="2:19">
      <c r="B280" s="68"/>
      <c r="C280" s="57"/>
      <c r="D280" s="259" t="str">
        <f t="shared" si="29"/>
        <v/>
      </c>
      <c r="E280" s="260" t="str">
        <f t="shared" si="30"/>
        <v/>
      </c>
      <c r="F280" s="271" t="str">
        <f>IF(G280="","",VLOOKUP(G280,プルダウン用リスト!$K$1:$M$16,2,FALSE))</f>
        <v/>
      </c>
      <c r="G280" s="70"/>
      <c r="H280" s="58"/>
      <c r="I280" s="70"/>
      <c r="J280" s="135"/>
      <c r="K280" s="136"/>
      <c r="L280" s="71"/>
      <c r="M280" s="72"/>
      <c r="N280" s="72"/>
      <c r="O280" s="264" t="str">
        <f t="shared" si="31"/>
        <v/>
      </c>
      <c r="P280" s="230">
        <f t="shared" si="32"/>
        <v>0</v>
      </c>
      <c r="Q280" s="231" t="str">
        <f t="shared" si="28"/>
        <v>×</v>
      </c>
      <c r="R280" s="231" t="str">
        <f t="shared" si="33"/>
        <v>×</v>
      </c>
      <c r="S280" s="232" t="str">
        <f t="shared" si="34"/>
        <v/>
      </c>
    </row>
    <row r="281" spans="2:19">
      <c r="B281" s="68"/>
      <c r="C281" s="57"/>
      <c r="D281" s="259" t="str">
        <f t="shared" si="29"/>
        <v/>
      </c>
      <c r="E281" s="260" t="str">
        <f t="shared" si="30"/>
        <v/>
      </c>
      <c r="F281" s="271" t="str">
        <f>IF(G281="","",VLOOKUP(G281,プルダウン用リスト!$K$1:$M$16,2,FALSE))</f>
        <v/>
      </c>
      <c r="G281" s="70"/>
      <c r="H281" s="58"/>
      <c r="I281" s="70"/>
      <c r="J281" s="135"/>
      <c r="K281" s="136"/>
      <c r="L281" s="71"/>
      <c r="M281" s="72"/>
      <c r="N281" s="72"/>
      <c r="O281" s="264" t="str">
        <f t="shared" si="31"/>
        <v/>
      </c>
      <c r="P281" s="230">
        <f t="shared" si="32"/>
        <v>0</v>
      </c>
      <c r="Q281" s="231" t="str">
        <f t="shared" si="28"/>
        <v>×</v>
      </c>
      <c r="R281" s="231" t="str">
        <f t="shared" si="33"/>
        <v>×</v>
      </c>
      <c r="S281" s="232" t="str">
        <f t="shared" si="34"/>
        <v/>
      </c>
    </row>
    <row r="282" spans="2:19">
      <c r="B282" s="68"/>
      <c r="C282" s="69"/>
      <c r="D282" s="259" t="str">
        <f t="shared" si="29"/>
        <v/>
      </c>
      <c r="E282" s="260" t="str">
        <f t="shared" si="30"/>
        <v/>
      </c>
      <c r="F282" s="271" t="str">
        <f>IF(G282="","",VLOOKUP(G282,プルダウン用リスト!$K$1:$M$16,2,FALSE))</f>
        <v/>
      </c>
      <c r="G282" s="70"/>
      <c r="H282" s="70"/>
      <c r="I282" s="70"/>
      <c r="J282" s="135"/>
      <c r="K282" s="136"/>
      <c r="L282" s="71"/>
      <c r="M282" s="72"/>
      <c r="N282" s="72"/>
      <c r="O282" s="264" t="str">
        <f t="shared" si="31"/>
        <v/>
      </c>
      <c r="P282" s="230">
        <f t="shared" si="32"/>
        <v>0</v>
      </c>
      <c r="Q282" s="231" t="str">
        <f t="shared" si="28"/>
        <v>×</v>
      </c>
      <c r="R282" s="231" t="str">
        <f t="shared" si="33"/>
        <v>×</v>
      </c>
      <c r="S282" s="232" t="str">
        <f t="shared" si="34"/>
        <v/>
      </c>
    </row>
    <row r="283" spans="2:19">
      <c r="B283" s="68"/>
      <c r="C283" s="57"/>
      <c r="D283" s="259" t="str">
        <f t="shared" si="29"/>
        <v/>
      </c>
      <c r="E283" s="260" t="str">
        <f t="shared" si="30"/>
        <v/>
      </c>
      <c r="F283" s="271" t="str">
        <f>IF(G283="","",VLOOKUP(G283,プルダウン用リスト!$K$1:$M$16,2,FALSE))</f>
        <v/>
      </c>
      <c r="G283" s="70"/>
      <c r="H283" s="58"/>
      <c r="I283" s="70"/>
      <c r="J283" s="135"/>
      <c r="K283" s="136"/>
      <c r="L283" s="71"/>
      <c r="M283" s="72"/>
      <c r="N283" s="72"/>
      <c r="O283" s="264" t="str">
        <f t="shared" si="31"/>
        <v/>
      </c>
      <c r="P283" s="230">
        <f t="shared" si="32"/>
        <v>0</v>
      </c>
      <c r="Q283" s="231" t="str">
        <f t="shared" si="28"/>
        <v>×</v>
      </c>
      <c r="R283" s="231" t="str">
        <f t="shared" si="33"/>
        <v>×</v>
      </c>
      <c r="S283" s="232" t="str">
        <f t="shared" si="34"/>
        <v/>
      </c>
    </row>
    <row r="284" spans="2:19">
      <c r="B284" s="68"/>
      <c r="C284" s="57"/>
      <c r="D284" s="259" t="str">
        <f t="shared" si="29"/>
        <v/>
      </c>
      <c r="E284" s="260" t="str">
        <f t="shared" si="30"/>
        <v/>
      </c>
      <c r="F284" s="271" t="str">
        <f>IF(G284="","",VLOOKUP(G284,プルダウン用リスト!$K$1:$M$16,2,FALSE))</f>
        <v/>
      </c>
      <c r="G284" s="70"/>
      <c r="H284" s="58"/>
      <c r="I284" s="70"/>
      <c r="J284" s="135"/>
      <c r="K284" s="136"/>
      <c r="L284" s="71"/>
      <c r="M284" s="72"/>
      <c r="N284" s="72"/>
      <c r="O284" s="264" t="str">
        <f t="shared" si="31"/>
        <v/>
      </c>
      <c r="P284" s="230">
        <f t="shared" si="32"/>
        <v>0</v>
      </c>
      <c r="Q284" s="231" t="str">
        <f t="shared" si="28"/>
        <v>×</v>
      </c>
      <c r="R284" s="231" t="str">
        <f t="shared" si="33"/>
        <v>×</v>
      </c>
      <c r="S284" s="232" t="str">
        <f t="shared" si="34"/>
        <v/>
      </c>
    </row>
    <row r="285" spans="2:19">
      <c r="B285" s="68"/>
      <c r="C285" s="57"/>
      <c r="D285" s="259" t="str">
        <f t="shared" si="29"/>
        <v/>
      </c>
      <c r="E285" s="260" t="str">
        <f t="shared" si="30"/>
        <v/>
      </c>
      <c r="F285" s="271" t="str">
        <f>IF(G285="","",VLOOKUP(G285,プルダウン用リスト!$K$1:$M$16,2,FALSE))</f>
        <v/>
      </c>
      <c r="G285" s="70"/>
      <c r="H285" s="70"/>
      <c r="I285" s="70"/>
      <c r="J285" s="135"/>
      <c r="K285" s="136"/>
      <c r="L285" s="71"/>
      <c r="M285" s="72"/>
      <c r="N285" s="72"/>
      <c r="O285" s="264" t="str">
        <f t="shared" si="31"/>
        <v/>
      </c>
      <c r="P285" s="230">
        <f t="shared" si="32"/>
        <v>0</v>
      </c>
      <c r="Q285" s="231" t="str">
        <f t="shared" si="28"/>
        <v>×</v>
      </c>
      <c r="R285" s="231" t="str">
        <f t="shared" si="33"/>
        <v>×</v>
      </c>
      <c r="S285" s="232" t="str">
        <f t="shared" si="34"/>
        <v/>
      </c>
    </row>
    <row r="286" spans="2:19">
      <c r="B286" s="68"/>
      <c r="C286" s="57"/>
      <c r="D286" s="259" t="str">
        <f t="shared" si="29"/>
        <v/>
      </c>
      <c r="E286" s="260" t="str">
        <f t="shared" si="30"/>
        <v/>
      </c>
      <c r="F286" s="271" t="str">
        <f>IF(G286="","",VLOOKUP(G286,プルダウン用リスト!$K$1:$M$16,2,FALSE))</f>
        <v/>
      </c>
      <c r="G286" s="70"/>
      <c r="H286" s="58"/>
      <c r="I286" s="70"/>
      <c r="J286" s="135"/>
      <c r="K286" s="136"/>
      <c r="L286" s="71"/>
      <c r="M286" s="72"/>
      <c r="N286" s="72"/>
      <c r="O286" s="264" t="str">
        <f t="shared" si="31"/>
        <v/>
      </c>
      <c r="P286" s="230">
        <f t="shared" si="32"/>
        <v>0</v>
      </c>
      <c r="Q286" s="231" t="str">
        <f t="shared" si="28"/>
        <v>×</v>
      </c>
      <c r="R286" s="231" t="str">
        <f t="shared" si="33"/>
        <v>×</v>
      </c>
      <c r="S286" s="232" t="str">
        <f t="shared" si="34"/>
        <v/>
      </c>
    </row>
    <row r="287" spans="2:19">
      <c r="B287" s="68"/>
      <c r="C287" s="57"/>
      <c r="D287" s="259" t="str">
        <f t="shared" si="29"/>
        <v/>
      </c>
      <c r="E287" s="260" t="str">
        <f t="shared" si="30"/>
        <v/>
      </c>
      <c r="F287" s="271" t="str">
        <f>IF(G287="","",VLOOKUP(G287,プルダウン用リスト!$K$1:$M$16,2,FALSE))</f>
        <v/>
      </c>
      <c r="G287" s="70"/>
      <c r="H287" s="58"/>
      <c r="I287" s="70"/>
      <c r="J287" s="135"/>
      <c r="K287" s="136"/>
      <c r="L287" s="71"/>
      <c r="M287" s="72"/>
      <c r="N287" s="72"/>
      <c r="O287" s="264" t="str">
        <f t="shared" si="31"/>
        <v/>
      </c>
      <c r="P287" s="230">
        <f t="shared" si="32"/>
        <v>0</v>
      </c>
      <c r="Q287" s="231" t="str">
        <f t="shared" si="28"/>
        <v>×</v>
      </c>
      <c r="R287" s="231" t="str">
        <f t="shared" si="33"/>
        <v>×</v>
      </c>
      <c r="S287" s="232" t="str">
        <f t="shared" si="34"/>
        <v/>
      </c>
    </row>
    <row r="288" spans="2:19">
      <c r="B288" s="68"/>
      <c r="C288" s="57"/>
      <c r="D288" s="259" t="str">
        <f t="shared" si="29"/>
        <v/>
      </c>
      <c r="E288" s="260" t="str">
        <f t="shared" si="30"/>
        <v/>
      </c>
      <c r="F288" s="271" t="str">
        <f>IF(G288="","",VLOOKUP(G288,プルダウン用リスト!$K$1:$M$16,2,FALSE))</f>
        <v/>
      </c>
      <c r="G288" s="70"/>
      <c r="H288" s="70"/>
      <c r="I288" s="70"/>
      <c r="J288" s="135"/>
      <c r="K288" s="136"/>
      <c r="L288" s="71"/>
      <c r="M288" s="72"/>
      <c r="N288" s="72"/>
      <c r="O288" s="264" t="str">
        <f t="shared" si="31"/>
        <v/>
      </c>
      <c r="P288" s="230">
        <f t="shared" si="32"/>
        <v>0</v>
      </c>
      <c r="Q288" s="231" t="str">
        <f t="shared" si="28"/>
        <v>×</v>
      </c>
      <c r="R288" s="231" t="str">
        <f t="shared" si="33"/>
        <v>×</v>
      </c>
      <c r="S288" s="232" t="str">
        <f t="shared" si="34"/>
        <v/>
      </c>
    </row>
    <row r="289" spans="2:19">
      <c r="B289" s="68"/>
      <c r="C289" s="57"/>
      <c r="D289" s="259" t="str">
        <f t="shared" si="29"/>
        <v/>
      </c>
      <c r="E289" s="260" t="str">
        <f t="shared" si="30"/>
        <v/>
      </c>
      <c r="F289" s="271" t="str">
        <f>IF(G289="","",VLOOKUP(G289,プルダウン用リスト!$K$1:$M$16,2,FALSE))</f>
        <v/>
      </c>
      <c r="G289" s="70"/>
      <c r="H289" s="58"/>
      <c r="I289" s="70"/>
      <c r="J289" s="135"/>
      <c r="K289" s="136"/>
      <c r="L289" s="71"/>
      <c r="M289" s="72"/>
      <c r="N289" s="72"/>
      <c r="O289" s="264" t="str">
        <f t="shared" si="31"/>
        <v/>
      </c>
      <c r="P289" s="230">
        <f t="shared" si="32"/>
        <v>0</v>
      </c>
      <c r="Q289" s="231" t="str">
        <f t="shared" si="28"/>
        <v>×</v>
      </c>
      <c r="R289" s="231" t="str">
        <f t="shared" si="33"/>
        <v>×</v>
      </c>
      <c r="S289" s="232" t="str">
        <f t="shared" si="34"/>
        <v/>
      </c>
    </row>
    <row r="290" spans="2:19">
      <c r="B290" s="68"/>
      <c r="C290" s="57"/>
      <c r="D290" s="259" t="str">
        <f t="shared" si="29"/>
        <v/>
      </c>
      <c r="E290" s="260" t="str">
        <f t="shared" si="30"/>
        <v/>
      </c>
      <c r="F290" s="271" t="str">
        <f>IF(G290="","",VLOOKUP(G290,プルダウン用リスト!$K$1:$M$16,2,FALSE))</f>
        <v/>
      </c>
      <c r="G290" s="70"/>
      <c r="H290" s="58"/>
      <c r="I290" s="70"/>
      <c r="J290" s="135"/>
      <c r="K290" s="136"/>
      <c r="L290" s="71"/>
      <c r="M290" s="72"/>
      <c r="N290" s="72"/>
      <c r="O290" s="264" t="str">
        <f t="shared" si="31"/>
        <v/>
      </c>
      <c r="P290" s="230">
        <f t="shared" si="32"/>
        <v>0</v>
      </c>
      <c r="Q290" s="231" t="str">
        <f t="shared" si="28"/>
        <v>×</v>
      </c>
      <c r="R290" s="231" t="str">
        <f t="shared" si="33"/>
        <v>×</v>
      </c>
      <c r="S290" s="232" t="str">
        <f t="shared" si="34"/>
        <v/>
      </c>
    </row>
    <row r="291" spans="2:19">
      <c r="B291" s="68"/>
      <c r="C291" s="57"/>
      <c r="D291" s="259" t="str">
        <f t="shared" si="29"/>
        <v/>
      </c>
      <c r="E291" s="260" t="str">
        <f t="shared" si="30"/>
        <v/>
      </c>
      <c r="F291" s="271" t="str">
        <f>IF(G291="","",VLOOKUP(G291,プルダウン用リスト!$K$1:$M$16,2,FALSE))</f>
        <v/>
      </c>
      <c r="G291" s="70"/>
      <c r="H291" s="70"/>
      <c r="I291" s="70"/>
      <c r="J291" s="135"/>
      <c r="K291" s="136"/>
      <c r="L291" s="71"/>
      <c r="M291" s="72"/>
      <c r="N291" s="72"/>
      <c r="O291" s="264" t="str">
        <f t="shared" si="31"/>
        <v/>
      </c>
      <c r="P291" s="230">
        <f t="shared" si="32"/>
        <v>0</v>
      </c>
      <c r="Q291" s="231" t="str">
        <f t="shared" si="28"/>
        <v>×</v>
      </c>
      <c r="R291" s="231" t="str">
        <f t="shared" si="33"/>
        <v>×</v>
      </c>
      <c r="S291" s="232" t="str">
        <f t="shared" si="34"/>
        <v/>
      </c>
    </row>
    <row r="292" spans="2:19">
      <c r="B292" s="68"/>
      <c r="C292" s="57"/>
      <c r="D292" s="259" t="str">
        <f t="shared" si="29"/>
        <v/>
      </c>
      <c r="E292" s="260" t="str">
        <f t="shared" si="30"/>
        <v/>
      </c>
      <c r="F292" s="271" t="str">
        <f>IF(G292="","",VLOOKUP(G292,プルダウン用リスト!$K$1:$M$16,2,FALSE))</f>
        <v/>
      </c>
      <c r="G292" s="70"/>
      <c r="H292" s="58"/>
      <c r="I292" s="70"/>
      <c r="J292" s="135"/>
      <c r="K292" s="136"/>
      <c r="L292" s="71"/>
      <c r="M292" s="72"/>
      <c r="N292" s="72"/>
      <c r="O292" s="264" t="str">
        <f t="shared" si="31"/>
        <v/>
      </c>
      <c r="P292" s="230">
        <f t="shared" si="32"/>
        <v>0</v>
      </c>
      <c r="Q292" s="231" t="str">
        <f t="shared" si="28"/>
        <v>×</v>
      </c>
      <c r="R292" s="231" t="str">
        <f t="shared" si="33"/>
        <v>×</v>
      </c>
      <c r="S292" s="232" t="str">
        <f t="shared" si="34"/>
        <v/>
      </c>
    </row>
    <row r="293" spans="2:19">
      <c r="B293" s="68"/>
      <c r="C293" s="57"/>
      <c r="D293" s="259" t="str">
        <f t="shared" si="29"/>
        <v/>
      </c>
      <c r="E293" s="260" t="str">
        <f t="shared" si="30"/>
        <v/>
      </c>
      <c r="F293" s="271" t="str">
        <f>IF(G293="","",VLOOKUP(G293,プルダウン用リスト!$K$1:$M$16,2,FALSE))</f>
        <v/>
      </c>
      <c r="G293" s="70"/>
      <c r="H293" s="58"/>
      <c r="I293" s="70"/>
      <c r="J293" s="135"/>
      <c r="K293" s="136"/>
      <c r="L293" s="71"/>
      <c r="M293" s="72"/>
      <c r="N293" s="72"/>
      <c r="O293" s="264" t="str">
        <f t="shared" si="31"/>
        <v/>
      </c>
      <c r="P293" s="230">
        <f t="shared" si="32"/>
        <v>0</v>
      </c>
      <c r="Q293" s="231" t="str">
        <f t="shared" si="28"/>
        <v>×</v>
      </c>
      <c r="R293" s="231" t="str">
        <f t="shared" si="33"/>
        <v>×</v>
      </c>
      <c r="S293" s="232" t="str">
        <f t="shared" si="34"/>
        <v/>
      </c>
    </row>
    <row r="294" spans="2:19">
      <c r="B294" s="68"/>
      <c r="C294" s="69"/>
      <c r="D294" s="259" t="str">
        <f t="shared" si="29"/>
        <v/>
      </c>
      <c r="E294" s="260" t="str">
        <f t="shared" si="30"/>
        <v/>
      </c>
      <c r="F294" s="271" t="str">
        <f>IF(G294="","",VLOOKUP(G294,プルダウン用リスト!$K$1:$M$16,2,FALSE))</f>
        <v/>
      </c>
      <c r="G294" s="70"/>
      <c r="H294" s="70"/>
      <c r="I294" s="70"/>
      <c r="J294" s="135"/>
      <c r="K294" s="136"/>
      <c r="L294" s="71"/>
      <c r="M294" s="72"/>
      <c r="N294" s="72"/>
      <c r="O294" s="264" t="str">
        <f t="shared" si="31"/>
        <v/>
      </c>
      <c r="P294" s="230">
        <f t="shared" si="32"/>
        <v>0</v>
      </c>
      <c r="Q294" s="231" t="str">
        <f t="shared" si="28"/>
        <v>×</v>
      </c>
      <c r="R294" s="231" t="str">
        <f t="shared" si="33"/>
        <v>×</v>
      </c>
      <c r="S294" s="232" t="str">
        <f t="shared" si="34"/>
        <v/>
      </c>
    </row>
    <row r="295" spans="2:19">
      <c r="B295" s="68"/>
      <c r="C295" s="57"/>
      <c r="D295" s="259" t="str">
        <f t="shared" si="29"/>
        <v/>
      </c>
      <c r="E295" s="260" t="str">
        <f t="shared" si="30"/>
        <v/>
      </c>
      <c r="F295" s="271" t="str">
        <f>IF(G295="","",VLOOKUP(G295,プルダウン用リスト!$K$1:$M$16,2,FALSE))</f>
        <v/>
      </c>
      <c r="G295" s="70"/>
      <c r="H295" s="58"/>
      <c r="I295" s="70"/>
      <c r="J295" s="135"/>
      <c r="K295" s="136"/>
      <c r="L295" s="71"/>
      <c r="M295" s="72"/>
      <c r="N295" s="72"/>
      <c r="O295" s="264" t="str">
        <f t="shared" si="31"/>
        <v/>
      </c>
      <c r="P295" s="230">
        <f t="shared" si="32"/>
        <v>0</v>
      </c>
      <c r="Q295" s="231" t="str">
        <f t="shared" si="28"/>
        <v>×</v>
      </c>
      <c r="R295" s="231" t="str">
        <f t="shared" si="33"/>
        <v>×</v>
      </c>
      <c r="S295" s="232" t="str">
        <f t="shared" si="34"/>
        <v/>
      </c>
    </row>
    <row r="296" spans="2:19">
      <c r="B296" s="68"/>
      <c r="C296" s="57"/>
      <c r="D296" s="259" t="str">
        <f t="shared" si="29"/>
        <v/>
      </c>
      <c r="E296" s="260" t="str">
        <f t="shared" si="30"/>
        <v/>
      </c>
      <c r="F296" s="271" t="str">
        <f>IF(G296="","",VLOOKUP(G296,プルダウン用リスト!$K$1:$M$16,2,FALSE))</f>
        <v/>
      </c>
      <c r="G296" s="70"/>
      <c r="H296" s="58"/>
      <c r="I296" s="70"/>
      <c r="J296" s="135"/>
      <c r="K296" s="136"/>
      <c r="L296" s="71"/>
      <c r="M296" s="72"/>
      <c r="N296" s="72"/>
      <c r="O296" s="264" t="str">
        <f t="shared" si="31"/>
        <v/>
      </c>
      <c r="P296" s="230">
        <f t="shared" si="32"/>
        <v>0</v>
      </c>
      <c r="Q296" s="231" t="str">
        <f t="shared" si="28"/>
        <v>×</v>
      </c>
      <c r="R296" s="231" t="str">
        <f t="shared" si="33"/>
        <v>×</v>
      </c>
      <c r="S296" s="232" t="str">
        <f t="shared" si="34"/>
        <v/>
      </c>
    </row>
    <row r="297" spans="2:19">
      <c r="B297" s="68"/>
      <c r="C297" s="57"/>
      <c r="D297" s="259" t="str">
        <f t="shared" si="29"/>
        <v/>
      </c>
      <c r="E297" s="260" t="str">
        <f t="shared" si="30"/>
        <v/>
      </c>
      <c r="F297" s="271" t="str">
        <f>IF(G297="","",VLOOKUP(G297,プルダウン用リスト!$K$1:$M$16,2,FALSE))</f>
        <v/>
      </c>
      <c r="G297" s="70"/>
      <c r="H297" s="70"/>
      <c r="I297" s="70"/>
      <c r="J297" s="135"/>
      <c r="K297" s="136"/>
      <c r="L297" s="71"/>
      <c r="M297" s="72"/>
      <c r="N297" s="72"/>
      <c r="O297" s="264" t="str">
        <f t="shared" si="31"/>
        <v/>
      </c>
      <c r="P297" s="230">
        <f t="shared" si="32"/>
        <v>0</v>
      </c>
      <c r="Q297" s="231" t="str">
        <f t="shared" si="28"/>
        <v>×</v>
      </c>
      <c r="R297" s="231" t="str">
        <f t="shared" si="33"/>
        <v>×</v>
      </c>
      <c r="S297" s="232" t="str">
        <f t="shared" si="34"/>
        <v/>
      </c>
    </row>
    <row r="298" spans="2:19">
      <c r="B298" s="68"/>
      <c r="C298" s="57"/>
      <c r="D298" s="259" t="str">
        <f t="shared" si="29"/>
        <v/>
      </c>
      <c r="E298" s="260" t="str">
        <f t="shared" si="30"/>
        <v/>
      </c>
      <c r="F298" s="271" t="str">
        <f>IF(G298="","",VLOOKUP(G298,プルダウン用リスト!$K$1:$M$16,2,FALSE))</f>
        <v/>
      </c>
      <c r="G298" s="70"/>
      <c r="H298" s="58"/>
      <c r="I298" s="70"/>
      <c r="J298" s="135"/>
      <c r="K298" s="136"/>
      <c r="L298" s="71"/>
      <c r="M298" s="72"/>
      <c r="N298" s="72"/>
      <c r="O298" s="264" t="str">
        <f t="shared" si="31"/>
        <v/>
      </c>
      <c r="P298" s="230">
        <f t="shared" si="32"/>
        <v>0</v>
      </c>
      <c r="Q298" s="231" t="str">
        <f t="shared" si="28"/>
        <v>×</v>
      </c>
      <c r="R298" s="231" t="str">
        <f t="shared" si="33"/>
        <v>×</v>
      </c>
      <c r="S298" s="232" t="str">
        <f t="shared" si="34"/>
        <v/>
      </c>
    </row>
    <row r="299" spans="2:19">
      <c r="B299" s="68"/>
      <c r="C299" s="57"/>
      <c r="D299" s="259" t="str">
        <f t="shared" si="29"/>
        <v/>
      </c>
      <c r="E299" s="260" t="str">
        <f t="shared" si="30"/>
        <v/>
      </c>
      <c r="F299" s="271" t="str">
        <f>IF(G299="","",VLOOKUP(G299,プルダウン用リスト!$K$1:$M$16,2,FALSE))</f>
        <v/>
      </c>
      <c r="G299" s="70"/>
      <c r="H299" s="58"/>
      <c r="I299" s="70"/>
      <c r="J299" s="135"/>
      <c r="K299" s="136"/>
      <c r="L299" s="71"/>
      <c r="M299" s="72"/>
      <c r="N299" s="72"/>
      <c r="O299" s="264" t="str">
        <f t="shared" si="31"/>
        <v/>
      </c>
      <c r="P299" s="230">
        <f t="shared" si="32"/>
        <v>0</v>
      </c>
      <c r="Q299" s="231" t="str">
        <f t="shared" si="28"/>
        <v>×</v>
      </c>
      <c r="R299" s="231" t="str">
        <f t="shared" si="33"/>
        <v>×</v>
      </c>
      <c r="S299" s="232" t="str">
        <f t="shared" si="34"/>
        <v/>
      </c>
    </row>
    <row r="300" spans="2:19">
      <c r="B300" s="68"/>
      <c r="C300" s="57"/>
      <c r="D300" s="259" t="str">
        <f t="shared" si="29"/>
        <v/>
      </c>
      <c r="E300" s="260" t="str">
        <f t="shared" si="30"/>
        <v/>
      </c>
      <c r="F300" s="271" t="str">
        <f>IF(G300="","",VLOOKUP(G300,プルダウン用リスト!$K$1:$M$16,2,FALSE))</f>
        <v/>
      </c>
      <c r="G300" s="70"/>
      <c r="H300" s="70"/>
      <c r="I300" s="70"/>
      <c r="J300" s="135"/>
      <c r="K300" s="136"/>
      <c r="L300" s="71"/>
      <c r="M300" s="72"/>
      <c r="N300" s="72"/>
      <c r="O300" s="264" t="str">
        <f t="shared" si="31"/>
        <v/>
      </c>
      <c r="P300" s="230">
        <f t="shared" si="32"/>
        <v>0</v>
      </c>
      <c r="Q300" s="231" t="str">
        <f t="shared" si="28"/>
        <v>×</v>
      </c>
      <c r="R300" s="231" t="str">
        <f t="shared" si="33"/>
        <v>×</v>
      </c>
      <c r="S300" s="232" t="str">
        <f t="shared" si="34"/>
        <v/>
      </c>
    </row>
    <row r="301" spans="2:19">
      <c r="B301" s="68"/>
      <c r="C301" s="57"/>
      <c r="D301" s="259" t="str">
        <f t="shared" si="29"/>
        <v/>
      </c>
      <c r="E301" s="260" t="str">
        <f t="shared" si="30"/>
        <v/>
      </c>
      <c r="F301" s="271" t="str">
        <f>IF(G301="","",VLOOKUP(G301,プルダウン用リスト!$K$1:$M$16,2,FALSE))</f>
        <v/>
      </c>
      <c r="G301" s="70"/>
      <c r="H301" s="58"/>
      <c r="I301" s="70"/>
      <c r="J301" s="135"/>
      <c r="K301" s="136"/>
      <c r="L301" s="71"/>
      <c r="M301" s="72"/>
      <c r="N301" s="72"/>
      <c r="O301" s="264" t="str">
        <f t="shared" si="31"/>
        <v/>
      </c>
      <c r="P301" s="230">
        <f t="shared" si="32"/>
        <v>0</v>
      </c>
      <c r="Q301" s="231" t="str">
        <f t="shared" si="28"/>
        <v>×</v>
      </c>
      <c r="R301" s="231" t="str">
        <f t="shared" si="33"/>
        <v>×</v>
      </c>
      <c r="S301" s="232" t="str">
        <f t="shared" si="34"/>
        <v/>
      </c>
    </row>
    <row r="302" spans="2:19">
      <c r="B302" s="68"/>
      <c r="C302" s="57"/>
      <c r="D302" s="259" t="str">
        <f t="shared" si="29"/>
        <v/>
      </c>
      <c r="E302" s="260" t="str">
        <f t="shared" si="30"/>
        <v/>
      </c>
      <c r="F302" s="271" t="str">
        <f>IF(G302="","",VLOOKUP(G302,プルダウン用リスト!$K$1:$M$16,2,FALSE))</f>
        <v/>
      </c>
      <c r="G302" s="70"/>
      <c r="H302" s="58"/>
      <c r="I302" s="70"/>
      <c r="J302" s="135"/>
      <c r="K302" s="136"/>
      <c r="L302" s="71"/>
      <c r="M302" s="72"/>
      <c r="N302" s="72"/>
      <c r="O302" s="264" t="str">
        <f t="shared" si="31"/>
        <v/>
      </c>
      <c r="P302" s="230">
        <f t="shared" si="32"/>
        <v>0</v>
      </c>
      <c r="Q302" s="231" t="str">
        <f t="shared" si="28"/>
        <v>×</v>
      </c>
      <c r="R302" s="231" t="str">
        <f t="shared" si="33"/>
        <v>×</v>
      </c>
      <c r="S302" s="232" t="str">
        <f t="shared" si="34"/>
        <v/>
      </c>
    </row>
    <row r="303" spans="2:19">
      <c r="B303" s="68"/>
      <c r="C303" s="57"/>
      <c r="D303" s="259" t="str">
        <f t="shared" si="29"/>
        <v/>
      </c>
      <c r="E303" s="260" t="str">
        <f t="shared" si="30"/>
        <v/>
      </c>
      <c r="F303" s="271" t="str">
        <f>IF(G303="","",VLOOKUP(G303,プルダウン用リスト!$K$1:$M$16,2,FALSE))</f>
        <v/>
      </c>
      <c r="G303" s="70"/>
      <c r="H303" s="70"/>
      <c r="I303" s="70"/>
      <c r="J303" s="135"/>
      <c r="K303" s="136"/>
      <c r="L303" s="71"/>
      <c r="M303" s="72"/>
      <c r="N303" s="72"/>
      <c r="O303" s="264" t="str">
        <f t="shared" si="31"/>
        <v/>
      </c>
      <c r="P303" s="230">
        <f t="shared" si="32"/>
        <v>0</v>
      </c>
      <c r="Q303" s="231" t="str">
        <f t="shared" si="28"/>
        <v>×</v>
      </c>
      <c r="R303" s="231" t="str">
        <f t="shared" si="33"/>
        <v>×</v>
      </c>
      <c r="S303" s="232" t="str">
        <f t="shared" si="34"/>
        <v/>
      </c>
    </row>
    <row r="304" spans="2:19">
      <c r="B304" s="68"/>
      <c r="C304" s="57"/>
      <c r="D304" s="259" t="str">
        <f t="shared" si="29"/>
        <v/>
      </c>
      <c r="E304" s="260" t="str">
        <f t="shared" si="30"/>
        <v/>
      </c>
      <c r="F304" s="271" t="str">
        <f>IF(G304="","",VLOOKUP(G304,プルダウン用リスト!$K$1:$M$16,2,FALSE))</f>
        <v/>
      </c>
      <c r="G304" s="70"/>
      <c r="H304" s="58"/>
      <c r="I304" s="70"/>
      <c r="J304" s="135"/>
      <c r="K304" s="136"/>
      <c r="L304" s="71"/>
      <c r="M304" s="72"/>
      <c r="N304" s="72"/>
      <c r="O304" s="264" t="str">
        <f t="shared" si="31"/>
        <v/>
      </c>
      <c r="P304" s="230">
        <f t="shared" si="32"/>
        <v>0</v>
      </c>
      <c r="Q304" s="231" t="str">
        <f t="shared" si="28"/>
        <v>×</v>
      </c>
      <c r="R304" s="231" t="str">
        <f t="shared" si="33"/>
        <v>×</v>
      </c>
      <c r="S304" s="232" t="str">
        <f t="shared" si="34"/>
        <v/>
      </c>
    </row>
    <row r="305" spans="2:19">
      <c r="B305" s="68"/>
      <c r="C305" s="57"/>
      <c r="D305" s="259" t="str">
        <f t="shared" si="29"/>
        <v/>
      </c>
      <c r="E305" s="260" t="str">
        <f t="shared" si="30"/>
        <v/>
      </c>
      <c r="F305" s="271" t="str">
        <f>IF(G305="","",VLOOKUP(G305,プルダウン用リスト!$K$1:$M$16,2,FALSE))</f>
        <v/>
      </c>
      <c r="G305" s="70"/>
      <c r="H305" s="58"/>
      <c r="I305" s="70"/>
      <c r="J305" s="135"/>
      <c r="K305" s="136"/>
      <c r="L305" s="71"/>
      <c r="M305" s="72"/>
      <c r="N305" s="72"/>
      <c r="O305" s="264" t="str">
        <f t="shared" si="31"/>
        <v/>
      </c>
      <c r="P305" s="230">
        <f t="shared" si="32"/>
        <v>0</v>
      </c>
      <c r="Q305" s="231" t="str">
        <f t="shared" si="28"/>
        <v>×</v>
      </c>
      <c r="R305" s="231" t="str">
        <f t="shared" si="33"/>
        <v>×</v>
      </c>
      <c r="S305" s="232" t="str">
        <f t="shared" si="34"/>
        <v/>
      </c>
    </row>
    <row r="306" spans="2:19">
      <c r="B306" s="68"/>
      <c r="C306" s="69"/>
      <c r="D306" s="259" t="str">
        <f t="shared" si="29"/>
        <v/>
      </c>
      <c r="E306" s="260" t="str">
        <f t="shared" si="30"/>
        <v/>
      </c>
      <c r="F306" s="271" t="str">
        <f>IF(G306="","",VLOOKUP(G306,プルダウン用リスト!$K$1:$M$16,2,FALSE))</f>
        <v/>
      </c>
      <c r="G306" s="70"/>
      <c r="H306" s="70"/>
      <c r="I306" s="70"/>
      <c r="J306" s="135"/>
      <c r="K306" s="136"/>
      <c r="L306" s="71"/>
      <c r="M306" s="72"/>
      <c r="N306" s="72"/>
      <c r="O306" s="264" t="str">
        <f t="shared" si="31"/>
        <v/>
      </c>
      <c r="P306" s="230">
        <f t="shared" si="32"/>
        <v>0</v>
      </c>
      <c r="Q306" s="231" t="str">
        <f t="shared" si="28"/>
        <v>×</v>
      </c>
      <c r="R306" s="231" t="str">
        <f t="shared" si="33"/>
        <v>×</v>
      </c>
      <c r="S306" s="232" t="str">
        <f t="shared" si="34"/>
        <v/>
      </c>
    </row>
    <row r="307" spans="2:19">
      <c r="B307" s="68"/>
      <c r="C307" s="57"/>
      <c r="D307" s="259" t="str">
        <f t="shared" si="29"/>
        <v/>
      </c>
      <c r="E307" s="260" t="str">
        <f t="shared" si="30"/>
        <v/>
      </c>
      <c r="F307" s="271" t="str">
        <f>IF(G307="","",VLOOKUP(G307,プルダウン用リスト!$K$1:$M$16,2,FALSE))</f>
        <v/>
      </c>
      <c r="G307" s="70"/>
      <c r="H307" s="58"/>
      <c r="I307" s="70"/>
      <c r="J307" s="135"/>
      <c r="K307" s="136"/>
      <c r="L307" s="71"/>
      <c r="M307" s="72"/>
      <c r="N307" s="72"/>
      <c r="O307" s="264" t="str">
        <f t="shared" si="31"/>
        <v/>
      </c>
      <c r="P307" s="230">
        <f t="shared" si="32"/>
        <v>0</v>
      </c>
      <c r="Q307" s="231" t="str">
        <f t="shared" si="28"/>
        <v>×</v>
      </c>
      <c r="R307" s="231" t="str">
        <f t="shared" si="33"/>
        <v>×</v>
      </c>
      <c r="S307" s="232" t="str">
        <f t="shared" si="34"/>
        <v/>
      </c>
    </row>
    <row r="308" spans="2:19">
      <c r="B308" s="68"/>
      <c r="C308" s="57"/>
      <c r="D308" s="259" t="str">
        <f t="shared" si="29"/>
        <v/>
      </c>
      <c r="E308" s="260" t="str">
        <f t="shared" si="30"/>
        <v/>
      </c>
      <c r="F308" s="271" t="str">
        <f>IF(G308="","",VLOOKUP(G308,プルダウン用リスト!$K$1:$M$16,2,FALSE))</f>
        <v/>
      </c>
      <c r="G308" s="70"/>
      <c r="H308" s="58"/>
      <c r="I308" s="70"/>
      <c r="J308" s="135"/>
      <c r="K308" s="136"/>
      <c r="L308" s="71"/>
      <c r="M308" s="72"/>
      <c r="N308" s="72"/>
      <c r="O308" s="264" t="str">
        <f t="shared" si="31"/>
        <v/>
      </c>
      <c r="P308" s="230">
        <f t="shared" si="32"/>
        <v>0</v>
      </c>
      <c r="Q308" s="231" t="str">
        <f t="shared" si="28"/>
        <v>×</v>
      </c>
      <c r="R308" s="231" t="str">
        <f t="shared" si="33"/>
        <v>×</v>
      </c>
      <c r="S308" s="232" t="str">
        <f t="shared" si="34"/>
        <v/>
      </c>
    </row>
    <row r="309" spans="2:19">
      <c r="B309" s="68"/>
      <c r="C309" s="57"/>
      <c r="D309" s="259" t="str">
        <f t="shared" si="29"/>
        <v/>
      </c>
      <c r="E309" s="260" t="str">
        <f t="shared" si="30"/>
        <v/>
      </c>
      <c r="F309" s="271" t="str">
        <f>IF(G309="","",VLOOKUP(G309,プルダウン用リスト!$K$1:$M$16,2,FALSE))</f>
        <v/>
      </c>
      <c r="G309" s="70"/>
      <c r="H309" s="70"/>
      <c r="I309" s="70"/>
      <c r="J309" s="135"/>
      <c r="K309" s="136"/>
      <c r="L309" s="71"/>
      <c r="M309" s="72"/>
      <c r="N309" s="72"/>
      <c r="O309" s="264" t="str">
        <f t="shared" si="31"/>
        <v/>
      </c>
      <c r="P309" s="230">
        <f t="shared" si="32"/>
        <v>0</v>
      </c>
      <c r="Q309" s="231" t="str">
        <f t="shared" si="28"/>
        <v>×</v>
      </c>
      <c r="R309" s="231" t="str">
        <f t="shared" si="33"/>
        <v>×</v>
      </c>
      <c r="S309" s="232" t="str">
        <f t="shared" si="34"/>
        <v/>
      </c>
    </row>
    <row r="310" spans="2:19">
      <c r="B310" s="68"/>
      <c r="C310" s="57"/>
      <c r="D310" s="259" t="str">
        <f t="shared" si="29"/>
        <v/>
      </c>
      <c r="E310" s="260" t="str">
        <f t="shared" si="30"/>
        <v/>
      </c>
      <c r="F310" s="271" t="str">
        <f>IF(G310="","",VLOOKUP(G310,プルダウン用リスト!$K$1:$M$16,2,FALSE))</f>
        <v/>
      </c>
      <c r="G310" s="70"/>
      <c r="H310" s="58"/>
      <c r="I310" s="70"/>
      <c r="J310" s="135"/>
      <c r="K310" s="136"/>
      <c r="L310" s="71"/>
      <c r="M310" s="72"/>
      <c r="N310" s="72"/>
      <c r="O310" s="264" t="str">
        <f t="shared" si="31"/>
        <v/>
      </c>
      <c r="P310" s="230">
        <f t="shared" si="32"/>
        <v>0</v>
      </c>
      <c r="Q310" s="231" t="str">
        <f t="shared" si="28"/>
        <v>×</v>
      </c>
      <c r="R310" s="231" t="str">
        <f t="shared" si="33"/>
        <v>×</v>
      </c>
      <c r="S310" s="232" t="str">
        <f t="shared" si="34"/>
        <v/>
      </c>
    </row>
    <row r="311" spans="2:19">
      <c r="B311" s="68"/>
      <c r="C311" s="57"/>
      <c r="D311" s="259" t="str">
        <f t="shared" si="29"/>
        <v/>
      </c>
      <c r="E311" s="260" t="str">
        <f t="shared" si="30"/>
        <v/>
      </c>
      <c r="F311" s="271" t="str">
        <f>IF(G311="","",VLOOKUP(G311,プルダウン用リスト!$K$1:$M$16,2,FALSE))</f>
        <v/>
      </c>
      <c r="G311" s="70"/>
      <c r="H311" s="58"/>
      <c r="I311" s="70"/>
      <c r="J311" s="135"/>
      <c r="K311" s="136"/>
      <c r="L311" s="71"/>
      <c r="M311" s="72"/>
      <c r="N311" s="72"/>
      <c r="O311" s="264" t="str">
        <f t="shared" si="31"/>
        <v/>
      </c>
      <c r="P311" s="230">
        <f t="shared" si="32"/>
        <v>0</v>
      </c>
      <c r="Q311" s="231" t="str">
        <f t="shared" si="28"/>
        <v>×</v>
      </c>
      <c r="R311" s="231" t="str">
        <f t="shared" si="33"/>
        <v>×</v>
      </c>
      <c r="S311" s="232" t="str">
        <f t="shared" si="34"/>
        <v/>
      </c>
    </row>
    <row r="312" spans="2:19">
      <c r="B312" s="68"/>
      <c r="C312" s="57"/>
      <c r="D312" s="259" t="str">
        <f t="shared" si="29"/>
        <v/>
      </c>
      <c r="E312" s="260" t="str">
        <f t="shared" si="30"/>
        <v/>
      </c>
      <c r="F312" s="271" t="str">
        <f>IF(G312="","",VLOOKUP(G312,プルダウン用リスト!$K$1:$M$16,2,FALSE))</f>
        <v/>
      </c>
      <c r="G312" s="70"/>
      <c r="H312" s="70"/>
      <c r="I312" s="70"/>
      <c r="J312" s="135"/>
      <c r="K312" s="136"/>
      <c r="L312" s="71"/>
      <c r="M312" s="72"/>
      <c r="N312" s="72"/>
      <c r="O312" s="264" t="str">
        <f t="shared" si="31"/>
        <v/>
      </c>
      <c r="P312" s="230">
        <f t="shared" si="32"/>
        <v>0</v>
      </c>
      <c r="Q312" s="231" t="str">
        <f t="shared" si="28"/>
        <v>×</v>
      </c>
      <c r="R312" s="231" t="str">
        <f t="shared" si="33"/>
        <v>×</v>
      </c>
      <c r="S312" s="232" t="str">
        <f t="shared" si="34"/>
        <v/>
      </c>
    </row>
    <row r="313" spans="2:19">
      <c r="B313" s="68"/>
      <c r="C313" s="57"/>
      <c r="D313" s="259" t="str">
        <f t="shared" si="29"/>
        <v/>
      </c>
      <c r="E313" s="260" t="str">
        <f t="shared" si="30"/>
        <v/>
      </c>
      <c r="F313" s="271" t="str">
        <f>IF(G313="","",VLOOKUP(G313,プルダウン用リスト!$K$1:$M$16,2,FALSE))</f>
        <v/>
      </c>
      <c r="G313" s="70"/>
      <c r="H313" s="58"/>
      <c r="I313" s="70"/>
      <c r="J313" s="135"/>
      <c r="K313" s="136"/>
      <c r="L313" s="71"/>
      <c r="M313" s="72"/>
      <c r="N313" s="72"/>
      <c r="O313" s="264" t="str">
        <f t="shared" si="31"/>
        <v/>
      </c>
      <c r="P313" s="230">
        <f t="shared" si="32"/>
        <v>0</v>
      </c>
      <c r="Q313" s="231" t="str">
        <f t="shared" si="28"/>
        <v>×</v>
      </c>
      <c r="R313" s="231" t="str">
        <f t="shared" si="33"/>
        <v>×</v>
      </c>
      <c r="S313" s="232" t="str">
        <f t="shared" si="34"/>
        <v/>
      </c>
    </row>
    <row r="314" spans="2:19">
      <c r="B314" s="68"/>
      <c r="C314" s="57"/>
      <c r="D314" s="259" t="str">
        <f t="shared" si="29"/>
        <v/>
      </c>
      <c r="E314" s="260" t="str">
        <f t="shared" si="30"/>
        <v/>
      </c>
      <c r="F314" s="271" t="str">
        <f>IF(G314="","",VLOOKUP(G314,プルダウン用リスト!$K$1:$M$16,2,FALSE))</f>
        <v/>
      </c>
      <c r="G314" s="70"/>
      <c r="H314" s="58"/>
      <c r="I314" s="70"/>
      <c r="J314" s="135"/>
      <c r="K314" s="136"/>
      <c r="L314" s="71"/>
      <c r="M314" s="72"/>
      <c r="N314" s="72"/>
      <c r="O314" s="264" t="str">
        <f t="shared" si="31"/>
        <v/>
      </c>
      <c r="P314" s="230">
        <f t="shared" si="32"/>
        <v>0</v>
      </c>
      <c r="Q314" s="231" t="str">
        <f t="shared" si="28"/>
        <v>×</v>
      </c>
      <c r="R314" s="231" t="str">
        <f t="shared" si="33"/>
        <v>×</v>
      </c>
      <c r="S314" s="232" t="str">
        <f t="shared" si="34"/>
        <v/>
      </c>
    </row>
    <row r="315" spans="2:19">
      <c r="B315" s="68"/>
      <c r="C315" s="57"/>
      <c r="D315" s="259" t="str">
        <f t="shared" si="29"/>
        <v/>
      </c>
      <c r="E315" s="260" t="str">
        <f t="shared" si="30"/>
        <v/>
      </c>
      <c r="F315" s="271" t="str">
        <f>IF(G315="","",VLOOKUP(G315,プルダウン用リスト!$K$1:$M$16,2,FALSE))</f>
        <v/>
      </c>
      <c r="G315" s="70"/>
      <c r="H315" s="70"/>
      <c r="I315" s="70"/>
      <c r="J315" s="135"/>
      <c r="K315" s="136"/>
      <c r="L315" s="71"/>
      <c r="M315" s="72"/>
      <c r="N315" s="72"/>
      <c r="O315" s="264" t="str">
        <f t="shared" si="31"/>
        <v/>
      </c>
      <c r="P315" s="230">
        <f t="shared" si="32"/>
        <v>0</v>
      </c>
      <c r="Q315" s="231" t="str">
        <f t="shared" si="28"/>
        <v>×</v>
      </c>
      <c r="R315" s="231" t="str">
        <f t="shared" si="33"/>
        <v>×</v>
      </c>
      <c r="S315" s="232" t="str">
        <f t="shared" si="34"/>
        <v/>
      </c>
    </row>
    <row r="316" spans="2:19">
      <c r="B316" s="68"/>
      <c r="C316" s="57"/>
      <c r="D316" s="259" t="str">
        <f t="shared" si="29"/>
        <v/>
      </c>
      <c r="E316" s="260" t="str">
        <f t="shared" si="30"/>
        <v/>
      </c>
      <c r="F316" s="271" t="str">
        <f>IF(G316="","",VLOOKUP(G316,プルダウン用リスト!$K$1:$M$16,2,FALSE))</f>
        <v/>
      </c>
      <c r="G316" s="70"/>
      <c r="H316" s="58"/>
      <c r="I316" s="70"/>
      <c r="J316" s="135"/>
      <c r="K316" s="136"/>
      <c r="L316" s="71"/>
      <c r="M316" s="72"/>
      <c r="N316" s="72"/>
      <c r="O316" s="264" t="str">
        <f t="shared" si="31"/>
        <v/>
      </c>
      <c r="P316" s="230">
        <f t="shared" si="32"/>
        <v>0</v>
      </c>
      <c r="Q316" s="231" t="str">
        <f t="shared" si="28"/>
        <v>×</v>
      </c>
      <c r="R316" s="231" t="str">
        <f t="shared" si="33"/>
        <v>×</v>
      </c>
      <c r="S316" s="232" t="str">
        <f t="shared" si="34"/>
        <v/>
      </c>
    </row>
    <row r="317" spans="2:19">
      <c r="B317" s="68"/>
      <c r="C317" s="57"/>
      <c r="D317" s="259" t="str">
        <f t="shared" si="29"/>
        <v/>
      </c>
      <c r="E317" s="260" t="str">
        <f t="shared" si="30"/>
        <v/>
      </c>
      <c r="F317" s="271" t="str">
        <f>IF(G317="","",VLOOKUP(G317,プルダウン用リスト!$K$1:$M$16,2,FALSE))</f>
        <v/>
      </c>
      <c r="G317" s="70"/>
      <c r="H317" s="58"/>
      <c r="I317" s="70"/>
      <c r="J317" s="135"/>
      <c r="K317" s="136"/>
      <c r="L317" s="71"/>
      <c r="M317" s="72"/>
      <c r="N317" s="72"/>
      <c r="O317" s="264" t="str">
        <f t="shared" si="31"/>
        <v/>
      </c>
      <c r="P317" s="230">
        <f t="shared" si="32"/>
        <v>0</v>
      </c>
      <c r="Q317" s="231" t="str">
        <f t="shared" si="28"/>
        <v>×</v>
      </c>
      <c r="R317" s="231" t="str">
        <f t="shared" si="33"/>
        <v>×</v>
      </c>
      <c r="S317" s="232" t="str">
        <f t="shared" si="34"/>
        <v/>
      </c>
    </row>
    <row r="318" spans="2:19">
      <c r="B318" s="68"/>
      <c r="C318" s="69"/>
      <c r="D318" s="259" t="str">
        <f t="shared" si="29"/>
        <v/>
      </c>
      <c r="E318" s="260" t="str">
        <f t="shared" si="30"/>
        <v/>
      </c>
      <c r="F318" s="271" t="str">
        <f>IF(G318="","",VLOOKUP(G318,プルダウン用リスト!$K$1:$M$16,2,FALSE))</f>
        <v/>
      </c>
      <c r="G318" s="70"/>
      <c r="H318" s="70"/>
      <c r="I318" s="70"/>
      <c r="J318" s="135"/>
      <c r="K318" s="136"/>
      <c r="L318" s="71"/>
      <c r="M318" s="72"/>
      <c r="N318" s="72"/>
      <c r="O318" s="264" t="str">
        <f t="shared" si="31"/>
        <v/>
      </c>
      <c r="P318" s="230">
        <f t="shared" si="32"/>
        <v>0</v>
      </c>
      <c r="Q318" s="231" t="str">
        <f t="shared" si="28"/>
        <v>×</v>
      </c>
      <c r="R318" s="231" t="str">
        <f t="shared" si="33"/>
        <v>×</v>
      </c>
      <c r="S318" s="232" t="str">
        <f t="shared" si="34"/>
        <v/>
      </c>
    </row>
    <row r="319" spans="2:19">
      <c r="B319" s="68"/>
      <c r="C319" s="57"/>
      <c r="D319" s="259" t="str">
        <f t="shared" si="29"/>
        <v/>
      </c>
      <c r="E319" s="260" t="str">
        <f t="shared" si="30"/>
        <v/>
      </c>
      <c r="F319" s="271" t="str">
        <f>IF(G319="","",VLOOKUP(G319,プルダウン用リスト!$K$1:$M$16,2,FALSE))</f>
        <v/>
      </c>
      <c r="G319" s="70"/>
      <c r="H319" s="58"/>
      <c r="I319" s="70"/>
      <c r="J319" s="135"/>
      <c r="K319" s="136"/>
      <c r="L319" s="71"/>
      <c r="M319" s="72"/>
      <c r="N319" s="72"/>
      <c r="O319" s="264" t="str">
        <f t="shared" si="31"/>
        <v/>
      </c>
      <c r="P319" s="230">
        <f t="shared" si="32"/>
        <v>0</v>
      </c>
      <c r="Q319" s="231" t="str">
        <f t="shared" si="28"/>
        <v>×</v>
      </c>
      <c r="R319" s="231" t="str">
        <f t="shared" si="33"/>
        <v>×</v>
      </c>
      <c r="S319" s="232" t="str">
        <f t="shared" si="34"/>
        <v/>
      </c>
    </row>
    <row r="320" spans="2:19">
      <c r="B320" s="68"/>
      <c r="C320" s="57"/>
      <c r="D320" s="259" t="str">
        <f t="shared" si="29"/>
        <v/>
      </c>
      <c r="E320" s="260" t="str">
        <f t="shared" si="30"/>
        <v/>
      </c>
      <c r="F320" s="271" t="str">
        <f>IF(G320="","",VLOOKUP(G320,プルダウン用リスト!$K$1:$M$16,2,FALSE))</f>
        <v/>
      </c>
      <c r="G320" s="70"/>
      <c r="H320" s="58"/>
      <c r="I320" s="70"/>
      <c r="J320" s="135"/>
      <c r="K320" s="136"/>
      <c r="L320" s="71"/>
      <c r="M320" s="72"/>
      <c r="N320" s="72"/>
      <c r="O320" s="264" t="str">
        <f t="shared" si="31"/>
        <v/>
      </c>
      <c r="P320" s="230">
        <f t="shared" si="32"/>
        <v>0</v>
      </c>
      <c r="Q320" s="231" t="str">
        <f t="shared" si="28"/>
        <v>×</v>
      </c>
      <c r="R320" s="231" t="str">
        <f t="shared" si="33"/>
        <v>×</v>
      </c>
      <c r="S320" s="232" t="str">
        <f t="shared" si="34"/>
        <v/>
      </c>
    </row>
    <row r="321" spans="2:19">
      <c r="B321" s="68"/>
      <c r="C321" s="57"/>
      <c r="D321" s="259" t="str">
        <f t="shared" si="29"/>
        <v/>
      </c>
      <c r="E321" s="260" t="str">
        <f t="shared" si="30"/>
        <v/>
      </c>
      <c r="F321" s="271" t="str">
        <f>IF(G321="","",VLOOKUP(G321,プルダウン用リスト!$K$1:$M$16,2,FALSE))</f>
        <v/>
      </c>
      <c r="G321" s="70"/>
      <c r="H321" s="70"/>
      <c r="I321" s="70"/>
      <c r="J321" s="135"/>
      <c r="K321" s="136"/>
      <c r="L321" s="71"/>
      <c r="M321" s="72"/>
      <c r="N321" s="72"/>
      <c r="O321" s="264" t="str">
        <f t="shared" si="31"/>
        <v/>
      </c>
      <c r="P321" s="230">
        <f t="shared" si="32"/>
        <v>0</v>
      </c>
      <c r="Q321" s="231" t="str">
        <f t="shared" si="28"/>
        <v>×</v>
      </c>
      <c r="R321" s="231" t="str">
        <f t="shared" si="33"/>
        <v>×</v>
      </c>
      <c r="S321" s="232" t="str">
        <f t="shared" si="34"/>
        <v/>
      </c>
    </row>
    <row r="322" spans="2:19">
      <c r="B322" s="68"/>
      <c r="C322" s="57"/>
      <c r="D322" s="259" t="str">
        <f t="shared" si="29"/>
        <v/>
      </c>
      <c r="E322" s="260" t="str">
        <f t="shared" si="30"/>
        <v/>
      </c>
      <c r="F322" s="271" t="str">
        <f>IF(G322="","",VLOOKUP(G322,プルダウン用リスト!$K$1:$M$16,2,FALSE))</f>
        <v/>
      </c>
      <c r="G322" s="70"/>
      <c r="H322" s="58"/>
      <c r="I322" s="70"/>
      <c r="J322" s="135"/>
      <c r="K322" s="136"/>
      <c r="L322" s="71"/>
      <c r="M322" s="72"/>
      <c r="N322" s="72"/>
      <c r="O322" s="264" t="str">
        <f t="shared" si="31"/>
        <v/>
      </c>
      <c r="P322" s="230">
        <f t="shared" si="32"/>
        <v>0</v>
      </c>
      <c r="Q322" s="231" t="str">
        <f t="shared" si="28"/>
        <v>×</v>
      </c>
      <c r="R322" s="231" t="str">
        <f t="shared" si="33"/>
        <v>×</v>
      </c>
      <c r="S322" s="232" t="str">
        <f t="shared" si="34"/>
        <v/>
      </c>
    </row>
    <row r="323" spans="2:19">
      <c r="B323" s="68"/>
      <c r="C323" s="57"/>
      <c r="D323" s="259" t="str">
        <f t="shared" si="29"/>
        <v/>
      </c>
      <c r="E323" s="260" t="str">
        <f t="shared" si="30"/>
        <v/>
      </c>
      <c r="F323" s="271" t="str">
        <f>IF(G323="","",VLOOKUP(G323,プルダウン用リスト!$K$1:$M$16,2,FALSE))</f>
        <v/>
      </c>
      <c r="G323" s="70"/>
      <c r="H323" s="58"/>
      <c r="I323" s="70"/>
      <c r="J323" s="135"/>
      <c r="K323" s="136"/>
      <c r="L323" s="71"/>
      <c r="M323" s="72"/>
      <c r="N323" s="72"/>
      <c r="O323" s="264" t="str">
        <f t="shared" si="31"/>
        <v/>
      </c>
      <c r="P323" s="230">
        <f t="shared" si="32"/>
        <v>0</v>
      </c>
      <c r="Q323" s="231" t="str">
        <f t="shared" si="28"/>
        <v>×</v>
      </c>
      <c r="R323" s="231" t="str">
        <f t="shared" si="33"/>
        <v>×</v>
      </c>
      <c r="S323" s="232" t="str">
        <f t="shared" si="34"/>
        <v/>
      </c>
    </row>
    <row r="324" spans="2:19">
      <c r="B324" s="68"/>
      <c r="C324" s="57"/>
      <c r="D324" s="259" t="str">
        <f t="shared" si="29"/>
        <v/>
      </c>
      <c r="E324" s="260" t="str">
        <f t="shared" si="30"/>
        <v/>
      </c>
      <c r="F324" s="271" t="str">
        <f>IF(G324="","",VLOOKUP(G324,プルダウン用リスト!$K$1:$M$16,2,FALSE))</f>
        <v/>
      </c>
      <c r="G324" s="70"/>
      <c r="H324" s="70"/>
      <c r="I324" s="70"/>
      <c r="J324" s="135"/>
      <c r="K324" s="136"/>
      <c r="L324" s="71"/>
      <c r="M324" s="72"/>
      <c r="N324" s="72"/>
      <c r="O324" s="264" t="str">
        <f t="shared" si="31"/>
        <v/>
      </c>
      <c r="P324" s="230">
        <f t="shared" si="32"/>
        <v>0</v>
      </c>
      <c r="Q324" s="231" t="str">
        <f t="shared" si="28"/>
        <v>×</v>
      </c>
      <c r="R324" s="231" t="str">
        <f t="shared" si="33"/>
        <v>×</v>
      </c>
      <c r="S324" s="232" t="str">
        <f t="shared" si="34"/>
        <v/>
      </c>
    </row>
    <row r="325" spans="2:19">
      <c r="B325" s="68"/>
      <c r="C325" s="57"/>
      <c r="D325" s="259" t="str">
        <f t="shared" si="29"/>
        <v/>
      </c>
      <c r="E325" s="260" t="str">
        <f t="shared" si="30"/>
        <v/>
      </c>
      <c r="F325" s="271" t="str">
        <f>IF(G325="","",VLOOKUP(G325,プルダウン用リスト!$K$1:$M$16,2,FALSE))</f>
        <v/>
      </c>
      <c r="G325" s="70"/>
      <c r="H325" s="58"/>
      <c r="I325" s="70"/>
      <c r="J325" s="135"/>
      <c r="K325" s="136"/>
      <c r="L325" s="71"/>
      <c r="M325" s="72"/>
      <c r="N325" s="72"/>
      <c r="O325" s="264" t="str">
        <f t="shared" si="31"/>
        <v/>
      </c>
      <c r="P325" s="230">
        <f t="shared" si="32"/>
        <v>0</v>
      </c>
      <c r="Q325" s="231" t="str">
        <f t="shared" si="28"/>
        <v>×</v>
      </c>
      <c r="R325" s="231" t="str">
        <f t="shared" si="33"/>
        <v>×</v>
      </c>
      <c r="S325" s="232" t="str">
        <f t="shared" si="34"/>
        <v/>
      </c>
    </row>
    <row r="326" spans="2:19">
      <c r="B326" s="68"/>
      <c r="C326" s="57"/>
      <c r="D326" s="259" t="str">
        <f t="shared" si="29"/>
        <v/>
      </c>
      <c r="E326" s="260" t="str">
        <f t="shared" si="30"/>
        <v/>
      </c>
      <c r="F326" s="271" t="str">
        <f>IF(G326="","",VLOOKUP(G326,プルダウン用リスト!$K$1:$M$16,2,FALSE))</f>
        <v/>
      </c>
      <c r="G326" s="70"/>
      <c r="H326" s="58"/>
      <c r="I326" s="70"/>
      <c r="J326" s="135"/>
      <c r="K326" s="136"/>
      <c r="L326" s="71"/>
      <c r="M326" s="72"/>
      <c r="N326" s="72"/>
      <c r="O326" s="264" t="str">
        <f t="shared" si="31"/>
        <v/>
      </c>
      <c r="P326" s="230">
        <f t="shared" si="32"/>
        <v>0</v>
      </c>
      <c r="Q326" s="231" t="str">
        <f t="shared" ref="Q326:Q389" si="35">IF(G326="旅費","〇","×")</f>
        <v>×</v>
      </c>
      <c r="R326" s="231" t="str">
        <f t="shared" si="33"/>
        <v>×</v>
      </c>
      <c r="S326" s="232" t="str">
        <f t="shared" si="34"/>
        <v/>
      </c>
    </row>
    <row r="327" spans="2:19">
      <c r="B327" s="68"/>
      <c r="C327" s="57"/>
      <c r="D327" s="259" t="str">
        <f t="shared" ref="D327:D390" si="36">IF(E327="","",IF(E327="謝金","01.",IF(E327="旅費","02.",IF(E327="その他","04.","03."))))</f>
        <v/>
      </c>
      <c r="E327" s="260" t="str">
        <f t="shared" ref="E327:E390" si="37">IF(G327="","",IF(OR(G327="謝金（内部）",G327="謝金（外部）"),"謝金",IF(G327="旅費","旅費",IF(G327="対象外経費","その他","所費"))))</f>
        <v/>
      </c>
      <c r="F327" s="271" t="str">
        <f>IF(G327="","",VLOOKUP(G327,プルダウン用リスト!$K$1:$M$16,2,FALSE))</f>
        <v/>
      </c>
      <c r="G327" s="70"/>
      <c r="H327" s="70"/>
      <c r="I327" s="70"/>
      <c r="J327" s="135"/>
      <c r="K327" s="136"/>
      <c r="L327" s="71"/>
      <c r="M327" s="72"/>
      <c r="N327" s="72"/>
      <c r="O327" s="264" t="str">
        <f t="shared" ref="O327:O390" si="38">IF(G327="対象外経費",M327,IF(N327="","",M327-N327))</f>
        <v/>
      </c>
      <c r="P327" s="230">
        <f t="shared" si="32"/>
        <v>0</v>
      </c>
      <c r="Q327" s="231" t="str">
        <f t="shared" si="35"/>
        <v>×</v>
      </c>
      <c r="R327" s="231" t="str">
        <f t="shared" si="33"/>
        <v>×</v>
      </c>
      <c r="S327" s="232" t="str">
        <f t="shared" si="34"/>
        <v/>
      </c>
    </row>
    <row r="328" spans="2:19">
      <c r="B328" s="68"/>
      <c r="C328" s="57"/>
      <c r="D328" s="259" t="str">
        <f t="shared" si="36"/>
        <v/>
      </c>
      <c r="E328" s="260" t="str">
        <f t="shared" si="37"/>
        <v/>
      </c>
      <c r="F328" s="271" t="str">
        <f>IF(G328="","",VLOOKUP(G328,プルダウン用リスト!$K$1:$M$16,2,FALSE))</f>
        <v/>
      </c>
      <c r="G328" s="70"/>
      <c r="H328" s="58"/>
      <c r="I328" s="70"/>
      <c r="J328" s="135"/>
      <c r="K328" s="136"/>
      <c r="L328" s="71"/>
      <c r="M328" s="72"/>
      <c r="N328" s="72"/>
      <c r="O328" s="264" t="str">
        <f t="shared" si="38"/>
        <v/>
      </c>
      <c r="P328" s="230">
        <f t="shared" ref="P328:P391" si="39">COUNTA(B328,C328,G328,H328,I328,L328,M328,J328,K328,N328)</f>
        <v>0</v>
      </c>
      <c r="Q328" s="231" t="str">
        <f t="shared" si="35"/>
        <v>×</v>
      </c>
      <c r="R328" s="231" t="str">
        <f t="shared" si="33"/>
        <v>×</v>
      </c>
      <c r="S328" s="232" t="str">
        <f t="shared" si="34"/>
        <v/>
      </c>
    </row>
    <row r="329" spans="2:19">
      <c r="B329" s="68"/>
      <c r="C329" s="57"/>
      <c r="D329" s="259" t="str">
        <f t="shared" si="36"/>
        <v/>
      </c>
      <c r="E329" s="260" t="str">
        <f t="shared" si="37"/>
        <v/>
      </c>
      <c r="F329" s="271" t="str">
        <f>IF(G329="","",VLOOKUP(G329,プルダウン用リスト!$K$1:$M$16,2,FALSE))</f>
        <v/>
      </c>
      <c r="G329" s="70"/>
      <c r="H329" s="58"/>
      <c r="I329" s="70"/>
      <c r="J329" s="135"/>
      <c r="K329" s="136"/>
      <c r="L329" s="71"/>
      <c r="M329" s="72"/>
      <c r="N329" s="72"/>
      <c r="O329" s="264" t="str">
        <f t="shared" si="38"/>
        <v/>
      </c>
      <c r="P329" s="230">
        <f t="shared" si="39"/>
        <v>0</v>
      </c>
      <c r="Q329" s="231" t="str">
        <f t="shared" si="35"/>
        <v>×</v>
      </c>
      <c r="R329" s="231" t="str">
        <f t="shared" ref="R329:R392" si="40">IF(E329="謝金","〇","×")</f>
        <v>×</v>
      </c>
      <c r="S329" s="232" t="str">
        <f t="shared" ref="S329:S392" si="41">_xlfn.IFS(P329=0,"",AND(G329="対象外経費",P329=7),"OK",P329&lt;=7,"ピンク色のセルを全て入力してください",P329=9,"OK",Q329="〇","ピンク色のセルを全て入力してください",R329="〇","ピンク色のセルを全て入力してください",P329=8,"OK")</f>
        <v/>
      </c>
    </row>
    <row r="330" spans="2:19">
      <c r="B330" s="68"/>
      <c r="C330" s="69"/>
      <c r="D330" s="259" t="str">
        <f t="shared" si="36"/>
        <v/>
      </c>
      <c r="E330" s="260" t="str">
        <f t="shared" si="37"/>
        <v/>
      </c>
      <c r="F330" s="271" t="str">
        <f>IF(G330="","",VLOOKUP(G330,プルダウン用リスト!$K$1:$M$16,2,FALSE))</f>
        <v/>
      </c>
      <c r="G330" s="70"/>
      <c r="H330" s="70"/>
      <c r="I330" s="70"/>
      <c r="J330" s="135"/>
      <c r="K330" s="136"/>
      <c r="L330" s="71"/>
      <c r="M330" s="72"/>
      <c r="N330" s="72"/>
      <c r="O330" s="264" t="str">
        <f t="shared" si="38"/>
        <v/>
      </c>
      <c r="P330" s="230">
        <f t="shared" si="39"/>
        <v>0</v>
      </c>
      <c r="Q330" s="231" t="str">
        <f t="shared" si="35"/>
        <v>×</v>
      </c>
      <c r="R330" s="231" t="str">
        <f t="shared" si="40"/>
        <v>×</v>
      </c>
      <c r="S330" s="232" t="str">
        <f t="shared" si="41"/>
        <v/>
      </c>
    </row>
    <row r="331" spans="2:19">
      <c r="B331" s="68"/>
      <c r="C331" s="57"/>
      <c r="D331" s="259" t="str">
        <f t="shared" si="36"/>
        <v/>
      </c>
      <c r="E331" s="260" t="str">
        <f t="shared" si="37"/>
        <v/>
      </c>
      <c r="F331" s="271" t="str">
        <f>IF(G331="","",VLOOKUP(G331,プルダウン用リスト!$K$1:$M$16,2,FALSE))</f>
        <v/>
      </c>
      <c r="G331" s="70"/>
      <c r="H331" s="58"/>
      <c r="I331" s="70"/>
      <c r="J331" s="135"/>
      <c r="K331" s="136"/>
      <c r="L331" s="71"/>
      <c r="M331" s="72"/>
      <c r="N331" s="72"/>
      <c r="O331" s="264" t="str">
        <f t="shared" si="38"/>
        <v/>
      </c>
      <c r="P331" s="230">
        <f t="shared" si="39"/>
        <v>0</v>
      </c>
      <c r="Q331" s="231" t="str">
        <f t="shared" si="35"/>
        <v>×</v>
      </c>
      <c r="R331" s="231" t="str">
        <f t="shared" si="40"/>
        <v>×</v>
      </c>
      <c r="S331" s="232" t="str">
        <f t="shared" si="41"/>
        <v/>
      </c>
    </row>
    <row r="332" spans="2:19">
      <c r="B332" s="68"/>
      <c r="C332" s="57"/>
      <c r="D332" s="259" t="str">
        <f t="shared" si="36"/>
        <v/>
      </c>
      <c r="E332" s="260" t="str">
        <f t="shared" si="37"/>
        <v/>
      </c>
      <c r="F332" s="271" t="str">
        <f>IF(G332="","",VLOOKUP(G332,プルダウン用リスト!$K$1:$M$16,2,FALSE))</f>
        <v/>
      </c>
      <c r="G332" s="70"/>
      <c r="H332" s="58"/>
      <c r="I332" s="70"/>
      <c r="J332" s="135"/>
      <c r="K332" s="136"/>
      <c r="L332" s="71"/>
      <c r="M332" s="72"/>
      <c r="N332" s="72"/>
      <c r="O332" s="264" t="str">
        <f t="shared" si="38"/>
        <v/>
      </c>
      <c r="P332" s="230">
        <f t="shared" si="39"/>
        <v>0</v>
      </c>
      <c r="Q332" s="231" t="str">
        <f t="shared" si="35"/>
        <v>×</v>
      </c>
      <c r="R332" s="231" t="str">
        <f t="shared" si="40"/>
        <v>×</v>
      </c>
      <c r="S332" s="232" t="str">
        <f t="shared" si="41"/>
        <v/>
      </c>
    </row>
    <row r="333" spans="2:19">
      <c r="B333" s="68"/>
      <c r="C333" s="57"/>
      <c r="D333" s="259" t="str">
        <f t="shared" si="36"/>
        <v/>
      </c>
      <c r="E333" s="260" t="str">
        <f t="shared" si="37"/>
        <v/>
      </c>
      <c r="F333" s="271" t="str">
        <f>IF(G333="","",VLOOKUP(G333,プルダウン用リスト!$K$1:$M$16,2,FALSE))</f>
        <v/>
      </c>
      <c r="G333" s="70"/>
      <c r="H333" s="70"/>
      <c r="I333" s="70"/>
      <c r="J333" s="135"/>
      <c r="K333" s="136"/>
      <c r="L333" s="71"/>
      <c r="M333" s="72"/>
      <c r="N333" s="72"/>
      <c r="O333" s="264" t="str">
        <f t="shared" si="38"/>
        <v/>
      </c>
      <c r="P333" s="230">
        <f t="shared" si="39"/>
        <v>0</v>
      </c>
      <c r="Q333" s="231" t="str">
        <f t="shared" si="35"/>
        <v>×</v>
      </c>
      <c r="R333" s="231" t="str">
        <f t="shared" si="40"/>
        <v>×</v>
      </c>
      <c r="S333" s="232" t="str">
        <f t="shared" si="41"/>
        <v/>
      </c>
    </row>
    <row r="334" spans="2:19">
      <c r="B334" s="68"/>
      <c r="C334" s="57"/>
      <c r="D334" s="259" t="str">
        <f t="shared" si="36"/>
        <v/>
      </c>
      <c r="E334" s="260" t="str">
        <f t="shared" si="37"/>
        <v/>
      </c>
      <c r="F334" s="271" t="str">
        <f>IF(G334="","",VLOOKUP(G334,プルダウン用リスト!$K$1:$M$16,2,FALSE))</f>
        <v/>
      </c>
      <c r="G334" s="70"/>
      <c r="H334" s="58"/>
      <c r="I334" s="70"/>
      <c r="J334" s="135"/>
      <c r="K334" s="136"/>
      <c r="L334" s="71"/>
      <c r="M334" s="72"/>
      <c r="N334" s="72"/>
      <c r="O334" s="264" t="str">
        <f t="shared" si="38"/>
        <v/>
      </c>
      <c r="P334" s="230">
        <f t="shared" si="39"/>
        <v>0</v>
      </c>
      <c r="Q334" s="231" t="str">
        <f t="shared" si="35"/>
        <v>×</v>
      </c>
      <c r="R334" s="231" t="str">
        <f t="shared" si="40"/>
        <v>×</v>
      </c>
      <c r="S334" s="232" t="str">
        <f t="shared" si="41"/>
        <v/>
      </c>
    </row>
    <row r="335" spans="2:19">
      <c r="B335" s="68"/>
      <c r="C335" s="57"/>
      <c r="D335" s="259" t="str">
        <f t="shared" si="36"/>
        <v/>
      </c>
      <c r="E335" s="260" t="str">
        <f t="shared" si="37"/>
        <v/>
      </c>
      <c r="F335" s="271" t="str">
        <f>IF(G335="","",VLOOKUP(G335,プルダウン用リスト!$K$1:$M$16,2,FALSE))</f>
        <v/>
      </c>
      <c r="G335" s="70"/>
      <c r="H335" s="58"/>
      <c r="I335" s="70"/>
      <c r="J335" s="135"/>
      <c r="K335" s="136"/>
      <c r="L335" s="71"/>
      <c r="M335" s="72"/>
      <c r="N335" s="72"/>
      <c r="O335" s="264" t="str">
        <f t="shared" si="38"/>
        <v/>
      </c>
      <c r="P335" s="230">
        <f t="shared" si="39"/>
        <v>0</v>
      </c>
      <c r="Q335" s="231" t="str">
        <f t="shared" si="35"/>
        <v>×</v>
      </c>
      <c r="R335" s="231" t="str">
        <f t="shared" si="40"/>
        <v>×</v>
      </c>
      <c r="S335" s="232" t="str">
        <f t="shared" si="41"/>
        <v/>
      </c>
    </row>
    <row r="336" spans="2:19">
      <c r="B336" s="68"/>
      <c r="C336" s="57"/>
      <c r="D336" s="259" t="str">
        <f t="shared" si="36"/>
        <v/>
      </c>
      <c r="E336" s="260" t="str">
        <f t="shared" si="37"/>
        <v/>
      </c>
      <c r="F336" s="271" t="str">
        <f>IF(G336="","",VLOOKUP(G336,プルダウン用リスト!$K$1:$M$16,2,FALSE))</f>
        <v/>
      </c>
      <c r="G336" s="70"/>
      <c r="H336" s="70"/>
      <c r="I336" s="70"/>
      <c r="J336" s="135"/>
      <c r="K336" s="136"/>
      <c r="L336" s="71"/>
      <c r="M336" s="72"/>
      <c r="N336" s="72"/>
      <c r="O336" s="264" t="str">
        <f t="shared" si="38"/>
        <v/>
      </c>
      <c r="P336" s="230">
        <f t="shared" si="39"/>
        <v>0</v>
      </c>
      <c r="Q336" s="231" t="str">
        <f t="shared" si="35"/>
        <v>×</v>
      </c>
      <c r="R336" s="231" t="str">
        <f t="shared" si="40"/>
        <v>×</v>
      </c>
      <c r="S336" s="232" t="str">
        <f t="shared" si="41"/>
        <v/>
      </c>
    </row>
    <row r="337" spans="2:19">
      <c r="B337" s="68"/>
      <c r="C337" s="57"/>
      <c r="D337" s="259" t="str">
        <f t="shared" si="36"/>
        <v/>
      </c>
      <c r="E337" s="260" t="str">
        <f t="shared" si="37"/>
        <v/>
      </c>
      <c r="F337" s="271" t="str">
        <f>IF(G337="","",VLOOKUP(G337,プルダウン用リスト!$K$1:$M$16,2,FALSE))</f>
        <v/>
      </c>
      <c r="G337" s="70"/>
      <c r="H337" s="58"/>
      <c r="I337" s="70"/>
      <c r="J337" s="135"/>
      <c r="K337" s="136"/>
      <c r="L337" s="71"/>
      <c r="M337" s="72"/>
      <c r="N337" s="72"/>
      <c r="O337" s="264" t="str">
        <f t="shared" si="38"/>
        <v/>
      </c>
      <c r="P337" s="230">
        <f t="shared" si="39"/>
        <v>0</v>
      </c>
      <c r="Q337" s="231" t="str">
        <f t="shared" si="35"/>
        <v>×</v>
      </c>
      <c r="R337" s="231" t="str">
        <f t="shared" si="40"/>
        <v>×</v>
      </c>
      <c r="S337" s="232" t="str">
        <f t="shared" si="41"/>
        <v/>
      </c>
    </row>
    <row r="338" spans="2:19">
      <c r="B338" s="68"/>
      <c r="C338" s="57"/>
      <c r="D338" s="259" t="str">
        <f t="shared" si="36"/>
        <v/>
      </c>
      <c r="E338" s="260" t="str">
        <f t="shared" si="37"/>
        <v/>
      </c>
      <c r="F338" s="271" t="str">
        <f>IF(G338="","",VLOOKUP(G338,プルダウン用リスト!$K$1:$M$16,2,FALSE))</f>
        <v/>
      </c>
      <c r="G338" s="70"/>
      <c r="H338" s="58"/>
      <c r="I338" s="70"/>
      <c r="J338" s="135"/>
      <c r="K338" s="136"/>
      <c r="L338" s="71"/>
      <c r="M338" s="72"/>
      <c r="N338" s="72"/>
      <c r="O338" s="264" t="str">
        <f t="shared" si="38"/>
        <v/>
      </c>
      <c r="P338" s="230">
        <f t="shared" si="39"/>
        <v>0</v>
      </c>
      <c r="Q338" s="231" t="str">
        <f t="shared" si="35"/>
        <v>×</v>
      </c>
      <c r="R338" s="231" t="str">
        <f t="shared" si="40"/>
        <v>×</v>
      </c>
      <c r="S338" s="232" t="str">
        <f t="shared" si="41"/>
        <v/>
      </c>
    </row>
    <row r="339" spans="2:19">
      <c r="B339" s="68"/>
      <c r="C339" s="57"/>
      <c r="D339" s="259" t="str">
        <f t="shared" si="36"/>
        <v/>
      </c>
      <c r="E339" s="260" t="str">
        <f t="shared" si="37"/>
        <v/>
      </c>
      <c r="F339" s="271" t="str">
        <f>IF(G339="","",VLOOKUP(G339,プルダウン用リスト!$K$1:$M$16,2,FALSE))</f>
        <v/>
      </c>
      <c r="G339" s="70"/>
      <c r="H339" s="70"/>
      <c r="I339" s="70"/>
      <c r="J339" s="135"/>
      <c r="K339" s="136"/>
      <c r="L339" s="71"/>
      <c r="M339" s="72"/>
      <c r="N339" s="72"/>
      <c r="O339" s="264" t="str">
        <f t="shared" si="38"/>
        <v/>
      </c>
      <c r="P339" s="230">
        <f t="shared" si="39"/>
        <v>0</v>
      </c>
      <c r="Q339" s="231" t="str">
        <f t="shared" si="35"/>
        <v>×</v>
      </c>
      <c r="R339" s="231" t="str">
        <f t="shared" si="40"/>
        <v>×</v>
      </c>
      <c r="S339" s="232" t="str">
        <f t="shared" si="41"/>
        <v/>
      </c>
    </row>
    <row r="340" spans="2:19">
      <c r="B340" s="68"/>
      <c r="C340" s="57"/>
      <c r="D340" s="259" t="str">
        <f t="shared" si="36"/>
        <v/>
      </c>
      <c r="E340" s="260" t="str">
        <f t="shared" si="37"/>
        <v/>
      </c>
      <c r="F340" s="271" t="str">
        <f>IF(G340="","",VLOOKUP(G340,プルダウン用リスト!$K$1:$M$16,2,FALSE))</f>
        <v/>
      </c>
      <c r="G340" s="70"/>
      <c r="H340" s="58"/>
      <c r="I340" s="70"/>
      <c r="J340" s="135"/>
      <c r="K340" s="136"/>
      <c r="L340" s="71"/>
      <c r="M340" s="72"/>
      <c r="N340" s="72"/>
      <c r="O340" s="264" t="str">
        <f t="shared" si="38"/>
        <v/>
      </c>
      <c r="P340" s="230">
        <f t="shared" si="39"/>
        <v>0</v>
      </c>
      <c r="Q340" s="231" t="str">
        <f t="shared" si="35"/>
        <v>×</v>
      </c>
      <c r="R340" s="231" t="str">
        <f t="shared" si="40"/>
        <v>×</v>
      </c>
      <c r="S340" s="232" t="str">
        <f t="shared" si="41"/>
        <v/>
      </c>
    </row>
    <row r="341" spans="2:19">
      <c r="B341" s="68"/>
      <c r="C341" s="57"/>
      <c r="D341" s="259" t="str">
        <f t="shared" si="36"/>
        <v/>
      </c>
      <c r="E341" s="260" t="str">
        <f t="shared" si="37"/>
        <v/>
      </c>
      <c r="F341" s="271" t="str">
        <f>IF(G341="","",VLOOKUP(G341,プルダウン用リスト!$K$1:$M$16,2,FALSE))</f>
        <v/>
      </c>
      <c r="G341" s="70"/>
      <c r="H341" s="58"/>
      <c r="I341" s="70"/>
      <c r="J341" s="135"/>
      <c r="K341" s="136"/>
      <c r="L341" s="71"/>
      <c r="M341" s="72"/>
      <c r="N341" s="72"/>
      <c r="O341" s="264" t="str">
        <f t="shared" si="38"/>
        <v/>
      </c>
      <c r="P341" s="230">
        <f t="shared" si="39"/>
        <v>0</v>
      </c>
      <c r="Q341" s="231" t="str">
        <f t="shared" si="35"/>
        <v>×</v>
      </c>
      <c r="R341" s="231" t="str">
        <f t="shared" si="40"/>
        <v>×</v>
      </c>
      <c r="S341" s="232" t="str">
        <f t="shared" si="41"/>
        <v/>
      </c>
    </row>
    <row r="342" spans="2:19">
      <c r="B342" s="68"/>
      <c r="C342" s="69"/>
      <c r="D342" s="259" t="str">
        <f t="shared" si="36"/>
        <v/>
      </c>
      <c r="E342" s="260" t="str">
        <f t="shared" si="37"/>
        <v/>
      </c>
      <c r="F342" s="271" t="str">
        <f>IF(G342="","",VLOOKUP(G342,プルダウン用リスト!$K$1:$M$16,2,FALSE))</f>
        <v/>
      </c>
      <c r="G342" s="70"/>
      <c r="H342" s="70"/>
      <c r="I342" s="70"/>
      <c r="J342" s="135"/>
      <c r="K342" s="136"/>
      <c r="L342" s="71"/>
      <c r="M342" s="72"/>
      <c r="N342" s="72"/>
      <c r="O342" s="264" t="str">
        <f t="shared" si="38"/>
        <v/>
      </c>
      <c r="P342" s="230">
        <f t="shared" si="39"/>
        <v>0</v>
      </c>
      <c r="Q342" s="231" t="str">
        <f t="shared" si="35"/>
        <v>×</v>
      </c>
      <c r="R342" s="231" t="str">
        <f t="shared" si="40"/>
        <v>×</v>
      </c>
      <c r="S342" s="232" t="str">
        <f t="shared" si="41"/>
        <v/>
      </c>
    </row>
    <row r="343" spans="2:19">
      <c r="B343" s="68"/>
      <c r="C343" s="57"/>
      <c r="D343" s="259" t="str">
        <f t="shared" si="36"/>
        <v/>
      </c>
      <c r="E343" s="260" t="str">
        <f t="shared" si="37"/>
        <v/>
      </c>
      <c r="F343" s="271" t="str">
        <f>IF(G343="","",VLOOKUP(G343,プルダウン用リスト!$K$1:$M$16,2,FALSE))</f>
        <v/>
      </c>
      <c r="G343" s="70"/>
      <c r="H343" s="58"/>
      <c r="I343" s="70"/>
      <c r="J343" s="135"/>
      <c r="K343" s="136"/>
      <c r="L343" s="71"/>
      <c r="M343" s="72"/>
      <c r="N343" s="72"/>
      <c r="O343" s="264" t="str">
        <f t="shared" si="38"/>
        <v/>
      </c>
      <c r="P343" s="230">
        <f t="shared" si="39"/>
        <v>0</v>
      </c>
      <c r="Q343" s="231" t="str">
        <f t="shared" si="35"/>
        <v>×</v>
      </c>
      <c r="R343" s="231" t="str">
        <f t="shared" si="40"/>
        <v>×</v>
      </c>
      <c r="S343" s="232" t="str">
        <f t="shared" si="41"/>
        <v/>
      </c>
    </row>
    <row r="344" spans="2:19">
      <c r="B344" s="68"/>
      <c r="C344" s="57"/>
      <c r="D344" s="259" t="str">
        <f t="shared" si="36"/>
        <v/>
      </c>
      <c r="E344" s="260" t="str">
        <f t="shared" si="37"/>
        <v/>
      </c>
      <c r="F344" s="271" t="str">
        <f>IF(G344="","",VLOOKUP(G344,プルダウン用リスト!$K$1:$M$16,2,FALSE))</f>
        <v/>
      </c>
      <c r="G344" s="70"/>
      <c r="H344" s="58"/>
      <c r="I344" s="70"/>
      <c r="J344" s="135"/>
      <c r="K344" s="136"/>
      <c r="L344" s="71"/>
      <c r="M344" s="72"/>
      <c r="N344" s="72"/>
      <c r="O344" s="264" t="str">
        <f t="shared" si="38"/>
        <v/>
      </c>
      <c r="P344" s="230">
        <f t="shared" si="39"/>
        <v>0</v>
      </c>
      <c r="Q344" s="231" t="str">
        <f t="shared" si="35"/>
        <v>×</v>
      </c>
      <c r="R344" s="231" t="str">
        <f t="shared" si="40"/>
        <v>×</v>
      </c>
      <c r="S344" s="232" t="str">
        <f t="shared" si="41"/>
        <v/>
      </c>
    </row>
    <row r="345" spans="2:19">
      <c r="B345" s="68"/>
      <c r="C345" s="57"/>
      <c r="D345" s="259" t="str">
        <f t="shared" si="36"/>
        <v/>
      </c>
      <c r="E345" s="260" t="str">
        <f t="shared" si="37"/>
        <v/>
      </c>
      <c r="F345" s="271" t="str">
        <f>IF(G345="","",VLOOKUP(G345,プルダウン用リスト!$K$1:$M$16,2,FALSE))</f>
        <v/>
      </c>
      <c r="G345" s="70"/>
      <c r="H345" s="70"/>
      <c r="I345" s="70"/>
      <c r="J345" s="135"/>
      <c r="K345" s="136"/>
      <c r="L345" s="71"/>
      <c r="M345" s="72"/>
      <c r="N345" s="72"/>
      <c r="O345" s="264" t="str">
        <f t="shared" si="38"/>
        <v/>
      </c>
      <c r="P345" s="230">
        <f t="shared" si="39"/>
        <v>0</v>
      </c>
      <c r="Q345" s="231" t="str">
        <f t="shared" si="35"/>
        <v>×</v>
      </c>
      <c r="R345" s="231" t="str">
        <f t="shared" si="40"/>
        <v>×</v>
      </c>
      <c r="S345" s="232" t="str">
        <f t="shared" si="41"/>
        <v/>
      </c>
    </row>
    <row r="346" spans="2:19">
      <c r="B346" s="68"/>
      <c r="C346" s="57"/>
      <c r="D346" s="259" t="str">
        <f t="shared" si="36"/>
        <v/>
      </c>
      <c r="E346" s="260" t="str">
        <f t="shared" si="37"/>
        <v/>
      </c>
      <c r="F346" s="271" t="str">
        <f>IF(G346="","",VLOOKUP(G346,プルダウン用リスト!$K$1:$M$16,2,FALSE))</f>
        <v/>
      </c>
      <c r="G346" s="70"/>
      <c r="H346" s="58"/>
      <c r="I346" s="70"/>
      <c r="J346" s="135"/>
      <c r="K346" s="136"/>
      <c r="L346" s="71"/>
      <c r="M346" s="72"/>
      <c r="N346" s="72"/>
      <c r="O346" s="264" t="str">
        <f t="shared" si="38"/>
        <v/>
      </c>
      <c r="P346" s="230">
        <f t="shared" si="39"/>
        <v>0</v>
      </c>
      <c r="Q346" s="231" t="str">
        <f t="shared" si="35"/>
        <v>×</v>
      </c>
      <c r="R346" s="231" t="str">
        <f t="shared" si="40"/>
        <v>×</v>
      </c>
      <c r="S346" s="232" t="str">
        <f t="shared" si="41"/>
        <v/>
      </c>
    </row>
    <row r="347" spans="2:19">
      <c r="B347" s="68"/>
      <c r="C347" s="57"/>
      <c r="D347" s="259" t="str">
        <f t="shared" si="36"/>
        <v/>
      </c>
      <c r="E347" s="260" t="str">
        <f t="shared" si="37"/>
        <v/>
      </c>
      <c r="F347" s="271" t="str">
        <f>IF(G347="","",VLOOKUP(G347,プルダウン用リスト!$K$1:$M$16,2,FALSE))</f>
        <v/>
      </c>
      <c r="G347" s="70"/>
      <c r="H347" s="58"/>
      <c r="I347" s="70"/>
      <c r="J347" s="135"/>
      <c r="K347" s="136"/>
      <c r="L347" s="71"/>
      <c r="M347" s="72"/>
      <c r="N347" s="72"/>
      <c r="O347" s="264" t="str">
        <f t="shared" si="38"/>
        <v/>
      </c>
      <c r="P347" s="230">
        <f t="shared" si="39"/>
        <v>0</v>
      </c>
      <c r="Q347" s="231" t="str">
        <f t="shared" si="35"/>
        <v>×</v>
      </c>
      <c r="R347" s="231" t="str">
        <f t="shared" si="40"/>
        <v>×</v>
      </c>
      <c r="S347" s="232" t="str">
        <f t="shared" si="41"/>
        <v/>
      </c>
    </row>
    <row r="348" spans="2:19">
      <c r="B348" s="68"/>
      <c r="C348" s="57"/>
      <c r="D348" s="259" t="str">
        <f t="shared" si="36"/>
        <v/>
      </c>
      <c r="E348" s="260" t="str">
        <f t="shared" si="37"/>
        <v/>
      </c>
      <c r="F348" s="271" t="str">
        <f>IF(G348="","",VLOOKUP(G348,プルダウン用リスト!$K$1:$M$16,2,FALSE))</f>
        <v/>
      </c>
      <c r="G348" s="70"/>
      <c r="H348" s="70"/>
      <c r="I348" s="70"/>
      <c r="J348" s="135"/>
      <c r="K348" s="136"/>
      <c r="L348" s="71"/>
      <c r="M348" s="72"/>
      <c r="N348" s="72"/>
      <c r="O348" s="264" t="str">
        <f t="shared" si="38"/>
        <v/>
      </c>
      <c r="P348" s="230">
        <f t="shared" si="39"/>
        <v>0</v>
      </c>
      <c r="Q348" s="231" t="str">
        <f t="shared" si="35"/>
        <v>×</v>
      </c>
      <c r="R348" s="231" t="str">
        <f t="shared" si="40"/>
        <v>×</v>
      </c>
      <c r="S348" s="232" t="str">
        <f t="shared" si="41"/>
        <v/>
      </c>
    </row>
    <row r="349" spans="2:19">
      <c r="B349" s="68"/>
      <c r="C349" s="57"/>
      <c r="D349" s="259" t="str">
        <f t="shared" si="36"/>
        <v/>
      </c>
      <c r="E349" s="260" t="str">
        <f t="shared" si="37"/>
        <v/>
      </c>
      <c r="F349" s="271" t="str">
        <f>IF(G349="","",VLOOKUP(G349,プルダウン用リスト!$K$1:$M$16,2,FALSE))</f>
        <v/>
      </c>
      <c r="G349" s="70"/>
      <c r="H349" s="58"/>
      <c r="I349" s="70"/>
      <c r="J349" s="135"/>
      <c r="K349" s="136"/>
      <c r="L349" s="71"/>
      <c r="M349" s="72"/>
      <c r="N349" s="72"/>
      <c r="O349" s="264" t="str">
        <f t="shared" si="38"/>
        <v/>
      </c>
      <c r="P349" s="230">
        <f t="shared" si="39"/>
        <v>0</v>
      </c>
      <c r="Q349" s="231" t="str">
        <f t="shared" si="35"/>
        <v>×</v>
      </c>
      <c r="R349" s="231" t="str">
        <f t="shared" si="40"/>
        <v>×</v>
      </c>
      <c r="S349" s="232" t="str">
        <f t="shared" si="41"/>
        <v/>
      </c>
    </row>
    <row r="350" spans="2:19">
      <c r="B350" s="68"/>
      <c r="C350" s="57"/>
      <c r="D350" s="259" t="str">
        <f t="shared" si="36"/>
        <v/>
      </c>
      <c r="E350" s="260" t="str">
        <f t="shared" si="37"/>
        <v/>
      </c>
      <c r="F350" s="271" t="str">
        <f>IF(G350="","",VLOOKUP(G350,プルダウン用リスト!$K$1:$M$16,2,FALSE))</f>
        <v/>
      </c>
      <c r="G350" s="70"/>
      <c r="H350" s="58"/>
      <c r="I350" s="70"/>
      <c r="J350" s="135"/>
      <c r="K350" s="136"/>
      <c r="L350" s="71"/>
      <c r="M350" s="72"/>
      <c r="N350" s="72"/>
      <c r="O350" s="264" t="str">
        <f t="shared" si="38"/>
        <v/>
      </c>
      <c r="P350" s="230">
        <f t="shared" si="39"/>
        <v>0</v>
      </c>
      <c r="Q350" s="231" t="str">
        <f t="shared" si="35"/>
        <v>×</v>
      </c>
      <c r="R350" s="231" t="str">
        <f t="shared" si="40"/>
        <v>×</v>
      </c>
      <c r="S350" s="232" t="str">
        <f t="shared" si="41"/>
        <v/>
      </c>
    </row>
    <row r="351" spans="2:19">
      <c r="B351" s="68"/>
      <c r="C351" s="57"/>
      <c r="D351" s="259" t="str">
        <f t="shared" si="36"/>
        <v/>
      </c>
      <c r="E351" s="260" t="str">
        <f t="shared" si="37"/>
        <v/>
      </c>
      <c r="F351" s="271" t="str">
        <f>IF(G351="","",VLOOKUP(G351,プルダウン用リスト!$K$1:$M$16,2,FALSE))</f>
        <v/>
      </c>
      <c r="G351" s="70"/>
      <c r="H351" s="70"/>
      <c r="I351" s="70"/>
      <c r="J351" s="135"/>
      <c r="K351" s="136"/>
      <c r="L351" s="71"/>
      <c r="M351" s="72"/>
      <c r="N351" s="72"/>
      <c r="O351" s="264" t="str">
        <f t="shared" si="38"/>
        <v/>
      </c>
      <c r="P351" s="230">
        <f t="shared" si="39"/>
        <v>0</v>
      </c>
      <c r="Q351" s="231" t="str">
        <f t="shared" si="35"/>
        <v>×</v>
      </c>
      <c r="R351" s="231" t="str">
        <f t="shared" si="40"/>
        <v>×</v>
      </c>
      <c r="S351" s="232" t="str">
        <f t="shared" si="41"/>
        <v/>
      </c>
    </row>
    <row r="352" spans="2:19">
      <c r="B352" s="68"/>
      <c r="C352" s="57"/>
      <c r="D352" s="259" t="str">
        <f t="shared" si="36"/>
        <v/>
      </c>
      <c r="E352" s="260" t="str">
        <f t="shared" si="37"/>
        <v/>
      </c>
      <c r="F352" s="271" t="str">
        <f>IF(G352="","",VLOOKUP(G352,プルダウン用リスト!$K$1:$M$16,2,FALSE))</f>
        <v/>
      </c>
      <c r="G352" s="70"/>
      <c r="H352" s="58"/>
      <c r="I352" s="70"/>
      <c r="J352" s="135"/>
      <c r="K352" s="136"/>
      <c r="L352" s="71"/>
      <c r="M352" s="72"/>
      <c r="N352" s="72"/>
      <c r="O352" s="264" t="str">
        <f t="shared" si="38"/>
        <v/>
      </c>
      <c r="P352" s="230">
        <f t="shared" si="39"/>
        <v>0</v>
      </c>
      <c r="Q352" s="231" t="str">
        <f t="shared" si="35"/>
        <v>×</v>
      </c>
      <c r="R352" s="231" t="str">
        <f t="shared" si="40"/>
        <v>×</v>
      </c>
      <c r="S352" s="232" t="str">
        <f t="shared" si="41"/>
        <v/>
      </c>
    </row>
    <row r="353" spans="2:19">
      <c r="B353" s="68"/>
      <c r="C353" s="57"/>
      <c r="D353" s="259" t="str">
        <f t="shared" si="36"/>
        <v/>
      </c>
      <c r="E353" s="260" t="str">
        <f t="shared" si="37"/>
        <v/>
      </c>
      <c r="F353" s="271" t="str">
        <f>IF(G353="","",VLOOKUP(G353,プルダウン用リスト!$K$1:$M$16,2,FALSE))</f>
        <v/>
      </c>
      <c r="G353" s="70"/>
      <c r="H353" s="58"/>
      <c r="I353" s="70"/>
      <c r="J353" s="135"/>
      <c r="K353" s="136"/>
      <c r="L353" s="71"/>
      <c r="M353" s="72"/>
      <c r="N353" s="72"/>
      <c r="O353" s="264" t="str">
        <f t="shared" si="38"/>
        <v/>
      </c>
      <c r="P353" s="230">
        <f t="shared" si="39"/>
        <v>0</v>
      </c>
      <c r="Q353" s="231" t="str">
        <f t="shared" si="35"/>
        <v>×</v>
      </c>
      <c r="R353" s="231" t="str">
        <f t="shared" si="40"/>
        <v>×</v>
      </c>
      <c r="S353" s="232" t="str">
        <f t="shared" si="41"/>
        <v/>
      </c>
    </row>
    <row r="354" spans="2:19">
      <c r="B354" s="68"/>
      <c r="C354" s="69"/>
      <c r="D354" s="259" t="str">
        <f t="shared" si="36"/>
        <v/>
      </c>
      <c r="E354" s="260" t="str">
        <f t="shared" si="37"/>
        <v/>
      </c>
      <c r="F354" s="271" t="str">
        <f>IF(G354="","",VLOOKUP(G354,プルダウン用リスト!$K$1:$M$16,2,FALSE))</f>
        <v/>
      </c>
      <c r="G354" s="70"/>
      <c r="H354" s="70"/>
      <c r="I354" s="70"/>
      <c r="J354" s="135"/>
      <c r="K354" s="136"/>
      <c r="L354" s="71"/>
      <c r="M354" s="72"/>
      <c r="N354" s="72"/>
      <c r="O354" s="264" t="str">
        <f t="shared" si="38"/>
        <v/>
      </c>
      <c r="P354" s="230">
        <f t="shared" si="39"/>
        <v>0</v>
      </c>
      <c r="Q354" s="231" t="str">
        <f t="shared" si="35"/>
        <v>×</v>
      </c>
      <c r="R354" s="231" t="str">
        <f t="shared" si="40"/>
        <v>×</v>
      </c>
      <c r="S354" s="232" t="str">
        <f t="shared" si="41"/>
        <v/>
      </c>
    </row>
    <row r="355" spans="2:19">
      <c r="B355" s="68"/>
      <c r="C355" s="57"/>
      <c r="D355" s="259" t="str">
        <f t="shared" si="36"/>
        <v/>
      </c>
      <c r="E355" s="260" t="str">
        <f t="shared" si="37"/>
        <v/>
      </c>
      <c r="F355" s="271" t="str">
        <f>IF(G355="","",VLOOKUP(G355,プルダウン用リスト!$K$1:$M$16,2,FALSE))</f>
        <v/>
      </c>
      <c r="G355" s="70"/>
      <c r="H355" s="58"/>
      <c r="I355" s="70"/>
      <c r="J355" s="135"/>
      <c r="K355" s="136"/>
      <c r="L355" s="71"/>
      <c r="M355" s="72"/>
      <c r="N355" s="72"/>
      <c r="O355" s="264" t="str">
        <f t="shared" si="38"/>
        <v/>
      </c>
      <c r="P355" s="230">
        <f t="shared" si="39"/>
        <v>0</v>
      </c>
      <c r="Q355" s="231" t="str">
        <f t="shared" si="35"/>
        <v>×</v>
      </c>
      <c r="R355" s="231" t="str">
        <f t="shared" si="40"/>
        <v>×</v>
      </c>
      <c r="S355" s="232" t="str">
        <f t="shared" si="41"/>
        <v/>
      </c>
    </row>
    <row r="356" spans="2:19">
      <c r="B356" s="68"/>
      <c r="C356" s="57"/>
      <c r="D356" s="259" t="str">
        <f t="shared" si="36"/>
        <v/>
      </c>
      <c r="E356" s="260" t="str">
        <f t="shared" si="37"/>
        <v/>
      </c>
      <c r="F356" s="271" t="str">
        <f>IF(G356="","",VLOOKUP(G356,プルダウン用リスト!$K$1:$M$16,2,FALSE))</f>
        <v/>
      </c>
      <c r="G356" s="70"/>
      <c r="H356" s="58"/>
      <c r="I356" s="70"/>
      <c r="J356" s="135"/>
      <c r="K356" s="136"/>
      <c r="L356" s="71"/>
      <c r="M356" s="72"/>
      <c r="N356" s="72"/>
      <c r="O356" s="264" t="str">
        <f t="shared" si="38"/>
        <v/>
      </c>
      <c r="P356" s="230">
        <f t="shared" si="39"/>
        <v>0</v>
      </c>
      <c r="Q356" s="231" t="str">
        <f t="shared" si="35"/>
        <v>×</v>
      </c>
      <c r="R356" s="231" t="str">
        <f t="shared" si="40"/>
        <v>×</v>
      </c>
      <c r="S356" s="232" t="str">
        <f t="shared" si="41"/>
        <v/>
      </c>
    </row>
    <row r="357" spans="2:19">
      <c r="B357" s="68"/>
      <c r="C357" s="57"/>
      <c r="D357" s="259" t="str">
        <f t="shared" si="36"/>
        <v/>
      </c>
      <c r="E357" s="260" t="str">
        <f t="shared" si="37"/>
        <v/>
      </c>
      <c r="F357" s="271" t="str">
        <f>IF(G357="","",VLOOKUP(G357,プルダウン用リスト!$K$1:$M$16,2,FALSE))</f>
        <v/>
      </c>
      <c r="G357" s="70"/>
      <c r="H357" s="70"/>
      <c r="I357" s="70"/>
      <c r="J357" s="135"/>
      <c r="K357" s="136"/>
      <c r="L357" s="71"/>
      <c r="M357" s="72"/>
      <c r="N357" s="72"/>
      <c r="O357" s="264" t="str">
        <f t="shared" si="38"/>
        <v/>
      </c>
      <c r="P357" s="230">
        <f t="shared" si="39"/>
        <v>0</v>
      </c>
      <c r="Q357" s="231" t="str">
        <f t="shared" si="35"/>
        <v>×</v>
      </c>
      <c r="R357" s="231" t="str">
        <f t="shared" si="40"/>
        <v>×</v>
      </c>
      <c r="S357" s="232" t="str">
        <f t="shared" si="41"/>
        <v/>
      </c>
    </row>
    <row r="358" spans="2:19">
      <c r="B358" s="68"/>
      <c r="C358" s="57"/>
      <c r="D358" s="259" t="str">
        <f t="shared" si="36"/>
        <v/>
      </c>
      <c r="E358" s="260" t="str">
        <f t="shared" si="37"/>
        <v/>
      </c>
      <c r="F358" s="271" t="str">
        <f>IF(G358="","",VLOOKUP(G358,プルダウン用リスト!$K$1:$M$16,2,FALSE))</f>
        <v/>
      </c>
      <c r="G358" s="70"/>
      <c r="H358" s="58"/>
      <c r="I358" s="70"/>
      <c r="J358" s="135"/>
      <c r="K358" s="136"/>
      <c r="L358" s="71"/>
      <c r="M358" s="72"/>
      <c r="N358" s="72"/>
      <c r="O358" s="264" t="str">
        <f t="shared" si="38"/>
        <v/>
      </c>
      <c r="P358" s="230">
        <f t="shared" si="39"/>
        <v>0</v>
      </c>
      <c r="Q358" s="231" t="str">
        <f t="shared" si="35"/>
        <v>×</v>
      </c>
      <c r="R358" s="231" t="str">
        <f t="shared" si="40"/>
        <v>×</v>
      </c>
      <c r="S358" s="232" t="str">
        <f t="shared" si="41"/>
        <v/>
      </c>
    </row>
    <row r="359" spans="2:19">
      <c r="B359" s="68"/>
      <c r="C359" s="57"/>
      <c r="D359" s="259" t="str">
        <f t="shared" si="36"/>
        <v/>
      </c>
      <c r="E359" s="260" t="str">
        <f t="shared" si="37"/>
        <v/>
      </c>
      <c r="F359" s="271" t="str">
        <f>IF(G359="","",VLOOKUP(G359,プルダウン用リスト!$K$1:$M$16,2,FALSE))</f>
        <v/>
      </c>
      <c r="G359" s="70"/>
      <c r="H359" s="58"/>
      <c r="I359" s="70"/>
      <c r="J359" s="135"/>
      <c r="K359" s="136"/>
      <c r="L359" s="71"/>
      <c r="M359" s="72"/>
      <c r="N359" s="72"/>
      <c r="O359" s="264" t="str">
        <f t="shared" si="38"/>
        <v/>
      </c>
      <c r="P359" s="230">
        <f t="shared" si="39"/>
        <v>0</v>
      </c>
      <c r="Q359" s="231" t="str">
        <f t="shared" si="35"/>
        <v>×</v>
      </c>
      <c r="R359" s="231" t="str">
        <f t="shared" si="40"/>
        <v>×</v>
      </c>
      <c r="S359" s="232" t="str">
        <f t="shared" si="41"/>
        <v/>
      </c>
    </row>
    <row r="360" spans="2:19">
      <c r="B360" s="68"/>
      <c r="C360" s="57"/>
      <c r="D360" s="259" t="str">
        <f t="shared" si="36"/>
        <v/>
      </c>
      <c r="E360" s="260" t="str">
        <f t="shared" si="37"/>
        <v/>
      </c>
      <c r="F360" s="271" t="str">
        <f>IF(G360="","",VLOOKUP(G360,プルダウン用リスト!$K$1:$M$16,2,FALSE))</f>
        <v/>
      </c>
      <c r="G360" s="70"/>
      <c r="H360" s="70"/>
      <c r="I360" s="70"/>
      <c r="J360" s="135"/>
      <c r="K360" s="136"/>
      <c r="L360" s="71"/>
      <c r="M360" s="72"/>
      <c r="N360" s="72"/>
      <c r="O360" s="264" t="str">
        <f t="shared" si="38"/>
        <v/>
      </c>
      <c r="P360" s="230">
        <f t="shared" si="39"/>
        <v>0</v>
      </c>
      <c r="Q360" s="231" t="str">
        <f t="shared" si="35"/>
        <v>×</v>
      </c>
      <c r="R360" s="231" t="str">
        <f t="shared" si="40"/>
        <v>×</v>
      </c>
      <c r="S360" s="232" t="str">
        <f t="shared" si="41"/>
        <v/>
      </c>
    </row>
    <row r="361" spans="2:19">
      <c r="B361" s="68"/>
      <c r="C361" s="57"/>
      <c r="D361" s="259" t="str">
        <f t="shared" si="36"/>
        <v/>
      </c>
      <c r="E361" s="260" t="str">
        <f t="shared" si="37"/>
        <v/>
      </c>
      <c r="F361" s="271" t="str">
        <f>IF(G361="","",VLOOKUP(G361,プルダウン用リスト!$K$1:$M$16,2,FALSE))</f>
        <v/>
      </c>
      <c r="G361" s="70"/>
      <c r="H361" s="58"/>
      <c r="I361" s="70"/>
      <c r="J361" s="135"/>
      <c r="K361" s="136"/>
      <c r="L361" s="71"/>
      <c r="M361" s="72"/>
      <c r="N361" s="72"/>
      <c r="O361" s="264" t="str">
        <f t="shared" si="38"/>
        <v/>
      </c>
      <c r="P361" s="230">
        <f t="shared" si="39"/>
        <v>0</v>
      </c>
      <c r="Q361" s="231" t="str">
        <f t="shared" si="35"/>
        <v>×</v>
      </c>
      <c r="R361" s="231" t="str">
        <f t="shared" si="40"/>
        <v>×</v>
      </c>
      <c r="S361" s="232" t="str">
        <f t="shared" si="41"/>
        <v/>
      </c>
    </row>
    <row r="362" spans="2:19">
      <c r="B362" s="68"/>
      <c r="C362" s="57"/>
      <c r="D362" s="259" t="str">
        <f t="shared" si="36"/>
        <v/>
      </c>
      <c r="E362" s="260" t="str">
        <f t="shared" si="37"/>
        <v/>
      </c>
      <c r="F362" s="271" t="str">
        <f>IF(G362="","",VLOOKUP(G362,プルダウン用リスト!$K$1:$M$16,2,FALSE))</f>
        <v/>
      </c>
      <c r="G362" s="70"/>
      <c r="H362" s="58"/>
      <c r="I362" s="70"/>
      <c r="J362" s="135"/>
      <c r="K362" s="136"/>
      <c r="L362" s="71"/>
      <c r="M362" s="72"/>
      <c r="N362" s="72"/>
      <c r="O362" s="264" t="str">
        <f t="shared" si="38"/>
        <v/>
      </c>
      <c r="P362" s="230">
        <f t="shared" si="39"/>
        <v>0</v>
      </c>
      <c r="Q362" s="231" t="str">
        <f t="shared" si="35"/>
        <v>×</v>
      </c>
      <c r="R362" s="231" t="str">
        <f t="shared" si="40"/>
        <v>×</v>
      </c>
      <c r="S362" s="232" t="str">
        <f t="shared" si="41"/>
        <v/>
      </c>
    </row>
    <row r="363" spans="2:19">
      <c r="B363" s="68"/>
      <c r="C363" s="57"/>
      <c r="D363" s="259" t="str">
        <f t="shared" si="36"/>
        <v/>
      </c>
      <c r="E363" s="260" t="str">
        <f t="shared" si="37"/>
        <v/>
      </c>
      <c r="F363" s="271" t="str">
        <f>IF(G363="","",VLOOKUP(G363,プルダウン用リスト!$K$1:$M$16,2,FALSE))</f>
        <v/>
      </c>
      <c r="G363" s="70"/>
      <c r="H363" s="70"/>
      <c r="I363" s="70"/>
      <c r="J363" s="135"/>
      <c r="K363" s="136"/>
      <c r="L363" s="71"/>
      <c r="M363" s="72"/>
      <c r="N363" s="72"/>
      <c r="O363" s="264" t="str">
        <f t="shared" si="38"/>
        <v/>
      </c>
      <c r="P363" s="230">
        <f t="shared" si="39"/>
        <v>0</v>
      </c>
      <c r="Q363" s="231" t="str">
        <f t="shared" si="35"/>
        <v>×</v>
      </c>
      <c r="R363" s="231" t="str">
        <f t="shared" si="40"/>
        <v>×</v>
      </c>
      <c r="S363" s="232" t="str">
        <f t="shared" si="41"/>
        <v/>
      </c>
    </row>
    <row r="364" spans="2:19">
      <c r="B364" s="68"/>
      <c r="C364" s="57"/>
      <c r="D364" s="259" t="str">
        <f t="shared" si="36"/>
        <v/>
      </c>
      <c r="E364" s="260" t="str">
        <f t="shared" si="37"/>
        <v/>
      </c>
      <c r="F364" s="271" t="str">
        <f>IF(G364="","",VLOOKUP(G364,プルダウン用リスト!$K$1:$M$16,2,FALSE))</f>
        <v/>
      </c>
      <c r="G364" s="70"/>
      <c r="H364" s="58"/>
      <c r="I364" s="70"/>
      <c r="J364" s="135"/>
      <c r="K364" s="136"/>
      <c r="L364" s="71"/>
      <c r="M364" s="72"/>
      <c r="N364" s="72"/>
      <c r="O364" s="264" t="str">
        <f t="shared" si="38"/>
        <v/>
      </c>
      <c r="P364" s="230">
        <f t="shared" si="39"/>
        <v>0</v>
      </c>
      <c r="Q364" s="231" t="str">
        <f t="shared" si="35"/>
        <v>×</v>
      </c>
      <c r="R364" s="231" t="str">
        <f t="shared" si="40"/>
        <v>×</v>
      </c>
      <c r="S364" s="232" t="str">
        <f t="shared" si="41"/>
        <v/>
      </c>
    </row>
    <row r="365" spans="2:19">
      <c r="B365" s="68"/>
      <c r="C365" s="57"/>
      <c r="D365" s="259" t="str">
        <f t="shared" si="36"/>
        <v/>
      </c>
      <c r="E365" s="260" t="str">
        <f t="shared" si="37"/>
        <v/>
      </c>
      <c r="F365" s="271" t="str">
        <f>IF(G365="","",VLOOKUP(G365,プルダウン用リスト!$K$1:$M$16,2,FALSE))</f>
        <v/>
      </c>
      <c r="G365" s="70"/>
      <c r="H365" s="58"/>
      <c r="I365" s="70"/>
      <c r="J365" s="135"/>
      <c r="K365" s="136"/>
      <c r="L365" s="71"/>
      <c r="M365" s="72"/>
      <c r="N365" s="72"/>
      <c r="O365" s="264" t="str">
        <f t="shared" si="38"/>
        <v/>
      </c>
      <c r="P365" s="230">
        <f t="shared" si="39"/>
        <v>0</v>
      </c>
      <c r="Q365" s="231" t="str">
        <f t="shared" si="35"/>
        <v>×</v>
      </c>
      <c r="R365" s="231" t="str">
        <f t="shared" si="40"/>
        <v>×</v>
      </c>
      <c r="S365" s="232" t="str">
        <f t="shared" si="41"/>
        <v/>
      </c>
    </row>
    <row r="366" spans="2:19">
      <c r="B366" s="68"/>
      <c r="C366" s="69"/>
      <c r="D366" s="259" t="str">
        <f t="shared" si="36"/>
        <v/>
      </c>
      <c r="E366" s="260" t="str">
        <f t="shared" si="37"/>
        <v/>
      </c>
      <c r="F366" s="271" t="str">
        <f>IF(G366="","",VLOOKUP(G366,プルダウン用リスト!$K$1:$M$16,2,FALSE))</f>
        <v/>
      </c>
      <c r="G366" s="70"/>
      <c r="H366" s="70"/>
      <c r="I366" s="70"/>
      <c r="J366" s="135"/>
      <c r="K366" s="136"/>
      <c r="L366" s="71"/>
      <c r="M366" s="72"/>
      <c r="N366" s="72"/>
      <c r="O366" s="264" t="str">
        <f t="shared" si="38"/>
        <v/>
      </c>
      <c r="P366" s="230">
        <f t="shared" si="39"/>
        <v>0</v>
      </c>
      <c r="Q366" s="231" t="str">
        <f t="shared" si="35"/>
        <v>×</v>
      </c>
      <c r="R366" s="231" t="str">
        <f t="shared" si="40"/>
        <v>×</v>
      </c>
      <c r="S366" s="232" t="str">
        <f t="shared" si="41"/>
        <v/>
      </c>
    </row>
    <row r="367" spans="2:19">
      <c r="B367" s="68"/>
      <c r="C367" s="57"/>
      <c r="D367" s="259" t="str">
        <f t="shared" si="36"/>
        <v/>
      </c>
      <c r="E367" s="260" t="str">
        <f t="shared" si="37"/>
        <v/>
      </c>
      <c r="F367" s="271" t="str">
        <f>IF(G367="","",VLOOKUP(G367,プルダウン用リスト!$K$1:$M$16,2,FALSE))</f>
        <v/>
      </c>
      <c r="G367" s="70"/>
      <c r="H367" s="58"/>
      <c r="I367" s="70"/>
      <c r="J367" s="135"/>
      <c r="K367" s="136"/>
      <c r="L367" s="71"/>
      <c r="M367" s="72"/>
      <c r="N367" s="72"/>
      <c r="O367" s="264" t="str">
        <f t="shared" si="38"/>
        <v/>
      </c>
      <c r="P367" s="230">
        <f t="shared" si="39"/>
        <v>0</v>
      </c>
      <c r="Q367" s="231" t="str">
        <f t="shared" si="35"/>
        <v>×</v>
      </c>
      <c r="R367" s="231" t="str">
        <f t="shared" si="40"/>
        <v>×</v>
      </c>
      <c r="S367" s="232" t="str">
        <f t="shared" si="41"/>
        <v/>
      </c>
    </row>
    <row r="368" spans="2:19">
      <c r="B368" s="68"/>
      <c r="C368" s="57"/>
      <c r="D368" s="259" t="str">
        <f t="shared" si="36"/>
        <v/>
      </c>
      <c r="E368" s="260" t="str">
        <f t="shared" si="37"/>
        <v/>
      </c>
      <c r="F368" s="271" t="str">
        <f>IF(G368="","",VLOOKUP(G368,プルダウン用リスト!$K$1:$M$16,2,FALSE))</f>
        <v/>
      </c>
      <c r="G368" s="70"/>
      <c r="H368" s="58"/>
      <c r="I368" s="70"/>
      <c r="J368" s="135"/>
      <c r="K368" s="136"/>
      <c r="L368" s="71"/>
      <c r="M368" s="72"/>
      <c r="N368" s="72"/>
      <c r="O368" s="264" t="str">
        <f t="shared" si="38"/>
        <v/>
      </c>
      <c r="P368" s="230">
        <f t="shared" si="39"/>
        <v>0</v>
      </c>
      <c r="Q368" s="231" t="str">
        <f t="shared" si="35"/>
        <v>×</v>
      </c>
      <c r="R368" s="231" t="str">
        <f t="shared" si="40"/>
        <v>×</v>
      </c>
      <c r="S368" s="232" t="str">
        <f t="shared" si="41"/>
        <v/>
      </c>
    </row>
    <row r="369" spans="2:19">
      <c r="B369" s="68"/>
      <c r="C369" s="57"/>
      <c r="D369" s="259" t="str">
        <f t="shared" si="36"/>
        <v/>
      </c>
      <c r="E369" s="260" t="str">
        <f t="shared" si="37"/>
        <v/>
      </c>
      <c r="F369" s="271" t="str">
        <f>IF(G369="","",VLOOKUP(G369,プルダウン用リスト!$K$1:$M$16,2,FALSE))</f>
        <v/>
      </c>
      <c r="G369" s="70"/>
      <c r="H369" s="70"/>
      <c r="I369" s="70"/>
      <c r="J369" s="135"/>
      <c r="K369" s="136"/>
      <c r="L369" s="71"/>
      <c r="M369" s="72"/>
      <c r="N369" s="72"/>
      <c r="O369" s="264" t="str">
        <f t="shared" si="38"/>
        <v/>
      </c>
      <c r="P369" s="230">
        <f t="shared" si="39"/>
        <v>0</v>
      </c>
      <c r="Q369" s="231" t="str">
        <f t="shared" si="35"/>
        <v>×</v>
      </c>
      <c r="R369" s="231" t="str">
        <f t="shared" si="40"/>
        <v>×</v>
      </c>
      <c r="S369" s="232" t="str">
        <f t="shared" si="41"/>
        <v/>
      </c>
    </row>
    <row r="370" spans="2:19">
      <c r="B370" s="68"/>
      <c r="C370" s="57"/>
      <c r="D370" s="259" t="str">
        <f t="shared" si="36"/>
        <v/>
      </c>
      <c r="E370" s="260" t="str">
        <f t="shared" si="37"/>
        <v/>
      </c>
      <c r="F370" s="271" t="str">
        <f>IF(G370="","",VLOOKUP(G370,プルダウン用リスト!$K$1:$M$16,2,FALSE))</f>
        <v/>
      </c>
      <c r="G370" s="70"/>
      <c r="H370" s="58"/>
      <c r="I370" s="70"/>
      <c r="J370" s="135"/>
      <c r="K370" s="136"/>
      <c r="L370" s="71"/>
      <c r="M370" s="72"/>
      <c r="N370" s="72"/>
      <c r="O370" s="264" t="str">
        <f t="shared" si="38"/>
        <v/>
      </c>
      <c r="P370" s="230">
        <f t="shared" si="39"/>
        <v>0</v>
      </c>
      <c r="Q370" s="231" t="str">
        <f t="shared" si="35"/>
        <v>×</v>
      </c>
      <c r="R370" s="231" t="str">
        <f t="shared" si="40"/>
        <v>×</v>
      </c>
      <c r="S370" s="232" t="str">
        <f t="shared" si="41"/>
        <v/>
      </c>
    </row>
    <row r="371" spans="2:19">
      <c r="B371" s="68"/>
      <c r="C371" s="57"/>
      <c r="D371" s="259" t="str">
        <f t="shared" si="36"/>
        <v/>
      </c>
      <c r="E371" s="260" t="str">
        <f t="shared" si="37"/>
        <v/>
      </c>
      <c r="F371" s="271" t="str">
        <f>IF(G371="","",VLOOKUP(G371,プルダウン用リスト!$K$1:$M$16,2,FALSE))</f>
        <v/>
      </c>
      <c r="G371" s="70"/>
      <c r="H371" s="58"/>
      <c r="I371" s="70"/>
      <c r="J371" s="135"/>
      <c r="K371" s="136"/>
      <c r="L371" s="71"/>
      <c r="M371" s="72"/>
      <c r="N371" s="72"/>
      <c r="O371" s="264" t="str">
        <f t="shared" si="38"/>
        <v/>
      </c>
      <c r="P371" s="230">
        <f t="shared" si="39"/>
        <v>0</v>
      </c>
      <c r="Q371" s="231" t="str">
        <f t="shared" si="35"/>
        <v>×</v>
      </c>
      <c r="R371" s="231" t="str">
        <f t="shared" si="40"/>
        <v>×</v>
      </c>
      <c r="S371" s="232" t="str">
        <f t="shared" si="41"/>
        <v/>
      </c>
    </row>
    <row r="372" spans="2:19">
      <c r="B372" s="68"/>
      <c r="C372" s="57"/>
      <c r="D372" s="259" t="str">
        <f t="shared" si="36"/>
        <v/>
      </c>
      <c r="E372" s="260" t="str">
        <f t="shared" si="37"/>
        <v/>
      </c>
      <c r="F372" s="271" t="str">
        <f>IF(G372="","",VLOOKUP(G372,プルダウン用リスト!$K$1:$M$16,2,FALSE))</f>
        <v/>
      </c>
      <c r="G372" s="70"/>
      <c r="H372" s="70"/>
      <c r="I372" s="70"/>
      <c r="J372" s="135"/>
      <c r="K372" s="136"/>
      <c r="L372" s="71"/>
      <c r="M372" s="72"/>
      <c r="N372" s="72"/>
      <c r="O372" s="264" t="str">
        <f t="shared" si="38"/>
        <v/>
      </c>
      <c r="P372" s="230">
        <f t="shared" si="39"/>
        <v>0</v>
      </c>
      <c r="Q372" s="231" t="str">
        <f t="shared" si="35"/>
        <v>×</v>
      </c>
      <c r="R372" s="231" t="str">
        <f t="shared" si="40"/>
        <v>×</v>
      </c>
      <c r="S372" s="232" t="str">
        <f t="shared" si="41"/>
        <v/>
      </c>
    </row>
    <row r="373" spans="2:19">
      <c r="B373" s="68"/>
      <c r="C373" s="57"/>
      <c r="D373" s="259" t="str">
        <f t="shared" si="36"/>
        <v/>
      </c>
      <c r="E373" s="260" t="str">
        <f t="shared" si="37"/>
        <v/>
      </c>
      <c r="F373" s="271" t="str">
        <f>IF(G373="","",VLOOKUP(G373,プルダウン用リスト!$K$1:$M$16,2,FALSE))</f>
        <v/>
      </c>
      <c r="G373" s="70"/>
      <c r="H373" s="58"/>
      <c r="I373" s="70"/>
      <c r="J373" s="135"/>
      <c r="K373" s="136"/>
      <c r="L373" s="71"/>
      <c r="M373" s="72"/>
      <c r="N373" s="72"/>
      <c r="O373" s="264" t="str">
        <f t="shared" si="38"/>
        <v/>
      </c>
      <c r="P373" s="230">
        <f t="shared" si="39"/>
        <v>0</v>
      </c>
      <c r="Q373" s="231" t="str">
        <f t="shared" si="35"/>
        <v>×</v>
      </c>
      <c r="R373" s="231" t="str">
        <f t="shared" si="40"/>
        <v>×</v>
      </c>
      <c r="S373" s="232" t="str">
        <f t="shared" si="41"/>
        <v/>
      </c>
    </row>
    <row r="374" spans="2:19">
      <c r="B374" s="68"/>
      <c r="C374" s="57"/>
      <c r="D374" s="259" t="str">
        <f t="shared" si="36"/>
        <v/>
      </c>
      <c r="E374" s="260" t="str">
        <f t="shared" si="37"/>
        <v/>
      </c>
      <c r="F374" s="271" t="str">
        <f>IF(G374="","",VLOOKUP(G374,プルダウン用リスト!$K$1:$M$16,2,FALSE))</f>
        <v/>
      </c>
      <c r="G374" s="70"/>
      <c r="H374" s="58"/>
      <c r="I374" s="70"/>
      <c r="J374" s="135"/>
      <c r="K374" s="136"/>
      <c r="L374" s="71"/>
      <c r="M374" s="72"/>
      <c r="N374" s="72"/>
      <c r="O374" s="264" t="str">
        <f t="shared" si="38"/>
        <v/>
      </c>
      <c r="P374" s="230">
        <f t="shared" si="39"/>
        <v>0</v>
      </c>
      <c r="Q374" s="231" t="str">
        <f t="shared" si="35"/>
        <v>×</v>
      </c>
      <c r="R374" s="231" t="str">
        <f t="shared" si="40"/>
        <v>×</v>
      </c>
      <c r="S374" s="232" t="str">
        <f t="shared" si="41"/>
        <v/>
      </c>
    </row>
    <row r="375" spans="2:19">
      <c r="B375" s="68"/>
      <c r="C375" s="57"/>
      <c r="D375" s="259" t="str">
        <f t="shared" si="36"/>
        <v/>
      </c>
      <c r="E375" s="260" t="str">
        <f t="shared" si="37"/>
        <v/>
      </c>
      <c r="F375" s="271" t="str">
        <f>IF(G375="","",VLOOKUP(G375,プルダウン用リスト!$K$1:$M$16,2,FALSE))</f>
        <v/>
      </c>
      <c r="G375" s="70"/>
      <c r="H375" s="70"/>
      <c r="I375" s="70"/>
      <c r="J375" s="135"/>
      <c r="K375" s="136"/>
      <c r="L375" s="71"/>
      <c r="M375" s="72"/>
      <c r="N375" s="72"/>
      <c r="O375" s="264" t="str">
        <f t="shared" si="38"/>
        <v/>
      </c>
      <c r="P375" s="230">
        <f t="shared" si="39"/>
        <v>0</v>
      </c>
      <c r="Q375" s="231" t="str">
        <f t="shared" si="35"/>
        <v>×</v>
      </c>
      <c r="R375" s="231" t="str">
        <f t="shared" si="40"/>
        <v>×</v>
      </c>
      <c r="S375" s="232" t="str">
        <f t="shared" si="41"/>
        <v/>
      </c>
    </row>
    <row r="376" spans="2:19">
      <c r="B376" s="68"/>
      <c r="C376" s="57"/>
      <c r="D376" s="259" t="str">
        <f t="shared" si="36"/>
        <v/>
      </c>
      <c r="E376" s="260" t="str">
        <f t="shared" si="37"/>
        <v/>
      </c>
      <c r="F376" s="271" t="str">
        <f>IF(G376="","",VLOOKUP(G376,プルダウン用リスト!$K$1:$M$16,2,FALSE))</f>
        <v/>
      </c>
      <c r="G376" s="70"/>
      <c r="H376" s="58"/>
      <c r="I376" s="70"/>
      <c r="J376" s="135"/>
      <c r="K376" s="136"/>
      <c r="L376" s="71"/>
      <c r="M376" s="72"/>
      <c r="N376" s="72"/>
      <c r="O376" s="264" t="str">
        <f t="shared" si="38"/>
        <v/>
      </c>
      <c r="P376" s="230">
        <f t="shared" si="39"/>
        <v>0</v>
      </c>
      <c r="Q376" s="231" t="str">
        <f t="shared" si="35"/>
        <v>×</v>
      </c>
      <c r="R376" s="231" t="str">
        <f t="shared" si="40"/>
        <v>×</v>
      </c>
      <c r="S376" s="232" t="str">
        <f t="shared" si="41"/>
        <v/>
      </c>
    </row>
    <row r="377" spans="2:19">
      <c r="B377" s="68"/>
      <c r="C377" s="57"/>
      <c r="D377" s="259" t="str">
        <f t="shared" si="36"/>
        <v/>
      </c>
      <c r="E377" s="260" t="str">
        <f t="shared" si="37"/>
        <v/>
      </c>
      <c r="F377" s="271" t="str">
        <f>IF(G377="","",VLOOKUP(G377,プルダウン用リスト!$K$1:$M$16,2,FALSE))</f>
        <v/>
      </c>
      <c r="G377" s="70"/>
      <c r="H377" s="58"/>
      <c r="I377" s="70"/>
      <c r="J377" s="135"/>
      <c r="K377" s="136"/>
      <c r="L377" s="71"/>
      <c r="M377" s="72"/>
      <c r="N377" s="72"/>
      <c r="O377" s="264" t="str">
        <f t="shared" si="38"/>
        <v/>
      </c>
      <c r="P377" s="230">
        <f t="shared" si="39"/>
        <v>0</v>
      </c>
      <c r="Q377" s="231" t="str">
        <f t="shared" si="35"/>
        <v>×</v>
      </c>
      <c r="R377" s="231" t="str">
        <f t="shared" si="40"/>
        <v>×</v>
      </c>
      <c r="S377" s="232" t="str">
        <f t="shared" si="41"/>
        <v/>
      </c>
    </row>
    <row r="378" spans="2:19">
      <c r="B378" s="68"/>
      <c r="C378" s="69"/>
      <c r="D378" s="259" t="str">
        <f t="shared" si="36"/>
        <v/>
      </c>
      <c r="E378" s="260" t="str">
        <f t="shared" si="37"/>
        <v/>
      </c>
      <c r="F378" s="271" t="str">
        <f>IF(G378="","",VLOOKUP(G378,プルダウン用リスト!$K$1:$M$16,2,FALSE))</f>
        <v/>
      </c>
      <c r="G378" s="70"/>
      <c r="H378" s="70"/>
      <c r="I378" s="70"/>
      <c r="J378" s="135"/>
      <c r="K378" s="136"/>
      <c r="L378" s="71"/>
      <c r="M378" s="72"/>
      <c r="N378" s="72"/>
      <c r="O378" s="264" t="str">
        <f t="shared" si="38"/>
        <v/>
      </c>
      <c r="P378" s="230">
        <f t="shared" si="39"/>
        <v>0</v>
      </c>
      <c r="Q378" s="231" t="str">
        <f t="shared" si="35"/>
        <v>×</v>
      </c>
      <c r="R378" s="231" t="str">
        <f t="shared" si="40"/>
        <v>×</v>
      </c>
      <c r="S378" s="232" t="str">
        <f t="shared" si="41"/>
        <v/>
      </c>
    </row>
    <row r="379" spans="2:19">
      <c r="B379" s="68"/>
      <c r="C379" s="57"/>
      <c r="D379" s="259" t="str">
        <f t="shared" si="36"/>
        <v/>
      </c>
      <c r="E379" s="260" t="str">
        <f t="shared" si="37"/>
        <v/>
      </c>
      <c r="F379" s="271" t="str">
        <f>IF(G379="","",VLOOKUP(G379,プルダウン用リスト!$K$1:$M$16,2,FALSE))</f>
        <v/>
      </c>
      <c r="G379" s="70"/>
      <c r="H379" s="58"/>
      <c r="I379" s="70"/>
      <c r="J379" s="135"/>
      <c r="K379" s="136"/>
      <c r="L379" s="71"/>
      <c r="M379" s="72"/>
      <c r="N379" s="72"/>
      <c r="O379" s="264" t="str">
        <f t="shared" si="38"/>
        <v/>
      </c>
      <c r="P379" s="230">
        <f t="shared" si="39"/>
        <v>0</v>
      </c>
      <c r="Q379" s="231" t="str">
        <f t="shared" si="35"/>
        <v>×</v>
      </c>
      <c r="R379" s="231" t="str">
        <f t="shared" si="40"/>
        <v>×</v>
      </c>
      <c r="S379" s="232" t="str">
        <f t="shared" si="41"/>
        <v/>
      </c>
    </row>
    <row r="380" spans="2:19">
      <c r="B380" s="68"/>
      <c r="C380" s="57"/>
      <c r="D380" s="259" t="str">
        <f t="shared" si="36"/>
        <v/>
      </c>
      <c r="E380" s="260" t="str">
        <f t="shared" si="37"/>
        <v/>
      </c>
      <c r="F380" s="271" t="str">
        <f>IF(G380="","",VLOOKUP(G380,プルダウン用リスト!$K$1:$M$16,2,FALSE))</f>
        <v/>
      </c>
      <c r="G380" s="70"/>
      <c r="H380" s="58"/>
      <c r="I380" s="70"/>
      <c r="J380" s="135"/>
      <c r="K380" s="136"/>
      <c r="L380" s="71"/>
      <c r="M380" s="72"/>
      <c r="N380" s="72"/>
      <c r="O380" s="264" t="str">
        <f t="shared" si="38"/>
        <v/>
      </c>
      <c r="P380" s="230">
        <f t="shared" si="39"/>
        <v>0</v>
      </c>
      <c r="Q380" s="231" t="str">
        <f t="shared" si="35"/>
        <v>×</v>
      </c>
      <c r="R380" s="231" t="str">
        <f t="shared" si="40"/>
        <v>×</v>
      </c>
      <c r="S380" s="232" t="str">
        <f t="shared" si="41"/>
        <v/>
      </c>
    </row>
    <row r="381" spans="2:19">
      <c r="B381" s="68"/>
      <c r="C381" s="57"/>
      <c r="D381" s="259" t="str">
        <f t="shared" si="36"/>
        <v/>
      </c>
      <c r="E381" s="260" t="str">
        <f t="shared" si="37"/>
        <v/>
      </c>
      <c r="F381" s="271" t="str">
        <f>IF(G381="","",VLOOKUP(G381,プルダウン用リスト!$K$1:$M$16,2,FALSE))</f>
        <v/>
      </c>
      <c r="G381" s="70"/>
      <c r="H381" s="70"/>
      <c r="I381" s="70"/>
      <c r="J381" s="135"/>
      <c r="K381" s="136"/>
      <c r="L381" s="71"/>
      <c r="M381" s="72"/>
      <c r="N381" s="72"/>
      <c r="O381" s="264" t="str">
        <f t="shared" si="38"/>
        <v/>
      </c>
      <c r="P381" s="230">
        <f t="shared" si="39"/>
        <v>0</v>
      </c>
      <c r="Q381" s="231" t="str">
        <f t="shared" si="35"/>
        <v>×</v>
      </c>
      <c r="R381" s="231" t="str">
        <f t="shared" si="40"/>
        <v>×</v>
      </c>
      <c r="S381" s="232" t="str">
        <f t="shared" si="41"/>
        <v/>
      </c>
    </row>
    <row r="382" spans="2:19">
      <c r="B382" s="68"/>
      <c r="C382" s="57"/>
      <c r="D382" s="259" t="str">
        <f t="shared" si="36"/>
        <v/>
      </c>
      <c r="E382" s="260" t="str">
        <f t="shared" si="37"/>
        <v/>
      </c>
      <c r="F382" s="271" t="str">
        <f>IF(G382="","",VLOOKUP(G382,プルダウン用リスト!$K$1:$M$16,2,FALSE))</f>
        <v/>
      </c>
      <c r="G382" s="70"/>
      <c r="H382" s="58"/>
      <c r="I382" s="70"/>
      <c r="J382" s="135"/>
      <c r="K382" s="136"/>
      <c r="L382" s="71"/>
      <c r="M382" s="72"/>
      <c r="N382" s="72"/>
      <c r="O382" s="264" t="str">
        <f t="shared" si="38"/>
        <v/>
      </c>
      <c r="P382" s="230">
        <f t="shared" si="39"/>
        <v>0</v>
      </c>
      <c r="Q382" s="231" t="str">
        <f t="shared" si="35"/>
        <v>×</v>
      </c>
      <c r="R382" s="231" t="str">
        <f t="shared" si="40"/>
        <v>×</v>
      </c>
      <c r="S382" s="232" t="str">
        <f t="shared" si="41"/>
        <v/>
      </c>
    </row>
    <row r="383" spans="2:19">
      <c r="B383" s="68"/>
      <c r="C383" s="57"/>
      <c r="D383" s="259" t="str">
        <f t="shared" si="36"/>
        <v/>
      </c>
      <c r="E383" s="260" t="str">
        <f t="shared" si="37"/>
        <v/>
      </c>
      <c r="F383" s="271" t="str">
        <f>IF(G383="","",VLOOKUP(G383,プルダウン用リスト!$K$1:$M$16,2,FALSE))</f>
        <v/>
      </c>
      <c r="G383" s="70"/>
      <c r="H383" s="58"/>
      <c r="I383" s="70"/>
      <c r="J383" s="135"/>
      <c r="K383" s="136"/>
      <c r="L383" s="71"/>
      <c r="M383" s="72"/>
      <c r="N383" s="72"/>
      <c r="O383" s="264" t="str">
        <f t="shared" si="38"/>
        <v/>
      </c>
      <c r="P383" s="230">
        <f t="shared" si="39"/>
        <v>0</v>
      </c>
      <c r="Q383" s="231" t="str">
        <f t="shared" si="35"/>
        <v>×</v>
      </c>
      <c r="R383" s="231" t="str">
        <f t="shared" si="40"/>
        <v>×</v>
      </c>
      <c r="S383" s="232" t="str">
        <f t="shared" si="41"/>
        <v/>
      </c>
    </row>
    <row r="384" spans="2:19">
      <c r="B384" s="68"/>
      <c r="C384" s="57"/>
      <c r="D384" s="259" t="str">
        <f t="shared" si="36"/>
        <v/>
      </c>
      <c r="E384" s="260" t="str">
        <f t="shared" si="37"/>
        <v/>
      </c>
      <c r="F384" s="271" t="str">
        <f>IF(G384="","",VLOOKUP(G384,プルダウン用リスト!$K$1:$M$16,2,FALSE))</f>
        <v/>
      </c>
      <c r="G384" s="70"/>
      <c r="H384" s="70"/>
      <c r="I384" s="70"/>
      <c r="J384" s="135"/>
      <c r="K384" s="136"/>
      <c r="L384" s="71"/>
      <c r="M384" s="72"/>
      <c r="N384" s="72"/>
      <c r="O384" s="264" t="str">
        <f t="shared" si="38"/>
        <v/>
      </c>
      <c r="P384" s="230">
        <f t="shared" si="39"/>
        <v>0</v>
      </c>
      <c r="Q384" s="231" t="str">
        <f t="shared" si="35"/>
        <v>×</v>
      </c>
      <c r="R384" s="231" t="str">
        <f t="shared" si="40"/>
        <v>×</v>
      </c>
      <c r="S384" s="232" t="str">
        <f t="shared" si="41"/>
        <v/>
      </c>
    </row>
    <row r="385" spans="2:19">
      <c r="B385" s="68"/>
      <c r="C385" s="57"/>
      <c r="D385" s="259" t="str">
        <f t="shared" si="36"/>
        <v/>
      </c>
      <c r="E385" s="260" t="str">
        <f t="shared" si="37"/>
        <v/>
      </c>
      <c r="F385" s="271" t="str">
        <f>IF(G385="","",VLOOKUP(G385,プルダウン用リスト!$K$1:$M$16,2,FALSE))</f>
        <v/>
      </c>
      <c r="G385" s="70"/>
      <c r="H385" s="58"/>
      <c r="I385" s="70"/>
      <c r="J385" s="135"/>
      <c r="K385" s="136"/>
      <c r="L385" s="71"/>
      <c r="M385" s="72"/>
      <c r="N385" s="72"/>
      <c r="O385" s="264" t="str">
        <f t="shared" si="38"/>
        <v/>
      </c>
      <c r="P385" s="230">
        <f t="shared" si="39"/>
        <v>0</v>
      </c>
      <c r="Q385" s="231" t="str">
        <f t="shared" si="35"/>
        <v>×</v>
      </c>
      <c r="R385" s="231" t="str">
        <f t="shared" si="40"/>
        <v>×</v>
      </c>
      <c r="S385" s="232" t="str">
        <f t="shared" si="41"/>
        <v/>
      </c>
    </row>
    <row r="386" spans="2:19">
      <c r="B386" s="68"/>
      <c r="C386" s="57"/>
      <c r="D386" s="259" t="str">
        <f t="shared" si="36"/>
        <v/>
      </c>
      <c r="E386" s="260" t="str">
        <f t="shared" si="37"/>
        <v/>
      </c>
      <c r="F386" s="271" t="str">
        <f>IF(G386="","",VLOOKUP(G386,プルダウン用リスト!$K$1:$M$16,2,FALSE))</f>
        <v/>
      </c>
      <c r="G386" s="70"/>
      <c r="H386" s="58"/>
      <c r="I386" s="70"/>
      <c r="J386" s="135"/>
      <c r="K386" s="136"/>
      <c r="L386" s="71"/>
      <c r="M386" s="72"/>
      <c r="N386" s="72"/>
      <c r="O386" s="264" t="str">
        <f t="shared" si="38"/>
        <v/>
      </c>
      <c r="P386" s="230">
        <f t="shared" si="39"/>
        <v>0</v>
      </c>
      <c r="Q386" s="231" t="str">
        <f t="shared" si="35"/>
        <v>×</v>
      </c>
      <c r="R386" s="231" t="str">
        <f t="shared" si="40"/>
        <v>×</v>
      </c>
      <c r="S386" s="232" t="str">
        <f t="shared" si="41"/>
        <v/>
      </c>
    </row>
    <row r="387" spans="2:19">
      <c r="B387" s="68"/>
      <c r="C387" s="57"/>
      <c r="D387" s="259" t="str">
        <f t="shared" si="36"/>
        <v/>
      </c>
      <c r="E387" s="260" t="str">
        <f t="shared" si="37"/>
        <v/>
      </c>
      <c r="F387" s="271" t="str">
        <f>IF(G387="","",VLOOKUP(G387,プルダウン用リスト!$K$1:$M$16,2,FALSE))</f>
        <v/>
      </c>
      <c r="G387" s="70"/>
      <c r="H387" s="70"/>
      <c r="I387" s="70"/>
      <c r="J387" s="135"/>
      <c r="K387" s="136"/>
      <c r="L387" s="71"/>
      <c r="M387" s="72"/>
      <c r="N387" s="72"/>
      <c r="O387" s="264" t="str">
        <f t="shared" si="38"/>
        <v/>
      </c>
      <c r="P387" s="230">
        <f t="shared" si="39"/>
        <v>0</v>
      </c>
      <c r="Q387" s="231" t="str">
        <f t="shared" si="35"/>
        <v>×</v>
      </c>
      <c r="R387" s="231" t="str">
        <f t="shared" si="40"/>
        <v>×</v>
      </c>
      <c r="S387" s="232" t="str">
        <f t="shared" si="41"/>
        <v/>
      </c>
    </row>
    <row r="388" spans="2:19">
      <c r="B388" s="68"/>
      <c r="C388" s="57"/>
      <c r="D388" s="259" t="str">
        <f t="shared" si="36"/>
        <v/>
      </c>
      <c r="E388" s="260" t="str">
        <f t="shared" si="37"/>
        <v/>
      </c>
      <c r="F388" s="271" t="str">
        <f>IF(G388="","",VLOOKUP(G388,プルダウン用リスト!$K$1:$M$16,2,FALSE))</f>
        <v/>
      </c>
      <c r="G388" s="70"/>
      <c r="H388" s="58"/>
      <c r="I388" s="70"/>
      <c r="J388" s="135"/>
      <c r="K388" s="136"/>
      <c r="L388" s="71"/>
      <c r="M388" s="72"/>
      <c r="N388" s="72"/>
      <c r="O388" s="264" t="str">
        <f t="shared" si="38"/>
        <v/>
      </c>
      <c r="P388" s="230">
        <f t="shared" si="39"/>
        <v>0</v>
      </c>
      <c r="Q388" s="231" t="str">
        <f t="shared" si="35"/>
        <v>×</v>
      </c>
      <c r="R388" s="231" t="str">
        <f t="shared" si="40"/>
        <v>×</v>
      </c>
      <c r="S388" s="232" t="str">
        <f t="shared" si="41"/>
        <v/>
      </c>
    </row>
    <row r="389" spans="2:19">
      <c r="B389" s="68"/>
      <c r="C389" s="57"/>
      <c r="D389" s="259" t="str">
        <f t="shared" si="36"/>
        <v/>
      </c>
      <c r="E389" s="260" t="str">
        <f t="shared" si="37"/>
        <v/>
      </c>
      <c r="F389" s="271" t="str">
        <f>IF(G389="","",VLOOKUP(G389,プルダウン用リスト!$K$1:$M$16,2,FALSE))</f>
        <v/>
      </c>
      <c r="G389" s="70"/>
      <c r="H389" s="58"/>
      <c r="I389" s="70"/>
      <c r="J389" s="135"/>
      <c r="K389" s="136"/>
      <c r="L389" s="71"/>
      <c r="M389" s="72"/>
      <c r="N389" s="72"/>
      <c r="O389" s="264" t="str">
        <f t="shared" si="38"/>
        <v/>
      </c>
      <c r="P389" s="230">
        <f t="shared" si="39"/>
        <v>0</v>
      </c>
      <c r="Q389" s="231" t="str">
        <f t="shared" si="35"/>
        <v>×</v>
      </c>
      <c r="R389" s="231" t="str">
        <f t="shared" si="40"/>
        <v>×</v>
      </c>
      <c r="S389" s="232" t="str">
        <f t="shared" si="41"/>
        <v/>
      </c>
    </row>
    <row r="390" spans="2:19">
      <c r="B390" s="68"/>
      <c r="C390" s="69"/>
      <c r="D390" s="259" t="str">
        <f t="shared" si="36"/>
        <v/>
      </c>
      <c r="E390" s="260" t="str">
        <f t="shared" si="37"/>
        <v/>
      </c>
      <c r="F390" s="271" t="str">
        <f>IF(G390="","",VLOOKUP(G390,プルダウン用リスト!$K$1:$M$16,2,FALSE))</f>
        <v/>
      </c>
      <c r="G390" s="70"/>
      <c r="H390" s="70"/>
      <c r="I390" s="70"/>
      <c r="J390" s="135"/>
      <c r="K390" s="136"/>
      <c r="L390" s="71"/>
      <c r="M390" s="72"/>
      <c r="N390" s="72"/>
      <c r="O390" s="264" t="str">
        <f t="shared" si="38"/>
        <v/>
      </c>
      <c r="P390" s="230">
        <f t="shared" si="39"/>
        <v>0</v>
      </c>
      <c r="Q390" s="231" t="str">
        <f t="shared" ref="Q390:Q453" si="42">IF(G390="旅費","〇","×")</f>
        <v>×</v>
      </c>
      <c r="R390" s="231" t="str">
        <f t="shared" si="40"/>
        <v>×</v>
      </c>
      <c r="S390" s="232" t="str">
        <f t="shared" si="41"/>
        <v/>
      </c>
    </row>
    <row r="391" spans="2:19">
      <c r="B391" s="68"/>
      <c r="C391" s="57"/>
      <c r="D391" s="259" t="str">
        <f t="shared" ref="D391:D454" si="43">IF(E391="","",IF(E391="謝金","01.",IF(E391="旅費","02.",IF(E391="その他","04.","03."))))</f>
        <v/>
      </c>
      <c r="E391" s="260" t="str">
        <f t="shared" ref="E391:E454" si="44">IF(G391="","",IF(OR(G391="謝金（内部）",G391="謝金（外部）"),"謝金",IF(G391="旅費","旅費",IF(G391="対象外経費","その他","所費"))))</f>
        <v/>
      </c>
      <c r="F391" s="271" t="str">
        <f>IF(G391="","",VLOOKUP(G391,プルダウン用リスト!$K$1:$M$16,2,FALSE))</f>
        <v/>
      </c>
      <c r="G391" s="70"/>
      <c r="H391" s="58"/>
      <c r="I391" s="70"/>
      <c r="J391" s="135"/>
      <c r="K391" s="136"/>
      <c r="L391" s="71"/>
      <c r="M391" s="72"/>
      <c r="N391" s="72"/>
      <c r="O391" s="264" t="str">
        <f t="shared" ref="O391:O454" si="45">IF(G391="対象外経費",M391,IF(N391="","",M391-N391))</f>
        <v/>
      </c>
      <c r="P391" s="230">
        <f t="shared" si="39"/>
        <v>0</v>
      </c>
      <c r="Q391" s="231" t="str">
        <f t="shared" si="42"/>
        <v>×</v>
      </c>
      <c r="R391" s="231" t="str">
        <f t="shared" si="40"/>
        <v>×</v>
      </c>
      <c r="S391" s="232" t="str">
        <f t="shared" si="41"/>
        <v/>
      </c>
    </row>
    <row r="392" spans="2:19">
      <c r="B392" s="68"/>
      <c r="C392" s="57"/>
      <c r="D392" s="259" t="str">
        <f t="shared" si="43"/>
        <v/>
      </c>
      <c r="E392" s="260" t="str">
        <f t="shared" si="44"/>
        <v/>
      </c>
      <c r="F392" s="271" t="str">
        <f>IF(G392="","",VLOOKUP(G392,プルダウン用リスト!$K$1:$M$16,2,FALSE))</f>
        <v/>
      </c>
      <c r="G392" s="70"/>
      <c r="H392" s="58"/>
      <c r="I392" s="70"/>
      <c r="J392" s="135"/>
      <c r="K392" s="136"/>
      <c r="L392" s="71"/>
      <c r="M392" s="72"/>
      <c r="N392" s="72"/>
      <c r="O392" s="264" t="str">
        <f t="shared" si="45"/>
        <v/>
      </c>
      <c r="P392" s="230">
        <f t="shared" ref="P392:P455" si="46">COUNTA(B392,C392,G392,H392,I392,L392,M392,J392,K392,N392)</f>
        <v>0</v>
      </c>
      <c r="Q392" s="231" t="str">
        <f t="shared" si="42"/>
        <v>×</v>
      </c>
      <c r="R392" s="231" t="str">
        <f t="shared" si="40"/>
        <v>×</v>
      </c>
      <c r="S392" s="232" t="str">
        <f t="shared" si="41"/>
        <v/>
      </c>
    </row>
    <row r="393" spans="2:19">
      <c r="B393" s="68"/>
      <c r="C393" s="57"/>
      <c r="D393" s="259" t="str">
        <f t="shared" si="43"/>
        <v/>
      </c>
      <c r="E393" s="260" t="str">
        <f t="shared" si="44"/>
        <v/>
      </c>
      <c r="F393" s="271" t="str">
        <f>IF(G393="","",VLOOKUP(G393,プルダウン用リスト!$K$1:$M$16,2,FALSE))</f>
        <v/>
      </c>
      <c r="G393" s="70"/>
      <c r="H393" s="70"/>
      <c r="I393" s="70"/>
      <c r="J393" s="135"/>
      <c r="K393" s="136"/>
      <c r="L393" s="71"/>
      <c r="M393" s="72"/>
      <c r="N393" s="72"/>
      <c r="O393" s="264" t="str">
        <f t="shared" si="45"/>
        <v/>
      </c>
      <c r="P393" s="230">
        <f t="shared" si="46"/>
        <v>0</v>
      </c>
      <c r="Q393" s="231" t="str">
        <f t="shared" si="42"/>
        <v>×</v>
      </c>
      <c r="R393" s="231" t="str">
        <f t="shared" ref="R393:R456" si="47">IF(E393="謝金","〇","×")</f>
        <v>×</v>
      </c>
      <c r="S393" s="232" t="str">
        <f t="shared" ref="S393:S456" si="48">_xlfn.IFS(P393=0,"",AND(G393="対象外経費",P393=7),"OK",P393&lt;=7,"ピンク色のセルを全て入力してください",P393=9,"OK",Q393="〇","ピンク色のセルを全て入力してください",R393="〇","ピンク色のセルを全て入力してください",P393=8,"OK")</f>
        <v/>
      </c>
    </row>
    <row r="394" spans="2:19">
      <c r="B394" s="68"/>
      <c r="C394" s="57"/>
      <c r="D394" s="259" t="str">
        <f t="shared" si="43"/>
        <v/>
      </c>
      <c r="E394" s="260" t="str">
        <f t="shared" si="44"/>
        <v/>
      </c>
      <c r="F394" s="271" t="str">
        <f>IF(G394="","",VLOOKUP(G394,プルダウン用リスト!$K$1:$M$16,2,FALSE))</f>
        <v/>
      </c>
      <c r="G394" s="70"/>
      <c r="H394" s="58"/>
      <c r="I394" s="70"/>
      <c r="J394" s="135"/>
      <c r="K394" s="136"/>
      <c r="L394" s="71"/>
      <c r="M394" s="72"/>
      <c r="N394" s="72"/>
      <c r="O394" s="264" t="str">
        <f t="shared" si="45"/>
        <v/>
      </c>
      <c r="P394" s="230">
        <f t="shared" si="46"/>
        <v>0</v>
      </c>
      <c r="Q394" s="231" t="str">
        <f t="shared" si="42"/>
        <v>×</v>
      </c>
      <c r="R394" s="231" t="str">
        <f t="shared" si="47"/>
        <v>×</v>
      </c>
      <c r="S394" s="232" t="str">
        <f t="shared" si="48"/>
        <v/>
      </c>
    </row>
    <row r="395" spans="2:19">
      <c r="B395" s="68"/>
      <c r="C395" s="57"/>
      <c r="D395" s="259" t="str">
        <f t="shared" si="43"/>
        <v/>
      </c>
      <c r="E395" s="260" t="str">
        <f t="shared" si="44"/>
        <v/>
      </c>
      <c r="F395" s="271" t="str">
        <f>IF(G395="","",VLOOKUP(G395,プルダウン用リスト!$K$1:$M$16,2,FALSE))</f>
        <v/>
      </c>
      <c r="G395" s="70"/>
      <c r="H395" s="58"/>
      <c r="I395" s="70"/>
      <c r="J395" s="135"/>
      <c r="K395" s="136"/>
      <c r="L395" s="71"/>
      <c r="M395" s="72"/>
      <c r="N395" s="72"/>
      <c r="O395" s="264" t="str">
        <f t="shared" si="45"/>
        <v/>
      </c>
      <c r="P395" s="230">
        <f t="shared" si="46"/>
        <v>0</v>
      </c>
      <c r="Q395" s="231" t="str">
        <f t="shared" si="42"/>
        <v>×</v>
      </c>
      <c r="R395" s="231" t="str">
        <f t="shared" si="47"/>
        <v>×</v>
      </c>
      <c r="S395" s="232" t="str">
        <f t="shared" si="48"/>
        <v/>
      </c>
    </row>
    <row r="396" spans="2:19">
      <c r="B396" s="68"/>
      <c r="C396" s="57"/>
      <c r="D396" s="259" t="str">
        <f t="shared" si="43"/>
        <v/>
      </c>
      <c r="E396" s="260" t="str">
        <f t="shared" si="44"/>
        <v/>
      </c>
      <c r="F396" s="271" t="str">
        <f>IF(G396="","",VLOOKUP(G396,プルダウン用リスト!$K$1:$M$16,2,FALSE))</f>
        <v/>
      </c>
      <c r="G396" s="70"/>
      <c r="H396" s="70"/>
      <c r="I396" s="70"/>
      <c r="J396" s="135"/>
      <c r="K396" s="136"/>
      <c r="L396" s="71"/>
      <c r="M396" s="72"/>
      <c r="N396" s="72"/>
      <c r="O396" s="264" t="str">
        <f t="shared" si="45"/>
        <v/>
      </c>
      <c r="P396" s="230">
        <f t="shared" si="46"/>
        <v>0</v>
      </c>
      <c r="Q396" s="231" t="str">
        <f t="shared" si="42"/>
        <v>×</v>
      </c>
      <c r="R396" s="231" t="str">
        <f t="shared" si="47"/>
        <v>×</v>
      </c>
      <c r="S396" s="232" t="str">
        <f t="shared" si="48"/>
        <v/>
      </c>
    </row>
    <row r="397" spans="2:19">
      <c r="B397" s="68"/>
      <c r="C397" s="57"/>
      <c r="D397" s="259" t="str">
        <f t="shared" si="43"/>
        <v/>
      </c>
      <c r="E397" s="260" t="str">
        <f t="shared" si="44"/>
        <v/>
      </c>
      <c r="F397" s="271" t="str">
        <f>IF(G397="","",VLOOKUP(G397,プルダウン用リスト!$K$1:$M$16,2,FALSE))</f>
        <v/>
      </c>
      <c r="G397" s="70"/>
      <c r="H397" s="58"/>
      <c r="I397" s="70"/>
      <c r="J397" s="135"/>
      <c r="K397" s="136"/>
      <c r="L397" s="71"/>
      <c r="M397" s="72"/>
      <c r="N397" s="72"/>
      <c r="O397" s="264" t="str">
        <f t="shared" si="45"/>
        <v/>
      </c>
      <c r="P397" s="230">
        <f t="shared" si="46"/>
        <v>0</v>
      </c>
      <c r="Q397" s="231" t="str">
        <f t="shared" si="42"/>
        <v>×</v>
      </c>
      <c r="R397" s="231" t="str">
        <f t="shared" si="47"/>
        <v>×</v>
      </c>
      <c r="S397" s="232" t="str">
        <f t="shared" si="48"/>
        <v/>
      </c>
    </row>
    <row r="398" spans="2:19">
      <c r="B398" s="68"/>
      <c r="C398" s="57"/>
      <c r="D398" s="259" t="str">
        <f t="shared" si="43"/>
        <v/>
      </c>
      <c r="E398" s="260" t="str">
        <f t="shared" si="44"/>
        <v/>
      </c>
      <c r="F398" s="271" t="str">
        <f>IF(G398="","",VLOOKUP(G398,プルダウン用リスト!$K$1:$M$16,2,FALSE))</f>
        <v/>
      </c>
      <c r="G398" s="70"/>
      <c r="H398" s="58"/>
      <c r="I398" s="70"/>
      <c r="J398" s="135"/>
      <c r="K398" s="136"/>
      <c r="L398" s="71"/>
      <c r="M398" s="72"/>
      <c r="N398" s="72"/>
      <c r="O398" s="264" t="str">
        <f t="shared" si="45"/>
        <v/>
      </c>
      <c r="P398" s="230">
        <f t="shared" si="46"/>
        <v>0</v>
      </c>
      <c r="Q398" s="231" t="str">
        <f t="shared" si="42"/>
        <v>×</v>
      </c>
      <c r="R398" s="231" t="str">
        <f t="shared" si="47"/>
        <v>×</v>
      </c>
      <c r="S398" s="232" t="str">
        <f t="shared" si="48"/>
        <v/>
      </c>
    </row>
    <row r="399" spans="2:19">
      <c r="B399" s="68"/>
      <c r="C399" s="57"/>
      <c r="D399" s="259" t="str">
        <f t="shared" si="43"/>
        <v/>
      </c>
      <c r="E399" s="260" t="str">
        <f t="shared" si="44"/>
        <v/>
      </c>
      <c r="F399" s="271" t="str">
        <f>IF(G399="","",VLOOKUP(G399,プルダウン用リスト!$K$1:$M$16,2,FALSE))</f>
        <v/>
      </c>
      <c r="G399" s="70"/>
      <c r="H399" s="70"/>
      <c r="I399" s="70"/>
      <c r="J399" s="135"/>
      <c r="K399" s="136"/>
      <c r="L399" s="71"/>
      <c r="M399" s="72"/>
      <c r="N399" s="72"/>
      <c r="O399" s="264" t="str">
        <f t="shared" si="45"/>
        <v/>
      </c>
      <c r="P399" s="230">
        <f t="shared" si="46"/>
        <v>0</v>
      </c>
      <c r="Q399" s="231" t="str">
        <f t="shared" si="42"/>
        <v>×</v>
      </c>
      <c r="R399" s="231" t="str">
        <f t="shared" si="47"/>
        <v>×</v>
      </c>
      <c r="S399" s="232" t="str">
        <f t="shared" si="48"/>
        <v/>
      </c>
    </row>
    <row r="400" spans="2:19">
      <c r="B400" s="68"/>
      <c r="C400" s="57"/>
      <c r="D400" s="259" t="str">
        <f t="shared" si="43"/>
        <v/>
      </c>
      <c r="E400" s="260" t="str">
        <f t="shared" si="44"/>
        <v/>
      </c>
      <c r="F400" s="271" t="str">
        <f>IF(G400="","",VLOOKUP(G400,プルダウン用リスト!$K$1:$M$16,2,FALSE))</f>
        <v/>
      </c>
      <c r="G400" s="70"/>
      <c r="H400" s="58"/>
      <c r="I400" s="70"/>
      <c r="J400" s="135"/>
      <c r="K400" s="136"/>
      <c r="L400" s="71"/>
      <c r="M400" s="72"/>
      <c r="N400" s="72"/>
      <c r="O400" s="264" t="str">
        <f t="shared" si="45"/>
        <v/>
      </c>
      <c r="P400" s="230">
        <f t="shared" si="46"/>
        <v>0</v>
      </c>
      <c r="Q400" s="231" t="str">
        <f t="shared" si="42"/>
        <v>×</v>
      </c>
      <c r="R400" s="231" t="str">
        <f t="shared" si="47"/>
        <v>×</v>
      </c>
      <c r="S400" s="232" t="str">
        <f t="shared" si="48"/>
        <v/>
      </c>
    </row>
    <row r="401" spans="2:19">
      <c r="B401" s="68"/>
      <c r="C401" s="57"/>
      <c r="D401" s="259" t="str">
        <f t="shared" si="43"/>
        <v/>
      </c>
      <c r="E401" s="260" t="str">
        <f t="shared" si="44"/>
        <v/>
      </c>
      <c r="F401" s="271" t="str">
        <f>IF(G401="","",VLOOKUP(G401,プルダウン用リスト!$K$1:$M$16,2,FALSE))</f>
        <v/>
      </c>
      <c r="G401" s="70"/>
      <c r="H401" s="58"/>
      <c r="I401" s="70"/>
      <c r="J401" s="135"/>
      <c r="K401" s="136"/>
      <c r="L401" s="71"/>
      <c r="M401" s="72"/>
      <c r="N401" s="72"/>
      <c r="O401" s="264" t="str">
        <f t="shared" si="45"/>
        <v/>
      </c>
      <c r="P401" s="230">
        <f t="shared" si="46"/>
        <v>0</v>
      </c>
      <c r="Q401" s="231" t="str">
        <f t="shared" si="42"/>
        <v>×</v>
      </c>
      <c r="R401" s="231" t="str">
        <f t="shared" si="47"/>
        <v>×</v>
      </c>
      <c r="S401" s="232" t="str">
        <f t="shared" si="48"/>
        <v/>
      </c>
    </row>
    <row r="402" spans="2:19">
      <c r="B402" s="68"/>
      <c r="C402" s="69"/>
      <c r="D402" s="259" t="str">
        <f t="shared" si="43"/>
        <v/>
      </c>
      <c r="E402" s="260" t="str">
        <f t="shared" si="44"/>
        <v/>
      </c>
      <c r="F402" s="271" t="str">
        <f>IF(G402="","",VLOOKUP(G402,プルダウン用リスト!$K$1:$M$16,2,FALSE))</f>
        <v/>
      </c>
      <c r="G402" s="70"/>
      <c r="H402" s="70"/>
      <c r="I402" s="70"/>
      <c r="J402" s="135"/>
      <c r="K402" s="136"/>
      <c r="L402" s="71"/>
      <c r="M402" s="72"/>
      <c r="N402" s="72"/>
      <c r="O402" s="264" t="str">
        <f t="shared" si="45"/>
        <v/>
      </c>
      <c r="P402" s="230">
        <f t="shared" si="46"/>
        <v>0</v>
      </c>
      <c r="Q402" s="231" t="str">
        <f t="shared" si="42"/>
        <v>×</v>
      </c>
      <c r="R402" s="231" t="str">
        <f t="shared" si="47"/>
        <v>×</v>
      </c>
      <c r="S402" s="232" t="str">
        <f t="shared" si="48"/>
        <v/>
      </c>
    </row>
    <row r="403" spans="2:19">
      <c r="B403" s="68"/>
      <c r="C403" s="57"/>
      <c r="D403" s="259" t="str">
        <f t="shared" si="43"/>
        <v/>
      </c>
      <c r="E403" s="260" t="str">
        <f t="shared" si="44"/>
        <v/>
      </c>
      <c r="F403" s="271" t="str">
        <f>IF(G403="","",VLOOKUP(G403,プルダウン用リスト!$K$1:$M$16,2,FALSE))</f>
        <v/>
      </c>
      <c r="G403" s="70"/>
      <c r="H403" s="58"/>
      <c r="I403" s="70"/>
      <c r="J403" s="135"/>
      <c r="K403" s="136"/>
      <c r="L403" s="71"/>
      <c r="M403" s="72"/>
      <c r="N403" s="72"/>
      <c r="O403" s="264" t="str">
        <f t="shared" si="45"/>
        <v/>
      </c>
      <c r="P403" s="230">
        <f t="shared" si="46"/>
        <v>0</v>
      </c>
      <c r="Q403" s="231" t="str">
        <f t="shared" si="42"/>
        <v>×</v>
      </c>
      <c r="R403" s="231" t="str">
        <f t="shared" si="47"/>
        <v>×</v>
      </c>
      <c r="S403" s="232" t="str">
        <f t="shared" si="48"/>
        <v/>
      </c>
    </row>
    <row r="404" spans="2:19">
      <c r="B404" s="68"/>
      <c r="C404" s="57"/>
      <c r="D404" s="259" t="str">
        <f t="shared" si="43"/>
        <v/>
      </c>
      <c r="E404" s="260" t="str">
        <f t="shared" si="44"/>
        <v/>
      </c>
      <c r="F404" s="271" t="str">
        <f>IF(G404="","",VLOOKUP(G404,プルダウン用リスト!$K$1:$M$16,2,FALSE))</f>
        <v/>
      </c>
      <c r="G404" s="70"/>
      <c r="H404" s="58"/>
      <c r="I404" s="70"/>
      <c r="J404" s="135"/>
      <c r="K404" s="136"/>
      <c r="L404" s="71"/>
      <c r="M404" s="72"/>
      <c r="N404" s="72"/>
      <c r="O404" s="264" t="str">
        <f t="shared" si="45"/>
        <v/>
      </c>
      <c r="P404" s="230">
        <f t="shared" si="46"/>
        <v>0</v>
      </c>
      <c r="Q404" s="231" t="str">
        <f t="shared" si="42"/>
        <v>×</v>
      </c>
      <c r="R404" s="231" t="str">
        <f t="shared" si="47"/>
        <v>×</v>
      </c>
      <c r="S404" s="232" t="str">
        <f t="shared" si="48"/>
        <v/>
      </c>
    </row>
    <row r="405" spans="2:19">
      <c r="B405" s="68"/>
      <c r="C405" s="57"/>
      <c r="D405" s="259" t="str">
        <f t="shared" si="43"/>
        <v/>
      </c>
      <c r="E405" s="260" t="str">
        <f t="shared" si="44"/>
        <v/>
      </c>
      <c r="F405" s="271" t="str">
        <f>IF(G405="","",VLOOKUP(G405,プルダウン用リスト!$K$1:$M$16,2,FALSE))</f>
        <v/>
      </c>
      <c r="G405" s="70"/>
      <c r="H405" s="70"/>
      <c r="I405" s="70"/>
      <c r="J405" s="135"/>
      <c r="K405" s="136"/>
      <c r="L405" s="71"/>
      <c r="M405" s="72"/>
      <c r="N405" s="72"/>
      <c r="O405" s="264" t="str">
        <f t="shared" si="45"/>
        <v/>
      </c>
      <c r="P405" s="230">
        <f t="shared" si="46"/>
        <v>0</v>
      </c>
      <c r="Q405" s="231" t="str">
        <f t="shared" si="42"/>
        <v>×</v>
      </c>
      <c r="R405" s="231" t="str">
        <f t="shared" si="47"/>
        <v>×</v>
      </c>
      <c r="S405" s="232" t="str">
        <f t="shared" si="48"/>
        <v/>
      </c>
    </row>
    <row r="406" spans="2:19">
      <c r="B406" s="68"/>
      <c r="C406" s="57"/>
      <c r="D406" s="259" t="str">
        <f t="shared" si="43"/>
        <v/>
      </c>
      <c r="E406" s="260" t="str">
        <f t="shared" si="44"/>
        <v/>
      </c>
      <c r="F406" s="271" t="str">
        <f>IF(G406="","",VLOOKUP(G406,プルダウン用リスト!$K$1:$M$16,2,FALSE))</f>
        <v/>
      </c>
      <c r="G406" s="70"/>
      <c r="H406" s="58"/>
      <c r="I406" s="70"/>
      <c r="J406" s="135"/>
      <c r="K406" s="136"/>
      <c r="L406" s="71"/>
      <c r="M406" s="72"/>
      <c r="N406" s="72"/>
      <c r="O406" s="264" t="str">
        <f t="shared" si="45"/>
        <v/>
      </c>
      <c r="P406" s="230">
        <f t="shared" si="46"/>
        <v>0</v>
      </c>
      <c r="Q406" s="231" t="str">
        <f t="shared" si="42"/>
        <v>×</v>
      </c>
      <c r="R406" s="231" t="str">
        <f t="shared" si="47"/>
        <v>×</v>
      </c>
      <c r="S406" s="232" t="str">
        <f t="shared" si="48"/>
        <v/>
      </c>
    </row>
    <row r="407" spans="2:19">
      <c r="B407" s="68"/>
      <c r="C407" s="57"/>
      <c r="D407" s="259" t="str">
        <f t="shared" si="43"/>
        <v/>
      </c>
      <c r="E407" s="260" t="str">
        <f t="shared" si="44"/>
        <v/>
      </c>
      <c r="F407" s="271" t="str">
        <f>IF(G407="","",VLOOKUP(G407,プルダウン用リスト!$K$1:$M$16,2,FALSE))</f>
        <v/>
      </c>
      <c r="G407" s="70"/>
      <c r="H407" s="58"/>
      <c r="I407" s="70"/>
      <c r="J407" s="135"/>
      <c r="K407" s="136"/>
      <c r="L407" s="71"/>
      <c r="M407" s="72"/>
      <c r="N407" s="72"/>
      <c r="O407" s="264" t="str">
        <f t="shared" si="45"/>
        <v/>
      </c>
      <c r="P407" s="230">
        <f t="shared" si="46"/>
        <v>0</v>
      </c>
      <c r="Q407" s="231" t="str">
        <f t="shared" si="42"/>
        <v>×</v>
      </c>
      <c r="R407" s="231" t="str">
        <f t="shared" si="47"/>
        <v>×</v>
      </c>
      <c r="S407" s="232" t="str">
        <f t="shared" si="48"/>
        <v/>
      </c>
    </row>
    <row r="408" spans="2:19">
      <c r="B408" s="68"/>
      <c r="C408" s="57"/>
      <c r="D408" s="259" t="str">
        <f t="shared" si="43"/>
        <v/>
      </c>
      <c r="E408" s="260" t="str">
        <f t="shared" si="44"/>
        <v/>
      </c>
      <c r="F408" s="271" t="str">
        <f>IF(G408="","",VLOOKUP(G408,プルダウン用リスト!$K$1:$M$16,2,FALSE))</f>
        <v/>
      </c>
      <c r="G408" s="70"/>
      <c r="H408" s="70"/>
      <c r="I408" s="70"/>
      <c r="J408" s="135"/>
      <c r="K408" s="136"/>
      <c r="L408" s="71"/>
      <c r="M408" s="72"/>
      <c r="N408" s="72"/>
      <c r="O408" s="264" t="str">
        <f t="shared" si="45"/>
        <v/>
      </c>
      <c r="P408" s="230">
        <f t="shared" si="46"/>
        <v>0</v>
      </c>
      <c r="Q408" s="231" t="str">
        <f t="shared" si="42"/>
        <v>×</v>
      </c>
      <c r="R408" s="231" t="str">
        <f t="shared" si="47"/>
        <v>×</v>
      </c>
      <c r="S408" s="232" t="str">
        <f t="shared" si="48"/>
        <v/>
      </c>
    </row>
    <row r="409" spans="2:19">
      <c r="B409" s="68"/>
      <c r="C409" s="57"/>
      <c r="D409" s="259" t="str">
        <f t="shared" si="43"/>
        <v/>
      </c>
      <c r="E409" s="260" t="str">
        <f t="shared" si="44"/>
        <v/>
      </c>
      <c r="F409" s="271" t="str">
        <f>IF(G409="","",VLOOKUP(G409,プルダウン用リスト!$K$1:$M$16,2,FALSE))</f>
        <v/>
      </c>
      <c r="G409" s="70"/>
      <c r="H409" s="58"/>
      <c r="I409" s="70"/>
      <c r="J409" s="135"/>
      <c r="K409" s="136"/>
      <c r="L409" s="71"/>
      <c r="M409" s="72"/>
      <c r="N409" s="72"/>
      <c r="O409" s="264" t="str">
        <f t="shared" si="45"/>
        <v/>
      </c>
      <c r="P409" s="230">
        <f t="shared" si="46"/>
        <v>0</v>
      </c>
      <c r="Q409" s="231" t="str">
        <f t="shared" si="42"/>
        <v>×</v>
      </c>
      <c r="R409" s="231" t="str">
        <f t="shared" si="47"/>
        <v>×</v>
      </c>
      <c r="S409" s="232" t="str">
        <f t="shared" si="48"/>
        <v/>
      </c>
    </row>
    <row r="410" spans="2:19">
      <c r="B410" s="68"/>
      <c r="C410" s="57"/>
      <c r="D410" s="259" t="str">
        <f t="shared" si="43"/>
        <v/>
      </c>
      <c r="E410" s="260" t="str">
        <f t="shared" si="44"/>
        <v/>
      </c>
      <c r="F410" s="271" t="str">
        <f>IF(G410="","",VLOOKUP(G410,プルダウン用リスト!$K$1:$M$16,2,FALSE))</f>
        <v/>
      </c>
      <c r="G410" s="70"/>
      <c r="H410" s="58"/>
      <c r="I410" s="70"/>
      <c r="J410" s="135"/>
      <c r="K410" s="136"/>
      <c r="L410" s="71"/>
      <c r="M410" s="72"/>
      <c r="N410" s="72"/>
      <c r="O410" s="264" t="str">
        <f t="shared" si="45"/>
        <v/>
      </c>
      <c r="P410" s="230">
        <f t="shared" si="46"/>
        <v>0</v>
      </c>
      <c r="Q410" s="231" t="str">
        <f t="shared" si="42"/>
        <v>×</v>
      </c>
      <c r="R410" s="231" t="str">
        <f t="shared" si="47"/>
        <v>×</v>
      </c>
      <c r="S410" s="232" t="str">
        <f t="shared" si="48"/>
        <v/>
      </c>
    </row>
    <row r="411" spans="2:19">
      <c r="B411" s="68"/>
      <c r="C411" s="57"/>
      <c r="D411" s="259" t="str">
        <f t="shared" si="43"/>
        <v/>
      </c>
      <c r="E411" s="260" t="str">
        <f t="shared" si="44"/>
        <v/>
      </c>
      <c r="F411" s="271" t="str">
        <f>IF(G411="","",VLOOKUP(G411,プルダウン用リスト!$K$1:$M$16,2,FALSE))</f>
        <v/>
      </c>
      <c r="G411" s="70"/>
      <c r="H411" s="70"/>
      <c r="I411" s="70"/>
      <c r="J411" s="135"/>
      <c r="K411" s="136"/>
      <c r="L411" s="71"/>
      <c r="M411" s="72"/>
      <c r="N411" s="72"/>
      <c r="O411" s="264" t="str">
        <f t="shared" si="45"/>
        <v/>
      </c>
      <c r="P411" s="230">
        <f t="shared" si="46"/>
        <v>0</v>
      </c>
      <c r="Q411" s="231" t="str">
        <f t="shared" si="42"/>
        <v>×</v>
      </c>
      <c r="R411" s="231" t="str">
        <f t="shared" si="47"/>
        <v>×</v>
      </c>
      <c r="S411" s="232" t="str">
        <f t="shared" si="48"/>
        <v/>
      </c>
    </row>
    <row r="412" spans="2:19">
      <c r="B412" s="68"/>
      <c r="C412" s="57"/>
      <c r="D412" s="259" t="str">
        <f t="shared" si="43"/>
        <v/>
      </c>
      <c r="E412" s="260" t="str">
        <f t="shared" si="44"/>
        <v/>
      </c>
      <c r="F412" s="271" t="str">
        <f>IF(G412="","",VLOOKUP(G412,プルダウン用リスト!$K$1:$M$16,2,FALSE))</f>
        <v/>
      </c>
      <c r="G412" s="70"/>
      <c r="H412" s="58"/>
      <c r="I412" s="70"/>
      <c r="J412" s="135"/>
      <c r="K412" s="136"/>
      <c r="L412" s="71"/>
      <c r="M412" s="72"/>
      <c r="N412" s="72"/>
      <c r="O412" s="264" t="str">
        <f t="shared" si="45"/>
        <v/>
      </c>
      <c r="P412" s="230">
        <f t="shared" si="46"/>
        <v>0</v>
      </c>
      <c r="Q412" s="231" t="str">
        <f t="shared" si="42"/>
        <v>×</v>
      </c>
      <c r="R412" s="231" t="str">
        <f t="shared" si="47"/>
        <v>×</v>
      </c>
      <c r="S412" s="232" t="str">
        <f t="shared" si="48"/>
        <v/>
      </c>
    </row>
    <row r="413" spans="2:19">
      <c r="B413" s="68"/>
      <c r="C413" s="57"/>
      <c r="D413" s="259" t="str">
        <f t="shared" si="43"/>
        <v/>
      </c>
      <c r="E413" s="260" t="str">
        <f t="shared" si="44"/>
        <v/>
      </c>
      <c r="F413" s="271" t="str">
        <f>IF(G413="","",VLOOKUP(G413,プルダウン用リスト!$K$1:$M$16,2,FALSE))</f>
        <v/>
      </c>
      <c r="G413" s="70"/>
      <c r="H413" s="58"/>
      <c r="I413" s="70"/>
      <c r="J413" s="135"/>
      <c r="K413" s="136"/>
      <c r="L413" s="71"/>
      <c r="M413" s="72"/>
      <c r="N413" s="72"/>
      <c r="O413" s="264" t="str">
        <f t="shared" si="45"/>
        <v/>
      </c>
      <c r="P413" s="230">
        <f t="shared" si="46"/>
        <v>0</v>
      </c>
      <c r="Q413" s="231" t="str">
        <f t="shared" si="42"/>
        <v>×</v>
      </c>
      <c r="R413" s="231" t="str">
        <f t="shared" si="47"/>
        <v>×</v>
      </c>
      <c r="S413" s="232" t="str">
        <f t="shared" si="48"/>
        <v/>
      </c>
    </row>
    <row r="414" spans="2:19">
      <c r="B414" s="68"/>
      <c r="C414" s="69"/>
      <c r="D414" s="259" t="str">
        <f t="shared" si="43"/>
        <v/>
      </c>
      <c r="E414" s="260" t="str">
        <f t="shared" si="44"/>
        <v/>
      </c>
      <c r="F414" s="271" t="str">
        <f>IF(G414="","",VLOOKUP(G414,プルダウン用リスト!$K$1:$M$16,2,FALSE))</f>
        <v/>
      </c>
      <c r="G414" s="70"/>
      <c r="H414" s="70"/>
      <c r="I414" s="70"/>
      <c r="J414" s="135"/>
      <c r="K414" s="136"/>
      <c r="L414" s="71"/>
      <c r="M414" s="72"/>
      <c r="N414" s="72"/>
      <c r="O414" s="264" t="str">
        <f t="shared" si="45"/>
        <v/>
      </c>
      <c r="P414" s="230">
        <f t="shared" si="46"/>
        <v>0</v>
      </c>
      <c r="Q414" s="231" t="str">
        <f t="shared" si="42"/>
        <v>×</v>
      </c>
      <c r="R414" s="231" t="str">
        <f t="shared" si="47"/>
        <v>×</v>
      </c>
      <c r="S414" s="232" t="str">
        <f t="shared" si="48"/>
        <v/>
      </c>
    </row>
    <row r="415" spans="2:19">
      <c r="B415" s="68"/>
      <c r="C415" s="57"/>
      <c r="D415" s="259" t="str">
        <f t="shared" si="43"/>
        <v/>
      </c>
      <c r="E415" s="260" t="str">
        <f t="shared" si="44"/>
        <v/>
      </c>
      <c r="F415" s="271" t="str">
        <f>IF(G415="","",VLOOKUP(G415,プルダウン用リスト!$K$1:$M$16,2,FALSE))</f>
        <v/>
      </c>
      <c r="G415" s="70"/>
      <c r="H415" s="58"/>
      <c r="I415" s="70"/>
      <c r="J415" s="135"/>
      <c r="K415" s="136"/>
      <c r="L415" s="71"/>
      <c r="M415" s="72"/>
      <c r="N415" s="72"/>
      <c r="O415" s="264" t="str">
        <f t="shared" si="45"/>
        <v/>
      </c>
      <c r="P415" s="230">
        <f t="shared" si="46"/>
        <v>0</v>
      </c>
      <c r="Q415" s="231" t="str">
        <f t="shared" si="42"/>
        <v>×</v>
      </c>
      <c r="R415" s="231" t="str">
        <f t="shared" si="47"/>
        <v>×</v>
      </c>
      <c r="S415" s="232" t="str">
        <f t="shared" si="48"/>
        <v/>
      </c>
    </row>
    <row r="416" spans="2:19">
      <c r="B416" s="68"/>
      <c r="C416" s="57"/>
      <c r="D416" s="259" t="str">
        <f t="shared" si="43"/>
        <v/>
      </c>
      <c r="E416" s="260" t="str">
        <f t="shared" si="44"/>
        <v/>
      </c>
      <c r="F416" s="271" t="str">
        <f>IF(G416="","",VLOOKUP(G416,プルダウン用リスト!$K$1:$M$16,2,FALSE))</f>
        <v/>
      </c>
      <c r="G416" s="70"/>
      <c r="H416" s="58"/>
      <c r="I416" s="70"/>
      <c r="J416" s="135"/>
      <c r="K416" s="136"/>
      <c r="L416" s="71"/>
      <c r="M416" s="72"/>
      <c r="N416" s="72"/>
      <c r="O416" s="264" t="str">
        <f t="shared" si="45"/>
        <v/>
      </c>
      <c r="P416" s="230">
        <f t="shared" si="46"/>
        <v>0</v>
      </c>
      <c r="Q416" s="231" t="str">
        <f t="shared" si="42"/>
        <v>×</v>
      </c>
      <c r="R416" s="231" t="str">
        <f t="shared" si="47"/>
        <v>×</v>
      </c>
      <c r="S416" s="232" t="str">
        <f t="shared" si="48"/>
        <v/>
      </c>
    </row>
    <row r="417" spans="2:19">
      <c r="B417" s="68"/>
      <c r="C417" s="57"/>
      <c r="D417" s="259" t="str">
        <f t="shared" si="43"/>
        <v/>
      </c>
      <c r="E417" s="260" t="str">
        <f t="shared" si="44"/>
        <v/>
      </c>
      <c r="F417" s="271" t="str">
        <f>IF(G417="","",VLOOKUP(G417,プルダウン用リスト!$K$1:$M$16,2,FALSE))</f>
        <v/>
      </c>
      <c r="G417" s="70"/>
      <c r="H417" s="70"/>
      <c r="I417" s="70"/>
      <c r="J417" s="135"/>
      <c r="K417" s="136"/>
      <c r="L417" s="71"/>
      <c r="M417" s="72"/>
      <c r="N417" s="72"/>
      <c r="O417" s="264" t="str">
        <f t="shared" si="45"/>
        <v/>
      </c>
      <c r="P417" s="230">
        <f t="shared" si="46"/>
        <v>0</v>
      </c>
      <c r="Q417" s="231" t="str">
        <f t="shared" si="42"/>
        <v>×</v>
      </c>
      <c r="R417" s="231" t="str">
        <f t="shared" si="47"/>
        <v>×</v>
      </c>
      <c r="S417" s="232" t="str">
        <f t="shared" si="48"/>
        <v/>
      </c>
    </row>
    <row r="418" spans="2:19">
      <c r="B418" s="68"/>
      <c r="C418" s="57"/>
      <c r="D418" s="259" t="str">
        <f t="shared" si="43"/>
        <v/>
      </c>
      <c r="E418" s="260" t="str">
        <f t="shared" si="44"/>
        <v/>
      </c>
      <c r="F418" s="271" t="str">
        <f>IF(G418="","",VLOOKUP(G418,プルダウン用リスト!$K$1:$M$16,2,FALSE))</f>
        <v/>
      </c>
      <c r="G418" s="70"/>
      <c r="H418" s="58"/>
      <c r="I418" s="70"/>
      <c r="J418" s="135"/>
      <c r="K418" s="136"/>
      <c r="L418" s="71"/>
      <c r="M418" s="72"/>
      <c r="N418" s="72"/>
      <c r="O418" s="264" t="str">
        <f t="shared" si="45"/>
        <v/>
      </c>
      <c r="P418" s="230">
        <f t="shared" si="46"/>
        <v>0</v>
      </c>
      <c r="Q418" s="231" t="str">
        <f t="shared" si="42"/>
        <v>×</v>
      </c>
      <c r="R418" s="231" t="str">
        <f t="shared" si="47"/>
        <v>×</v>
      </c>
      <c r="S418" s="232" t="str">
        <f t="shared" si="48"/>
        <v/>
      </c>
    </row>
    <row r="419" spans="2:19">
      <c r="B419" s="68"/>
      <c r="C419" s="57"/>
      <c r="D419" s="259" t="str">
        <f t="shared" si="43"/>
        <v/>
      </c>
      <c r="E419" s="260" t="str">
        <f t="shared" si="44"/>
        <v/>
      </c>
      <c r="F419" s="271" t="str">
        <f>IF(G419="","",VLOOKUP(G419,プルダウン用リスト!$K$1:$M$16,2,FALSE))</f>
        <v/>
      </c>
      <c r="G419" s="70"/>
      <c r="H419" s="58"/>
      <c r="I419" s="70"/>
      <c r="J419" s="135"/>
      <c r="K419" s="136"/>
      <c r="L419" s="71"/>
      <c r="M419" s="72"/>
      <c r="N419" s="72"/>
      <c r="O419" s="264" t="str">
        <f t="shared" si="45"/>
        <v/>
      </c>
      <c r="P419" s="230">
        <f t="shared" si="46"/>
        <v>0</v>
      </c>
      <c r="Q419" s="231" t="str">
        <f t="shared" si="42"/>
        <v>×</v>
      </c>
      <c r="R419" s="231" t="str">
        <f t="shared" si="47"/>
        <v>×</v>
      </c>
      <c r="S419" s="232" t="str">
        <f t="shared" si="48"/>
        <v/>
      </c>
    </row>
    <row r="420" spans="2:19">
      <c r="B420" s="68"/>
      <c r="C420" s="57"/>
      <c r="D420" s="259" t="str">
        <f t="shared" si="43"/>
        <v/>
      </c>
      <c r="E420" s="260" t="str">
        <f t="shared" si="44"/>
        <v/>
      </c>
      <c r="F420" s="271" t="str">
        <f>IF(G420="","",VLOOKUP(G420,プルダウン用リスト!$K$1:$M$16,2,FALSE))</f>
        <v/>
      </c>
      <c r="G420" s="70"/>
      <c r="H420" s="70"/>
      <c r="I420" s="70"/>
      <c r="J420" s="135"/>
      <c r="K420" s="136"/>
      <c r="L420" s="71"/>
      <c r="M420" s="72"/>
      <c r="N420" s="72"/>
      <c r="O420" s="264" t="str">
        <f t="shared" si="45"/>
        <v/>
      </c>
      <c r="P420" s="230">
        <f t="shared" si="46"/>
        <v>0</v>
      </c>
      <c r="Q420" s="231" t="str">
        <f t="shared" si="42"/>
        <v>×</v>
      </c>
      <c r="R420" s="231" t="str">
        <f t="shared" si="47"/>
        <v>×</v>
      </c>
      <c r="S420" s="232" t="str">
        <f t="shared" si="48"/>
        <v/>
      </c>
    </row>
    <row r="421" spans="2:19">
      <c r="B421" s="68"/>
      <c r="C421" s="57"/>
      <c r="D421" s="259" t="str">
        <f t="shared" si="43"/>
        <v/>
      </c>
      <c r="E421" s="260" t="str">
        <f t="shared" si="44"/>
        <v/>
      </c>
      <c r="F421" s="271" t="str">
        <f>IF(G421="","",VLOOKUP(G421,プルダウン用リスト!$K$1:$M$16,2,FALSE))</f>
        <v/>
      </c>
      <c r="G421" s="70"/>
      <c r="H421" s="58"/>
      <c r="I421" s="70"/>
      <c r="J421" s="135"/>
      <c r="K421" s="136"/>
      <c r="L421" s="71"/>
      <c r="M421" s="72"/>
      <c r="N421" s="72"/>
      <c r="O421" s="264" t="str">
        <f t="shared" si="45"/>
        <v/>
      </c>
      <c r="P421" s="230">
        <f t="shared" si="46"/>
        <v>0</v>
      </c>
      <c r="Q421" s="231" t="str">
        <f t="shared" si="42"/>
        <v>×</v>
      </c>
      <c r="R421" s="231" t="str">
        <f t="shared" si="47"/>
        <v>×</v>
      </c>
      <c r="S421" s="232" t="str">
        <f t="shared" si="48"/>
        <v/>
      </c>
    </row>
    <row r="422" spans="2:19">
      <c r="B422" s="68"/>
      <c r="C422" s="57"/>
      <c r="D422" s="259" t="str">
        <f t="shared" si="43"/>
        <v/>
      </c>
      <c r="E422" s="260" t="str">
        <f t="shared" si="44"/>
        <v/>
      </c>
      <c r="F422" s="271" t="str">
        <f>IF(G422="","",VLOOKUP(G422,プルダウン用リスト!$K$1:$M$16,2,FALSE))</f>
        <v/>
      </c>
      <c r="G422" s="70"/>
      <c r="H422" s="58"/>
      <c r="I422" s="70"/>
      <c r="J422" s="135"/>
      <c r="K422" s="136"/>
      <c r="L422" s="71"/>
      <c r="M422" s="72"/>
      <c r="N422" s="72"/>
      <c r="O422" s="264" t="str">
        <f t="shared" si="45"/>
        <v/>
      </c>
      <c r="P422" s="230">
        <f t="shared" si="46"/>
        <v>0</v>
      </c>
      <c r="Q422" s="231" t="str">
        <f t="shared" si="42"/>
        <v>×</v>
      </c>
      <c r="R422" s="231" t="str">
        <f t="shared" si="47"/>
        <v>×</v>
      </c>
      <c r="S422" s="232" t="str">
        <f t="shared" si="48"/>
        <v/>
      </c>
    </row>
    <row r="423" spans="2:19">
      <c r="B423" s="68"/>
      <c r="C423" s="57"/>
      <c r="D423" s="259" t="str">
        <f t="shared" si="43"/>
        <v/>
      </c>
      <c r="E423" s="260" t="str">
        <f t="shared" si="44"/>
        <v/>
      </c>
      <c r="F423" s="271" t="str">
        <f>IF(G423="","",VLOOKUP(G423,プルダウン用リスト!$K$1:$M$16,2,FALSE))</f>
        <v/>
      </c>
      <c r="G423" s="70"/>
      <c r="H423" s="70"/>
      <c r="I423" s="70"/>
      <c r="J423" s="135"/>
      <c r="K423" s="136"/>
      <c r="L423" s="71"/>
      <c r="M423" s="72"/>
      <c r="N423" s="72"/>
      <c r="O423" s="264" t="str">
        <f t="shared" si="45"/>
        <v/>
      </c>
      <c r="P423" s="230">
        <f t="shared" si="46"/>
        <v>0</v>
      </c>
      <c r="Q423" s="231" t="str">
        <f t="shared" si="42"/>
        <v>×</v>
      </c>
      <c r="R423" s="231" t="str">
        <f t="shared" si="47"/>
        <v>×</v>
      </c>
      <c r="S423" s="232" t="str">
        <f t="shared" si="48"/>
        <v/>
      </c>
    </row>
    <row r="424" spans="2:19">
      <c r="B424" s="68"/>
      <c r="C424" s="57"/>
      <c r="D424" s="259" t="str">
        <f t="shared" si="43"/>
        <v/>
      </c>
      <c r="E424" s="260" t="str">
        <f t="shared" si="44"/>
        <v/>
      </c>
      <c r="F424" s="271" t="str">
        <f>IF(G424="","",VLOOKUP(G424,プルダウン用リスト!$K$1:$M$16,2,FALSE))</f>
        <v/>
      </c>
      <c r="G424" s="70"/>
      <c r="H424" s="58"/>
      <c r="I424" s="70"/>
      <c r="J424" s="135"/>
      <c r="K424" s="136"/>
      <c r="L424" s="71"/>
      <c r="M424" s="72"/>
      <c r="N424" s="72"/>
      <c r="O424" s="264" t="str">
        <f t="shared" si="45"/>
        <v/>
      </c>
      <c r="P424" s="230">
        <f t="shared" si="46"/>
        <v>0</v>
      </c>
      <c r="Q424" s="231" t="str">
        <f t="shared" si="42"/>
        <v>×</v>
      </c>
      <c r="R424" s="231" t="str">
        <f t="shared" si="47"/>
        <v>×</v>
      </c>
      <c r="S424" s="232" t="str">
        <f t="shared" si="48"/>
        <v/>
      </c>
    </row>
    <row r="425" spans="2:19">
      <c r="B425" s="68"/>
      <c r="C425" s="57"/>
      <c r="D425" s="259" t="str">
        <f t="shared" si="43"/>
        <v/>
      </c>
      <c r="E425" s="260" t="str">
        <f t="shared" si="44"/>
        <v/>
      </c>
      <c r="F425" s="271" t="str">
        <f>IF(G425="","",VLOOKUP(G425,プルダウン用リスト!$K$1:$M$16,2,FALSE))</f>
        <v/>
      </c>
      <c r="G425" s="70"/>
      <c r="H425" s="58"/>
      <c r="I425" s="70"/>
      <c r="J425" s="135"/>
      <c r="K425" s="136"/>
      <c r="L425" s="71"/>
      <c r="M425" s="72"/>
      <c r="N425" s="72"/>
      <c r="O425" s="264" t="str">
        <f t="shared" si="45"/>
        <v/>
      </c>
      <c r="P425" s="230">
        <f t="shared" si="46"/>
        <v>0</v>
      </c>
      <c r="Q425" s="231" t="str">
        <f t="shared" si="42"/>
        <v>×</v>
      </c>
      <c r="R425" s="231" t="str">
        <f t="shared" si="47"/>
        <v>×</v>
      </c>
      <c r="S425" s="232" t="str">
        <f t="shared" si="48"/>
        <v/>
      </c>
    </row>
    <row r="426" spans="2:19">
      <c r="B426" s="68"/>
      <c r="C426" s="69"/>
      <c r="D426" s="259" t="str">
        <f t="shared" si="43"/>
        <v/>
      </c>
      <c r="E426" s="260" t="str">
        <f t="shared" si="44"/>
        <v/>
      </c>
      <c r="F426" s="271" t="str">
        <f>IF(G426="","",VLOOKUP(G426,プルダウン用リスト!$K$1:$M$16,2,FALSE))</f>
        <v/>
      </c>
      <c r="G426" s="70"/>
      <c r="H426" s="70"/>
      <c r="I426" s="70"/>
      <c r="J426" s="135"/>
      <c r="K426" s="136"/>
      <c r="L426" s="71"/>
      <c r="M426" s="72"/>
      <c r="N426" s="72"/>
      <c r="O426" s="264" t="str">
        <f t="shared" si="45"/>
        <v/>
      </c>
      <c r="P426" s="230">
        <f t="shared" si="46"/>
        <v>0</v>
      </c>
      <c r="Q426" s="231" t="str">
        <f t="shared" si="42"/>
        <v>×</v>
      </c>
      <c r="R426" s="231" t="str">
        <f t="shared" si="47"/>
        <v>×</v>
      </c>
      <c r="S426" s="232" t="str">
        <f t="shared" si="48"/>
        <v/>
      </c>
    </row>
    <row r="427" spans="2:19">
      <c r="B427" s="68"/>
      <c r="C427" s="57"/>
      <c r="D427" s="259" t="str">
        <f t="shared" si="43"/>
        <v/>
      </c>
      <c r="E427" s="260" t="str">
        <f t="shared" si="44"/>
        <v/>
      </c>
      <c r="F427" s="271" t="str">
        <f>IF(G427="","",VLOOKUP(G427,プルダウン用リスト!$K$1:$M$16,2,FALSE))</f>
        <v/>
      </c>
      <c r="G427" s="70"/>
      <c r="H427" s="58"/>
      <c r="I427" s="70"/>
      <c r="J427" s="135"/>
      <c r="K427" s="136"/>
      <c r="L427" s="71"/>
      <c r="M427" s="72"/>
      <c r="N427" s="72"/>
      <c r="O427" s="264" t="str">
        <f t="shared" si="45"/>
        <v/>
      </c>
      <c r="P427" s="230">
        <f t="shared" si="46"/>
        <v>0</v>
      </c>
      <c r="Q427" s="231" t="str">
        <f t="shared" si="42"/>
        <v>×</v>
      </c>
      <c r="R427" s="231" t="str">
        <f t="shared" si="47"/>
        <v>×</v>
      </c>
      <c r="S427" s="232" t="str">
        <f t="shared" si="48"/>
        <v/>
      </c>
    </row>
    <row r="428" spans="2:19">
      <c r="B428" s="68"/>
      <c r="C428" s="57"/>
      <c r="D428" s="259" t="str">
        <f t="shared" si="43"/>
        <v/>
      </c>
      <c r="E428" s="260" t="str">
        <f t="shared" si="44"/>
        <v/>
      </c>
      <c r="F428" s="271" t="str">
        <f>IF(G428="","",VLOOKUP(G428,プルダウン用リスト!$K$1:$M$16,2,FALSE))</f>
        <v/>
      </c>
      <c r="G428" s="70"/>
      <c r="H428" s="58"/>
      <c r="I428" s="70"/>
      <c r="J428" s="135"/>
      <c r="K428" s="136"/>
      <c r="L428" s="71"/>
      <c r="M428" s="72"/>
      <c r="N428" s="72"/>
      <c r="O428" s="264" t="str">
        <f t="shared" si="45"/>
        <v/>
      </c>
      <c r="P428" s="230">
        <f t="shared" si="46"/>
        <v>0</v>
      </c>
      <c r="Q428" s="231" t="str">
        <f t="shared" si="42"/>
        <v>×</v>
      </c>
      <c r="R428" s="231" t="str">
        <f t="shared" si="47"/>
        <v>×</v>
      </c>
      <c r="S428" s="232" t="str">
        <f t="shared" si="48"/>
        <v/>
      </c>
    </row>
    <row r="429" spans="2:19">
      <c r="B429" s="68"/>
      <c r="C429" s="57"/>
      <c r="D429" s="259" t="str">
        <f t="shared" si="43"/>
        <v/>
      </c>
      <c r="E429" s="260" t="str">
        <f t="shared" si="44"/>
        <v/>
      </c>
      <c r="F429" s="271" t="str">
        <f>IF(G429="","",VLOOKUP(G429,プルダウン用リスト!$K$1:$M$16,2,FALSE))</f>
        <v/>
      </c>
      <c r="G429" s="70"/>
      <c r="H429" s="70"/>
      <c r="I429" s="70"/>
      <c r="J429" s="135"/>
      <c r="K429" s="136"/>
      <c r="L429" s="71"/>
      <c r="M429" s="72"/>
      <c r="N429" s="72"/>
      <c r="O429" s="264" t="str">
        <f t="shared" si="45"/>
        <v/>
      </c>
      <c r="P429" s="230">
        <f t="shared" si="46"/>
        <v>0</v>
      </c>
      <c r="Q429" s="231" t="str">
        <f t="shared" si="42"/>
        <v>×</v>
      </c>
      <c r="R429" s="231" t="str">
        <f t="shared" si="47"/>
        <v>×</v>
      </c>
      <c r="S429" s="232" t="str">
        <f t="shared" si="48"/>
        <v/>
      </c>
    </row>
    <row r="430" spans="2:19">
      <c r="B430" s="68"/>
      <c r="C430" s="57"/>
      <c r="D430" s="259" t="str">
        <f t="shared" si="43"/>
        <v/>
      </c>
      <c r="E430" s="260" t="str">
        <f t="shared" si="44"/>
        <v/>
      </c>
      <c r="F430" s="271" t="str">
        <f>IF(G430="","",VLOOKUP(G430,プルダウン用リスト!$K$1:$M$16,2,FALSE))</f>
        <v/>
      </c>
      <c r="G430" s="70"/>
      <c r="H430" s="58"/>
      <c r="I430" s="70"/>
      <c r="J430" s="135"/>
      <c r="K430" s="136"/>
      <c r="L430" s="71"/>
      <c r="M430" s="72"/>
      <c r="N430" s="72"/>
      <c r="O430" s="264" t="str">
        <f t="shared" si="45"/>
        <v/>
      </c>
      <c r="P430" s="230">
        <f t="shared" si="46"/>
        <v>0</v>
      </c>
      <c r="Q430" s="231" t="str">
        <f t="shared" si="42"/>
        <v>×</v>
      </c>
      <c r="R430" s="231" t="str">
        <f t="shared" si="47"/>
        <v>×</v>
      </c>
      <c r="S430" s="232" t="str">
        <f t="shared" si="48"/>
        <v/>
      </c>
    </row>
    <row r="431" spans="2:19">
      <c r="B431" s="68"/>
      <c r="C431" s="57"/>
      <c r="D431" s="259" t="str">
        <f t="shared" si="43"/>
        <v/>
      </c>
      <c r="E431" s="260" t="str">
        <f t="shared" si="44"/>
        <v/>
      </c>
      <c r="F431" s="271" t="str">
        <f>IF(G431="","",VLOOKUP(G431,プルダウン用リスト!$K$1:$M$16,2,FALSE))</f>
        <v/>
      </c>
      <c r="G431" s="70"/>
      <c r="H431" s="58"/>
      <c r="I431" s="70"/>
      <c r="J431" s="135"/>
      <c r="K431" s="136"/>
      <c r="L431" s="71"/>
      <c r="M431" s="72"/>
      <c r="N431" s="72"/>
      <c r="O431" s="264" t="str">
        <f t="shared" si="45"/>
        <v/>
      </c>
      <c r="P431" s="230">
        <f t="shared" si="46"/>
        <v>0</v>
      </c>
      <c r="Q431" s="231" t="str">
        <f t="shared" si="42"/>
        <v>×</v>
      </c>
      <c r="R431" s="231" t="str">
        <f t="shared" si="47"/>
        <v>×</v>
      </c>
      <c r="S431" s="232" t="str">
        <f t="shared" si="48"/>
        <v/>
      </c>
    </row>
    <row r="432" spans="2:19">
      <c r="B432" s="68"/>
      <c r="C432" s="57"/>
      <c r="D432" s="259" t="str">
        <f t="shared" si="43"/>
        <v/>
      </c>
      <c r="E432" s="260" t="str">
        <f t="shared" si="44"/>
        <v/>
      </c>
      <c r="F432" s="271" t="str">
        <f>IF(G432="","",VLOOKUP(G432,プルダウン用リスト!$K$1:$M$16,2,FALSE))</f>
        <v/>
      </c>
      <c r="G432" s="70"/>
      <c r="H432" s="70"/>
      <c r="I432" s="70"/>
      <c r="J432" s="135"/>
      <c r="K432" s="136"/>
      <c r="L432" s="71"/>
      <c r="M432" s="72"/>
      <c r="N432" s="72"/>
      <c r="O432" s="264" t="str">
        <f t="shared" si="45"/>
        <v/>
      </c>
      <c r="P432" s="230">
        <f t="shared" si="46"/>
        <v>0</v>
      </c>
      <c r="Q432" s="231" t="str">
        <f t="shared" si="42"/>
        <v>×</v>
      </c>
      <c r="R432" s="231" t="str">
        <f t="shared" si="47"/>
        <v>×</v>
      </c>
      <c r="S432" s="232" t="str">
        <f t="shared" si="48"/>
        <v/>
      </c>
    </row>
    <row r="433" spans="2:19">
      <c r="B433" s="68"/>
      <c r="C433" s="57"/>
      <c r="D433" s="259" t="str">
        <f t="shared" si="43"/>
        <v/>
      </c>
      <c r="E433" s="260" t="str">
        <f t="shared" si="44"/>
        <v/>
      </c>
      <c r="F433" s="271" t="str">
        <f>IF(G433="","",VLOOKUP(G433,プルダウン用リスト!$K$1:$M$16,2,FALSE))</f>
        <v/>
      </c>
      <c r="G433" s="70"/>
      <c r="H433" s="58"/>
      <c r="I433" s="70"/>
      <c r="J433" s="135"/>
      <c r="K433" s="136"/>
      <c r="L433" s="71"/>
      <c r="M433" s="72"/>
      <c r="N433" s="72"/>
      <c r="O433" s="264" t="str">
        <f t="shared" si="45"/>
        <v/>
      </c>
      <c r="P433" s="230">
        <f t="shared" si="46"/>
        <v>0</v>
      </c>
      <c r="Q433" s="231" t="str">
        <f t="shared" si="42"/>
        <v>×</v>
      </c>
      <c r="R433" s="231" t="str">
        <f t="shared" si="47"/>
        <v>×</v>
      </c>
      <c r="S433" s="232" t="str">
        <f t="shared" si="48"/>
        <v/>
      </c>
    </row>
    <row r="434" spans="2:19">
      <c r="B434" s="68"/>
      <c r="C434" s="57"/>
      <c r="D434" s="259" t="str">
        <f t="shared" si="43"/>
        <v/>
      </c>
      <c r="E434" s="260" t="str">
        <f t="shared" si="44"/>
        <v/>
      </c>
      <c r="F434" s="271" t="str">
        <f>IF(G434="","",VLOOKUP(G434,プルダウン用リスト!$K$1:$M$16,2,FALSE))</f>
        <v/>
      </c>
      <c r="G434" s="70"/>
      <c r="H434" s="58"/>
      <c r="I434" s="70"/>
      <c r="J434" s="135"/>
      <c r="K434" s="136"/>
      <c r="L434" s="71"/>
      <c r="M434" s="72"/>
      <c r="N434" s="72"/>
      <c r="O434" s="264" t="str">
        <f t="shared" si="45"/>
        <v/>
      </c>
      <c r="P434" s="230">
        <f t="shared" si="46"/>
        <v>0</v>
      </c>
      <c r="Q434" s="231" t="str">
        <f t="shared" si="42"/>
        <v>×</v>
      </c>
      <c r="R434" s="231" t="str">
        <f t="shared" si="47"/>
        <v>×</v>
      </c>
      <c r="S434" s="232" t="str">
        <f t="shared" si="48"/>
        <v/>
      </c>
    </row>
    <row r="435" spans="2:19">
      <c r="B435" s="68"/>
      <c r="C435" s="57"/>
      <c r="D435" s="259" t="str">
        <f t="shared" si="43"/>
        <v/>
      </c>
      <c r="E435" s="260" t="str">
        <f t="shared" si="44"/>
        <v/>
      </c>
      <c r="F435" s="271" t="str">
        <f>IF(G435="","",VLOOKUP(G435,プルダウン用リスト!$K$1:$M$16,2,FALSE))</f>
        <v/>
      </c>
      <c r="G435" s="70"/>
      <c r="H435" s="70"/>
      <c r="I435" s="70"/>
      <c r="J435" s="135"/>
      <c r="K435" s="136"/>
      <c r="L435" s="71"/>
      <c r="M435" s="72"/>
      <c r="N435" s="72"/>
      <c r="O435" s="264" t="str">
        <f t="shared" si="45"/>
        <v/>
      </c>
      <c r="P435" s="230">
        <f t="shared" si="46"/>
        <v>0</v>
      </c>
      <c r="Q435" s="231" t="str">
        <f t="shared" si="42"/>
        <v>×</v>
      </c>
      <c r="R435" s="231" t="str">
        <f t="shared" si="47"/>
        <v>×</v>
      </c>
      <c r="S435" s="232" t="str">
        <f t="shared" si="48"/>
        <v/>
      </c>
    </row>
    <row r="436" spans="2:19">
      <c r="B436" s="68"/>
      <c r="C436" s="57"/>
      <c r="D436" s="259" t="str">
        <f t="shared" si="43"/>
        <v/>
      </c>
      <c r="E436" s="260" t="str">
        <f t="shared" si="44"/>
        <v/>
      </c>
      <c r="F436" s="271" t="str">
        <f>IF(G436="","",VLOOKUP(G436,プルダウン用リスト!$K$1:$M$16,2,FALSE))</f>
        <v/>
      </c>
      <c r="G436" s="70"/>
      <c r="H436" s="58"/>
      <c r="I436" s="70"/>
      <c r="J436" s="135"/>
      <c r="K436" s="136"/>
      <c r="L436" s="71"/>
      <c r="M436" s="72"/>
      <c r="N436" s="72"/>
      <c r="O436" s="264" t="str">
        <f t="shared" si="45"/>
        <v/>
      </c>
      <c r="P436" s="230">
        <f t="shared" si="46"/>
        <v>0</v>
      </c>
      <c r="Q436" s="231" t="str">
        <f t="shared" si="42"/>
        <v>×</v>
      </c>
      <c r="R436" s="231" t="str">
        <f t="shared" si="47"/>
        <v>×</v>
      </c>
      <c r="S436" s="232" t="str">
        <f t="shared" si="48"/>
        <v/>
      </c>
    </row>
    <row r="437" spans="2:19">
      <c r="B437" s="68"/>
      <c r="C437" s="57"/>
      <c r="D437" s="259" t="str">
        <f t="shared" si="43"/>
        <v/>
      </c>
      <c r="E437" s="260" t="str">
        <f t="shared" si="44"/>
        <v/>
      </c>
      <c r="F437" s="271" t="str">
        <f>IF(G437="","",VLOOKUP(G437,プルダウン用リスト!$K$1:$M$16,2,FALSE))</f>
        <v/>
      </c>
      <c r="G437" s="70"/>
      <c r="H437" s="58"/>
      <c r="I437" s="70"/>
      <c r="J437" s="135"/>
      <c r="K437" s="136"/>
      <c r="L437" s="71"/>
      <c r="M437" s="72"/>
      <c r="N437" s="72"/>
      <c r="O437" s="264" t="str">
        <f t="shared" si="45"/>
        <v/>
      </c>
      <c r="P437" s="230">
        <f t="shared" si="46"/>
        <v>0</v>
      </c>
      <c r="Q437" s="231" t="str">
        <f t="shared" si="42"/>
        <v>×</v>
      </c>
      <c r="R437" s="231" t="str">
        <f t="shared" si="47"/>
        <v>×</v>
      </c>
      <c r="S437" s="232" t="str">
        <f t="shared" si="48"/>
        <v/>
      </c>
    </row>
    <row r="438" spans="2:19">
      <c r="B438" s="68"/>
      <c r="C438" s="69"/>
      <c r="D438" s="259" t="str">
        <f t="shared" si="43"/>
        <v/>
      </c>
      <c r="E438" s="260" t="str">
        <f t="shared" si="44"/>
        <v/>
      </c>
      <c r="F438" s="271" t="str">
        <f>IF(G438="","",VLOOKUP(G438,プルダウン用リスト!$K$1:$M$16,2,FALSE))</f>
        <v/>
      </c>
      <c r="G438" s="70"/>
      <c r="H438" s="70"/>
      <c r="I438" s="70"/>
      <c r="J438" s="135"/>
      <c r="K438" s="136"/>
      <c r="L438" s="71"/>
      <c r="M438" s="72"/>
      <c r="N438" s="72"/>
      <c r="O438" s="264" t="str">
        <f t="shared" si="45"/>
        <v/>
      </c>
      <c r="P438" s="230">
        <f t="shared" si="46"/>
        <v>0</v>
      </c>
      <c r="Q438" s="231" t="str">
        <f t="shared" si="42"/>
        <v>×</v>
      </c>
      <c r="R438" s="231" t="str">
        <f t="shared" si="47"/>
        <v>×</v>
      </c>
      <c r="S438" s="232" t="str">
        <f t="shared" si="48"/>
        <v/>
      </c>
    </row>
    <row r="439" spans="2:19">
      <c r="B439" s="68"/>
      <c r="C439" s="57"/>
      <c r="D439" s="259" t="str">
        <f t="shared" si="43"/>
        <v/>
      </c>
      <c r="E439" s="260" t="str">
        <f t="shared" si="44"/>
        <v/>
      </c>
      <c r="F439" s="271" t="str">
        <f>IF(G439="","",VLOOKUP(G439,プルダウン用リスト!$K$1:$M$16,2,FALSE))</f>
        <v/>
      </c>
      <c r="G439" s="70"/>
      <c r="H439" s="58"/>
      <c r="I439" s="70"/>
      <c r="J439" s="135"/>
      <c r="K439" s="136"/>
      <c r="L439" s="71"/>
      <c r="M439" s="72"/>
      <c r="N439" s="72"/>
      <c r="O439" s="264" t="str">
        <f t="shared" si="45"/>
        <v/>
      </c>
      <c r="P439" s="230">
        <f t="shared" si="46"/>
        <v>0</v>
      </c>
      <c r="Q439" s="231" t="str">
        <f t="shared" si="42"/>
        <v>×</v>
      </c>
      <c r="R439" s="231" t="str">
        <f t="shared" si="47"/>
        <v>×</v>
      </c>
      <c r="S439" s="232" t="str">
        <f t="shared" si="48"/>
        <v/>
      </c>
    </row>
    <row r="440" spans="2:19">
      <c r="B440" s="68"/>
      <c r="C440" s="57"/>
      <c r="D440" s="259" t="str">
        <f t="shared" si="43"/>
        <v/>
      </c>
      <c r="E440" s="260" t="str">
        <f t="shared" si="44"/>
        <v/>
      </c>
      <c r="F440" s="271" t="str">
        <f>IF(G440="","",VLOOKUP(G440,プルダウン用リスト!$K$1:$M$16,2,FALSE))</f>
        <v/>
      </c>
      <c r="G440" s="70"/>
      <c r="H440" s="58"/>
      <c r="I440" s="70"/>
      <c r="J440" s="135"/>
      <c r="K440" s="136"/>
      <c r="L440" s="71"/>
      <c r="M440" s="72"/>
      <c r="N440" s="72"/>
      <c r="O440" s="264" t="str">
        <f t="shared" si="45"/>
        <v/>
      </c>
      <c r="P440" s="230">
        <f t="shared" si="46"/>
        <v>0</v>
      </c>
      <c r="Q440" s="231" t="str">
        <f t="shared" si="42"/>
        <v>×</v>
      </c>
      <c r="R440" s="231" t="str">
        <f t="shared" si="47"/>
        <v>×</v>
      </c>
      <c r="S440" s="232" t="str">
        <f t="shared" si="48"/>
        <v/>
      </c>
    </row>
    <row r="441" spans="2:19">
      <c r="B441" s="68"/>
      <c r="C441" s="57"/>
      <c r="D441" s="259" t="str">
        <f t="shared" si="43"/>
        <v/>
      </c>
      <c r="E441" s="260" t="str">
        <f t="shared" si="44"/>
        <v/>
      </c>
      <c r="F441" s="271" t="str">
        <f>IF(G441="","",VLOOKUP(G441,プルダウン用リスト!$K$1:$M$16,2,FALSE))</f>
        <v/>
      </c>
      <c r="G441" s="70"/>
      <c r="H441" s="70"/>
      <c r="I441" s="70"/>
      <c r="J441" s="135"/>
      <c r="K441" s="136"/>
      <c r="L441" s="71"/>
      <c r="M441" s="72"/>
      <c r="N441" s="72"/>
      <c r="O441" s="264" t="str">
        <f t="shared" si="45"/>
        <v/>
      </c>
      <c r="P441" s="230">
        <f t="shared" si="46"/>
        <v>0</v>
      </c>
      <c r="Q441" s="231" t="str">
        <f t="shared" si="42"/>
        <v>×</v>
      </c>
      <c r="R441" s="231" t="str">
        <f t="shared" si="47"/>
        <v>×</v>
      </c>
      <c r="S441" s="232" t="str">
        <f t="shared" si="48"/>
        <v/>
      </c>
    </row>
    <row r="442" spans="2:19">
      <c r="B442" s="68"/>
      <c r="C442" s="57"/>
      <c r="D442" s="259" t="str">
        <f t="shared" si="43"/>
        <v/>
      </c>
      <c r="E442" s="260" t="str">
        <f t="shared" si="44"/>
        <v/>
      </c>
      <c r="F442" s="271" t="str">
        <f>IF(G442="","",VLOOKUP(G442,プルダウン用リスト!$K$1:$M$16,2,FALSE))</f>
        <v/>
      </c>
      <c r="G442" s="70"/>
      <c r="H442" s="58"/>
      <c r="I442" s="70"/>
      <c r="J442" s="135"/>
      <c r="K442" s="136"/>
      <c r="L442" s="71"/>
      <c r="M442" s="72"/>
      <c r="N442" s="72"/>
      <c r="O442" s="264" t="str">
        <f t="shared" si="45"/>
        <v/>
      </c>
      <c r="P442" s="230">
        <f t="shared" si="46"/>
        <v>0</v>
      </c>
      <c r="Q442" s="231" t="str">
        <f t="shared" si="42"/>
        <v>×</v>
      </c>
      <c r="R442" s="231" t="str">
        <f t="shared" si="47"/>
        <v>×</v>
      </c>
      <c r="S442" s="232" t="str">
        <f t="shared" si="48"/>
        <v/>
      </c>
    </row>
    <row r="443" spans="2:19">
      <c r="B443" s="68"/>
      <c r="C443" s="57"/>
      <c r="D443" s="259" t="str">
        <f t="shared" si="43"/>
        <v/>
      </c>
      <c r="E443" s="260" t="str">
        <f t="shared" si="44"/>
        <v/>
      </c>
      <c r="F443" s="271" t="str">
        <f>IF(G443="","",VLOOKUP(G443,プルダウン用リスト!$K$1:$M$16,2,FALSE))</f>
        <v/>
      </c>
      <c r="G443" s="70"/>
      <c r="H443" s="58"/>
      <c r="I443" s="70"/>
      <c r="J443" s="135"/>
      <c r="K443" s="136"/>
      <c r="L443" s="71"/>
      <c r="M443" s="72"/>
      <c r="N443" s="72"/>
      <c r="O443" s="264" t="str">
        <f t="shared" si="45"/>
        <v/>
      </c>
      <c r="P443" s="230">
        <f t="shared" si="46"/>
        <v>0</v>
      </c>
      <c r="Q443" s="231" t="str">
        <f t="shared" si="42"/>
        <v>×</v>
      </c>
      <c r="R443" s="231" t="str">
        <f t="shared" si="47"/>
        <v>×</v>
      </c>
      <c r="S443" s="232" t="str">
        <f t="shared" si="48"/>
        <v/>
      </c>
    </row>
    <row r="444" spans="2:19">
      <c r="B444" s="68"/>
      <c r="C444" s="57"/>
      <c r="D444" s="259" t="str">
        <f t="shared" si="43"/>
        <v/>
      </c>
      <c r="E444" s="260" t="str">
        <f t="shared" si="44"/>
        <v/>
      </c>
      <c r="F444" s="271" t="str">
        <f>IF(G444="","",VLOOKUP(G444,プルダウン用リスト!$K$1:$M$16,2,FALSE))</f>
        <v/>
      </c>
      <c r="G444" s="70"/>
      <c r="H444" s="70"/>
      <c r="I444" s="70"/>
      <c r="J444" s="135"/>
      <c r="K444" s="136"/>
      <c r="L444" s="71"/>
      <c r="M444" s="72"/>
      <c r="N444" s="72"/>
      <c r="O444" s="264" t="str">
        <f t="shared" si="45"/>
        <v/>
      </c>
      <c r="P444" s="230">
        <f t="shared" si="46"/>
        <v>0</v>
      </c>
      <c r="Q444" s="231" t="str">
        <f t="shared" si="42"/>
        <v>×</v>
      </c>
      <c r="R444" s="231" t="str">
        <f t="shared" si="47"/>
        <v>×</v>
      </c>
      <c r="S444" s="232" t="str">
        <f t="shared" si="48"/>
        <v/>
      </c>
    </row>
    <row r="445" spans="2:19">
      <c r="B445" s="68"/>
      <c r="C445" s="57"/>
      <c r="D445" s="259" t="str">
        <f t="shared" si="43"/>
        <v/>
      </c>
      <c r="E445" s="260" t="str">
        <f t="shared" si="44"/>
        <v/>
      </c>
      <c r="F445" s="271" t="str">
        <f>IF(G445="","",VLOOKUP(G445,プルダウン用リスト!$K$1:$M$16,2,FALSE))</f>
        <v/>
      </c>
      <c r="G445" s="70"/>
      <c r="H445" s="58"/>
      <c r="I445" s="70"/>
      <c r="J445" s="135"/>
      <c r="K445" s="136"/>
      <c r="L445" s="71"/>
      <c r="M445" s="72"/>
      <c r="N445" s="72"/>
      <c r="O445" s="264" t="str">
        <f t="shared" si="45"/>
        <v/>
      </c>
      <c r="P445" s="230">
        <f t="shared" si="46"/>
        <v>0</v>
      </c>
      <c r="Q445" s="231" t="str">
        <f t="shared" si="42"/>
        <v>×</v>
      </c>
      <c r="R445" s="231" t="str">
        <f t="shared" si="47"/>
        <v>×</v>
      </c>
      <c r="S445" s="232" t="str">
        <f t="shared" si="48"/>
        <v/>
      </c>
    </row>
    <row r="446" spans="2:19">
      <c r="B446" s="68"/>
      <c r="C446" s="57"/>
      <c r="D446" s="259" t="str">
        <f t="shared" si="43"/>
        <v/>
      </c>
      <c r="E446" s="260" t="str">
        <f t="shared" si="44"/>
        <v/>
      </c>
      <c r="F446" s="271" t="str">
        <f>IF(G446="","",VLOOKUP(G446,プルダウン用リスト!$K$1:$M$16,2,FALSE))</f>
        <v/>
      </c>
      <c r="G446" s="70"/>
      <c r="H446" s="58"/>
      <c r="I446" s="70"/>
      <c r="J446" s="135"/>
      <c r="K446" s="136"/>
      <c r="L446" s="71"/>
      <c r="M446" s="72"/>
      <c r="N446" s="72"/>
      <c r="O446" s="264" t="str">
        <f t="shared" si="45"/>
        <v/>
      </c>
      <c r="P446" s="230">
        <f t="shared" si="46"/>
        <v>0</v>
      </c>
      <c r="Q446" s="231" t="str">
        <f t="shared" si="42"/>
        <v>×</v>
      </c>
      <c r="R446" s="231" t="str">
        <f t="shared" si="47"/>
        <v>×</v>
      </c>
      <c r="S446" s="232" t="str">
        <f t="shared" si="48"/>
        <v/>
      </c>
    </row>
    <row r="447" spans="2:19">
      <c r="B447" s="68"/>
      <c r="C447" s="57"/>
      <c r="D447" s="259" t="str">
        <f t="shared" si="43"/>
        <v/>
      </c>
      <c r="E447" s="260" t="str">
        <f t="shared" si="44"/>
        <v/>
      </c>
      <c r="F447" s="271" t="str">
        <f>IF(G447="","",VLOOKUP(G447,プルダウン用リスト!$K$1:$M$16,2,FALSE))</f>
        <v/>
      </c>
      <c r="G447" s="70"/>
      <c r="H447" s="70"/>
      <c r="I447" s="70"/>
      <c r="J447" s="135"/>
      <c r="K447" s="136"/>
      <c r="L447" s="71"/>
      <c r="M447" s="72"/>
      <c r="N447" s="72"/>
      <c r="O447" s="264" t="str">
        <f t="shared" si="45"/>
        <v/>
      </c>
      <c r="P447" s="230">
        <f t="shared" si="46"/>
        <v>0</v>
      </c>
      <c r="Q447" s="231" t="str">
        <f t="shared" si="42"/>
        <v>×</v>
      </c>
      <c r="R447" s="231" t="str">
        <f t="shared" si="47"/>
        <v>×</v>
      </c>
      <c r="S447" s="232" t="str">
        <f t="shared" si="48"/>
        <v/>
      </c>
    </row>
    <row r="448" spans="2:19">
      <c r="B448" s="68"/>
      <c r="C448" s="57"/>
      <c r="D448" s="259" t="str">
        <f t="shared" si="43"/>
        <v/>
      </c>
      <c r="E448" s="260" t="str">
        <f t="shared" si="44"/>
        <v/>
      </c>
      <c r="F448" s="271" t="str">
        <f>IF(G448="","",VLOOKUP(G448,プルダウン用リスト!$K$1:$M$16,2,FALSE))</f>
        <v/>
      </c>
      <c r="G448" s="70"/>
      <c r="H448" s="58"/>
      <c r="I448" s="70"/>
      <c r="J448" s="135"/>
      <c r="K448" s="136"/>
      <c r="L448" s="71"/>
      <c r="M448" s="72"/>
      <c r="N448" s="72"/>
      <c r="O448" s="264" t="str">
        <f t="shared" si="45"/>
        <v/>
      </c>
      <c r="P448" s="230">
        <f t="shared" si="46"/>
        <v>0</v>
      </c>
      <c r="Q448" s="231" t="str">
        <f t="shared" si="42"/>
        <v>×</v>
      </c>
      <c r="R448" s="231" t="str">
        <f t="shared" si="47"/>
        <v>×</v>
      </c>
      <c r="S448" s="232" t="str">
        <f t="shared" si="48"/>
        <v/>
      </c>
    </row>
    <row r="449" spans="2:19">
      <c r="B449" s="68"/>
      <c r="C449" s="57"/>
      <c r="D449" s="259" t="str">
        <f t="shared" si="43"/>
        <v/>
      </c>
      <c r="E449" s="260" t="str">
        <f t="shared" si="44"/>
        <v/>
      </c>
      <c r="F449" s="271" t="str">
        <f>IF(G449="","",VLOOKUP(G449,プルダウン用リスト!$K$1:$M$16,2,FALSE))</f>
        <v/>
      </c>
      <c r="G449" s="70"/>
      <c r="H449" s="58"/>
      <c r="I449" s="70"/>
      <c r="J449" s="135"/>
      <c r="K449" s="136"/>
      <c r="L449" s="71"/>
      <c r="M449" s="72"/>
      <c r="N449" s="72"/>
      <c r="O449" s="264" t="str">
        <f t="shared" si="45"/>
        <v/>
      </c>
      <c r="P449" s="230">
        <f t="shared" si="46"/>
        <v>0</v>
      </c>
      <c r="Q449" s="231" t="str">
        <f t="shared" si="42"/>
        <v>×</v>
      </c>
      <c r="R449" s="231" t="str">
        <f t="shared" si="47"/>
        <v>×</v>
      </c>
      <c r="S449" s="232" t="str">
        <f t="shared" si="48"/>
        <v/>
      </c>
    </row>
    <row r="450" spans="2:19">
      <c r="B450" s="68"/>
      <c r="C450" s="69"/>
      <c r="D450" s="259" t="str">
        <f t="shared" si="43"/>
        <v/>
      </c>
      <c r="E450" s="260" t="str">
        <f t="shared" si="44"/>
        <v/>
      </c>
      <c r="F450" s="271" t="str">
        <f>IF(G450="","",VLOOKUP(G450,プルダウン用リスト!$K$1:$M$16,2,FALSE))</f>
        <v/>
      </c>
      <c r="G450" s="70"/>
      <c r="H450" s="70"/>
      <c r="I450" s="70"/>
      <c r="J450" s="135"/>
      <c r="K450" s="136"/>
      <c r="L450" s="71"/>
      <c r="M450" s="72"/>
      <c r="N450" s="72"/>
      <c r="O450" s="264" t="str">
        <f t="shared" si="45"/>
        <v/>
      </c>
      <c r="P450" s="230">
        <f t="shared" si="46"/>
        <v>0</v>
      </c>
      <c r="Q450" s="231" t="str">
        <f t="shared" si="42"/>
        <v>×</v>
      </c>
      <c r="R450" s="231" t="str">
        <f t="shared" si="47"/>
        <v>×</v>
      </c>
      <c r="S450" s="232" t="str">
        <f t="shared" si="48"/>
        <v/>
      </c>
    </row>
    <row r="451" spans="2:19">
      <c r="B451" s="68"/>
      <c r="C451" s="57"/>
      <c r="D451" s="259" t="str">
        <f t="shared" si="43"/>
        <v/>
      </c>
      <c r="E451" s="260" t="str">
        <f t="shared" si="44"/>
        <v/>
      </c>
      <c r="F451" s="271" t="str">
        <f>IF(G451="","",VLOOKUP(G451,プルダウン用リスト!$K$1:$M$16,2,FALSE))</f>
        <v/>
      </c>
      <c r="G451" s="70"/>
      <c r="H451" s="58"/>
      <c r="I451" s="70"/>
      <c r="J451" s="135"/>
      <c r="K451" s="136"/>
      <c r="L451" s="71"/>
      <c r="M451" s="72"/>
      <c r="N451" s="72"/>
      <c r="O451" s="264" t="str">
        <f t="shared" si="45"/>
        <v/>
      </c>
      <c r="P451" s="230">
        <f t="shared" si="46"/>
        <v>0</v>
      </c>
      <c r="Q451" s="231" t="str">
        <f t="shared" si="42"/>
        <v>×</v>
      </c>
      <c r="R451" s="231" t="str">
        <f t="shared" si="47"/>
        <v>×</v>
      </c>
      <c r="S451" s="232" t="str">
        <f t="shared" si="48"/>
        <v/>
      </c>
    </row>
    <row r="452" spans="2:19">
      <c r="B452" s="68"/>
      <c r="C452" s="57"/>
      <c r="D452" s="259" t="str">
        <f t="shared" si="43"/>
        <v/>
      </c>
      <c r="E452" s="260" t="str">
        <f t="shared" si="44"/>
        <v/>
      </c>
      <c r="F452" s="271" t="str">
        <f>IF(G452="","",VLOOKUP(G452,プルダウン用リスト!$K$1:$M$16,2,FALSE))</f>
        <v/>
      </c>
      <c r="G452" s="70"/>
      <c r="H452" s="58"/>
      <c r="I452" s="70"/>
      <c r="J452" s="135"/>
      <c r="K452" s="136"/>
      <c r="L452" s="71"/>
      <c r="M452" s="72"/>
      <c r="N452" s="72"/>
      <c r="O452" s="264" t="str">
        <f t="shared" si="45"/>
        <v/>
      </c>
      <c r="P452" s="230">
        <f t="shared" si="46"/>
        <v>0</v>
      </c>
      <c r="Q452" s="231" t="str">
        <f t="shared" si="42"/>
        <v>×</v>
      </c>
      <c r="R452" s="231" t="str">
        <f t="shared" si="47"/>
        <v>×</v>
      </c>
      <c r="S452" s="232" t="str">
        <f t="shared" si="48"/>
        <v/>
      </c>
    </row>
    <row r="453" spans="2:19">
      <c r="B453" s="68"/>
      <c r="C453" s="57"/>
      <c r="D453" s="259" t="str">
        <f t="shared" si="43"/>
        <v/>
      </c>
      <c r="E453" s="260" t="str">
        <f t="shared" si="44"/>
        <v/>
      </c>
      <c r="F453" s="271" t="str">
        <f>IF(G453="","",VLOOKUP(G453,プルダウン用リスト!$K$1:$M$16,2,FALSE))</f>
        <v/>
      </c>
      <c r="G453" s="70"/>
      <c r="H453" s="70"/>
      <c r="I453" s="70"/>
      <c r="J453" s="135"/>
      <c r="K453" s="136"/>
      <c r="L453" s="71"/>
      <c r="M453" s="72"/>
      <c r="N453" s="72"/>
      <c r="O453" s="264" t="str">
        <f t="shared" si="45"/>
        <v/>
      </c>
      <c r="P453" s="230">
        <f t="shared" si="46"/>
        <v>0</v>
      </c>
      <c r="Q453" s="231" t="str">
        <f t="shared" si="42"/>
        <v>×</v>
      </c>
      <c r="R453" s="231" t="str">
        <f t="shared" si="47"/>
        <v>×</v>
      </c>
      <c r="S453" s="232" t="str">
        <f t="shared" si="48"/>
        <v/>
      </c>
    </row>
    <row r="454" spans="2:19">
      <c r="B454" s="68"/>
      <c r="C454" s="57"/>
      <c r="D454" s="259" t="str">
        <f t="shared" si="43"/>
        <v/>
      </c>
      <c r="E454" s="260" t="str">
        <f t="shared" si="44"/>
        <v/>
      </c>
      <c r="F454" s="271" t="str">
        <f>IF(G454="","",VLOOKUP(G454,プルダウン用リスト!$K$1:$M$16,2,FALSE))</f>
        <v/>
      </c>
      <c r="G454" s="70"/>
      <c r="H454" s="58"/>
      <c r="I454" s="70"/>
      <c r="J454" s="135"/>
      <c r="K454" s="136"/>
      <c r="L454" s="71"/>
      <c r="M454" s="72"/>
      <c r="N454" s="72"/>
      <c r="O454" s="264" t="str">
        <f t="shared" si="45"/>
        <v/>
      </c>
      <c r="P454" s="230">
        <f t="shared" si="46"/>
        <v>0</v>
      </c>
      <c r="Q454" s="231" t="str">
        <f t="shared" ref="Q454:Q517" si="49">IF(G454="旅費","〇","×")</f>
        <v>×</v>
      </c>
      <c r="R454" s="231" t="str">
        <f t="shared" si="47"/>
        <v>×</v>
      </c>
      <c r="S454" s="232" t="str">
        <f t="shared" si="48"/>
        <v/>
      </c>
    </row>
    <row r="455" spans="2:19">
      <c r="B455" s="68"/>
      <c r="C455" s="57"/>
      <c r="D455" s="259" t="str">
        <f t="shared" ref="D455:D518" si="50">IF(E455="","",IF(E455="謝金","01.",IF(E455="旅費","02.",IF(E455="その他","04.","03."))))</f>
        <v/>
      </c>
      <c r="E455" s="260" t="str">
        <f t="shared" ref="E455:E518" si="51">IF(G455="","",IF(OR(G455="謝金（内部）",G455="謝金（外部）"),"謝金",IF(G455="旅費","旅費",IF(G455="対象外経費","その他","所費"))))</f>
        <v/>
      </c>
      <c r="F455" s="271" t="str">
        <f>IF(G455="","",VLOOKUP(G455,プルダウン用リスト!$K$1:$M$16,2,FALSE))</f>
        <v/>
      </c>
      <c r="G455" s="70"/>
      <c r="H455" s="58"/>
      <c r="I455" s="70"/>
      <c r="J455" s="135"/>
      <c r="K455" s="136"/>
      <c r="L455" s="71"/>
      <c r="M455" s="72"/>
      <c r="N455" s="72"/>
      <c r="O455" s="264" t="str">
        <f t="shared" ref="O455:O518" si="52">IF(G455="対象外経費",M455,IF(N455="","",M455-N455))</f>
        <v/>
      </c>
      <c r="P455" s="230">
        <f t="shared" si="46"/>
        <v>0</v>
      </c>
      <c r="Q455" s="231" t="str">
        <f t="shared" si="49"/>
        <v>×</v>
      </c>
      <c r="R455" s="231" t="str">
        <f t="shared" si="47"/>
        <v>×</v>
      </c>
      <c r="S455" s="232" t="str">
        <f t="shared" si="48"/>
        <v/>
      </c>
    </row>
    <row r="456" spans="2:19">
      <c r="B456" s="68"/>
      <c r="C456" s="57"/>
      <c r="D456" s="259" t="str">
        <f t="shared" si="50"/>
        <v/>
      </c>
      <c r="E456" s="260" t="str">
        <f t="shared" si="51"/>
        <v/>
      </c>
      <c r="F456" s="271" t="str">
        <f>IF(G456="","",VLOOKUP(G456,プルダウン用リスト!$K$1:$M$16,2,FALSE))</f>
        <v/>
      </c>
      <c r="G456" s="70"/>
      <c r="H456" s="70"/>
      <c r="I456" s="70"/>
      <c r="J456" s="135"/>
      <c r="K456" s="136"/>
      <c r="L456" s="71"/>
      <c r="M456" s="72"/>
      <c r="N456" s="72"/>
      <c r="O456" s="264" t="str">
        <f t="shared" si="52"/>
        <v/>
      </c>
      <c r="P456" s="230">
        <f t="shared" ref="P456:P519" si="53">COUNTA(B456,C456,G456,H456,I456,L456,M456,J456,K456,N456)</f>
        <v>0</v>
      </c>
      <c r="Q456" s="231" t="str">
        <f t="shared" si="49"/>
        <v>×</v>
      </c>
      <c r="R456" s="231" t="str">
        <f t="shared" si="47"/>
        <v>×</v>
      </c>
      <c r="S456" s="232" t="str">
        <f t="shared" si="48"/>
        <v/>
      </c>
    </row>
    <row r="457" spans="2:19">
      <c r="B457" s="68"/>
      <c r="C457" s="57"/>
      <c r="D457" s="259" t="str">
        <f t="shared" si="50"/>
        <v/>
      </c>
      <c r="E457" s="260" t="str">
        <f t="shared" si="51"/>
        <v/>
      </c>
      <c r="F457" s="271" t="str">
        <f>IF(G457="","",VLOOKUP(G457,プルダウン用リスト!$K$1:$M$16,2,FALSE))</f>
        <v/>
      </c>
      <c r="G457" s="70"/>
      <c r="H457" s="58"/>
      <c r="I457" s="70"/>
      <c r="J457" s="135"/>
      <c r="K457" s="136"/>
      <c r="L457" s="71"/>
      <c r="M457" s="72"/>
      <c r="N457" s="72"/>
      <c r="O457" s="264" t="str">
        <f t="shared" si="52"/>
        <v/>
      </c>
      <c r="P457" s="230">
        <f t="shared" si="53"/>
        <v>0</v>
      </c>
      <c r="Q457" s="231" t="str">
        <f t="shared" si="49"/>
        <v>×</v>
      </c>
      <c r="R457" s="231" t="str">
        <f t="shared" ref="R457:R520" si="54">IF(E457="謝金","〇","×")</f>
        <v>×</v>
      </c>
      <c r="S457" s="232" t="str">
        <f t="shared" ref="S457:S520" si="55">_xlfn.IFS(P457=0,"",AND(G457="対象外経費",P457=7),"OK",P457&lt;=7,"ピンク色のセルを全て入力してください",P457=9,"OK",Q457="〇","ピンク色のセルを全て入力してください",R457="〇","ピンク色のセルを全て入力してください",P457=8,"OK")</f>
        <v/>
      </c>
    </row>
    <row r="458" spans="2:19">
      <c r="B458" s="68"/>
      <c r="C458" s="57"/>
      <c r="D458" s="259" t="str">
        <f t="shared" si="50"/>
        <v/>
      </c>
      <c r="E458" s="260" t="str">
        <f t="shared" si="51"/>
        <v/>
      </c>
      <c r="F458" s="271" t="str">
        <f>IF(G458="","",VLOOKUP(G458,プルダウン用リスト!$K$1:$M$16,2,FALSE))</f>
        <v/>
      </c>
      <c r="G458" s="70"/>
      <c r="H458" s="58"/>
      <c r="I458" s="70"/>
      <c r="J458" s="135"/>
      <c r="K458" s="136"/>
      <c r="L458" s="71"/>
      <c r="M458" s="72"/>
      <c r="N458" s="72"/>
      <c r="O458" s="264" t="str">
        <f t="shared" si="52"/>
        <v/>
      </c>
      <c r="P458" s="230">
        <f t="shared" si="53"/>
        <v>0</v>
      </c>
      <c r="Q458" s="231" t="str">
        <f t="shared" si="49"/>
        <v>×</v>
      </c>
      <c r="R458" s="231" t="str">
        <f t="shared" si="54"/>
        <v>×</v>
      </c>
      <c r="S458" s="232" t="str">
        <f t="shared" si="55"/>
        <v/>
      </c>
    </row>
    <row r="459" spans="2:19">
      <c r="B459" s="68"/>
      <c r="C459" s="57"/>
      <c r="D459" s="259" t="str">
        <f t="shared" si="50"/>
        <v/>
      </c>
      <c r="E459" s="260" t="str">
        <f t="shared" si="51"/>
        <v/>
      </c>
      <c r="F459" s="271" t="str">
        <f>IF(G459="","",VLOOKUP(G459,プルダウン用リスト!$K$1:$M$16,2,FALSE))</f>
        <v/>
      </c>
      <c r="G459" s="70"/>
      <c r="H459" s="70"/>
      <c r="I459" s="70"/>
      <c r="J459" s="135"/>
      <c r="K459" s="136"/>
      <c r="L459" s="71"/>
      <c r="M459" s="72"/>
      <c r="N459" s="72"/>
      <c r="O459" s="264" t="str">
        <f t="shared" si="52"/>
        <v/>
      </c>
      <c r="P459" s="230">
        <f t="shared" si="53"/>
        <v>0</v>
      </c>
      <c r="Q459" s="231" t="str">
        <f t="shared" si="49"/>
        <v>×</v>
      </c>
      <c r="R459" s="231" t="str">
        <f t="shared" si="54"/>
        <v>×</v>
      </c>
      <c r="S459" s="232" t="str">
        <f t="shared" si="55"/>
        <v/>
      </c>
    </row>
    <row r="460" spans="2:19">
      <c r="B460" s="68"/>
      <c r="C460" s="57"/>
      <c r="D460" s="259" t="str">
        <f t="shared" si="50"/>
        <v/>
      </c>
      <c r="E460" s="260" t="str">
        <f t="shared" si="51"/>
        <v/>
      </c>
      <c r="F460" s="271" t="str">
        <f>IF(G460="","",VLOOKUP(G460,プルダウン用リスト!$K$1:$M$16,2,FALSE))</f>
        <v/>
      </c>
      <c r="G460" s="70"/>
      <c r="H460" s="58"/>
      <c r="I460" s="70"/>
      <c r="J460" s="135"/>
      <c r="K460" s="136"/>
      <c r="L460" s="71"/>
      <c r="M460" s="72"/>
      <c r="N460" s="72"/>
      <c r="O460" s="264" t="str">
        <f t="shared" si="52"/>
        <v/>
      </c>
      <c r="P460" s="230">
        <f t="shared" si="53"/>
        <v>0</v>
      </c>
      <c r="Q460" s="231" t="str">
        <f t="shared" si="49"/>
        <v>×</v>
      </c>
      <c r="R460" s="231" t="str">
        <f t="shared" si="54"/>
        <v>×</v>
      </c>
      <c r="S460" s="232" t="str">
        <f t="shared" si="55"/>
        <v/>
      </c>
    </row>
    <row r="461" spans="2:19">
      <c r="B461" s="68"/>
      <c r="C461" s="57"/>
      <c r="D461" s="259" t="str">
        <f t="shared" si="50"/>
        <v/>
      </c>
      <c r="E461" s="260" t="str">
        <f t="shared" si="51"/>
        <v/>
      </c>
      <c r="F461" s="271" t="str">
        <f>IF(G461="","",VLOOKUP(G461,プルダウン用リスト!$K$1:$M$16,2,FALSE))</f>
        <v/>
      </c>
      <c r="G461" s="70"/>
      <c r="H461" s="58"/>
      <c r="I461" s="70"/>
      <c r="J461" s="135"/>
      <c r="K461" s="136"/>
      <c r="L461" s="71"/>
      <c r="M461" s="72"/>
      <c r="N461" s="72"/>
      <c r="O461" s="264" t="str">
        <f t="shared" si="52"/>
        <v/>
      </c>
      <c r="P461" s="230">
        <f t="shared" si="53"/>
        <v>0</v>
      </c>
      <c r="Q461" s="231" t="str">
        <f t="shared" si="49"/>
        <v>×</v>
      </c>
      <c r="R461" s="231" t="str">
        <f t="shared" si="54"/>
        <v>×</v>
      </c>
      <c r="S461" s="232" t="str">
        <f t="shared" si="55"/>
        <v/>
      </c>
    </row>
    <row r="462" spans="2:19">
      <c r="B462" s="68"/>
      <c r="C462" s="69"/>
      <c r="D462" s="259" t="str">
        <f t="shared" si="50"/>
        <v/>
      </c>
      <c r="E462" s="260" t="str">
        <f t="shared" si="51"/>
        <v/>
      </c>
      <c r="F462" s="271" t="str">
        <f>IF(G462="","",VLOOKUP(G462,プルダウン用リスト!$K$1:$M$16,2,FALSE))</f>
        <v/>
      </c>
      <c r="G462" s="70"/>
      <c r="H462" s="70"/>
      <c r="I462" s="70"/>
      <c r="J462" s="135"/>
      <c r="K462" s="136"/>
      <c r="L462" s="71"/>
      <c r="M462" s="72"/>
      <c r="N462" s="72"/>
      <c r="O462" s="264" t="str">
        <f t="shared" si="52"/>
        <v/>
      </c>
      <c r="P462" s="230">
        <f t="shared" si="53"/>
        <v>0</v>
      </c>
      <c r="Q462" s="231" t="str">
        <f t="shared" si="49"/>
        <v>×</v>
      </c>
      <c r="R462" s="231" t="str">
        <f t="shared" si="54"/>
        <v>×</v>
      </c>
      <c r="S462" s="232" t="str">
        <f t="shared" si="55"/>
        <v/>
      </c>
    </row>
    <row r="463" spans="2:19">
      <c r="B463" s="68"/>
      <c r="C463" s="57"/>
      <c r="D463" s="259" t="str">
        <f t="shared" si="50"/>
        <v/>
      </c>
      <c r="E463" s="260" t="str">
        <f t="shared" si="51"/>
        <v/>
      </c>
      <c r="F463" s="271" t="str">
        <f>IF(G463="","",VLOOKUP(G463,プルダウン用リスト!$K$1:$M$16,2,FALSE))</f>
        <v/>
      </c>
      <c r="G463" s="70"/>
      <c r="H463" s="58"/>
      <c r="I463" s="70"/>
      <c r="J463" s="135"/>
      <c r="K463" s="136"/>
      <c r="L463" s="71"/>
      <c r="M463" s="72"/>
      <c r="N463" s="72"/>
      <c r="O463" s="264" t="str">
        <f t="shared" si="52"/>
        <v/>
      </c>
      <c r="P463" s="230">
        <f t="shared" si="53"/>
        <v>0</v>
      </c>
      <c r="Q463" s="231" t="str">
        <f t="shared" si="49"/>
        <v>×</v>
      </c>
      <c r="R463" s="231" t="str">
        <f t="shared" si="54"/>
        <v>×</v>
      </c>
      <c r="S463" s="232" t="str">
        <f t="shared" si="55"/>
        <v/>
      </c>
    </row>
    <row r="464" spans="2:19">
      <c r="B464" s="68"/>
      <c r="C464" s="57"/>
      <c r="D464" s="259" t="str">
        <f t="shared" si="50"/>
        <v/>
      </c>
      <c r="E464" s="260" t="str">
        <f t="shared" si="51"/>
        <v/>
      </c>
      <c r="F464" s="271" t="str">
        <f>IF(G464="","",VLOOKUP(G464,プルダウン用リスト!$K$1:$M$16,2,FALSE))</f>
        <v/>
      </c>
      <c r="G464" s="70"/>
      <c r="H464" s="58"/>
      <c r="I464" s="70"/>
      <c r="J464" s="135"/>
      <c r="K464" s="136"/>
      <c r="L464" s="71"/>
      <c r="M464" s="72"/>
      <c r="N464" s="72"/>
      <c r="O464" s="264" t="str">
        <f t="shared" si="52"/>
        <v/>
      </c>
      <c r="P464" s="230">
        <f t="shared" si="53"/>
        <v>0</v>
      </c>
      <c r="Q464" s="231" t="str">
        <f t="shared" si="49"/>
        <v>×</v>
      </c>
      <c r="R464" s="231" t="str">
        <f t="shared" si="54"/>
        <v>×</v>
      </c>
      <c r="S464" s="232" t="str">
        <f t="shared" si="55"/>
        <v/>
      </c>
    </row>
    <row r="465" spans="2:19">
      <c r="B465" s="68"/>
      <c r="C465" s="57"/>
      <c r="D465" s="259" t="str">
        <f t="shared" si="50"/>
        <v/>
      </c>
      <c r="E465" s="260" t="str">
        <f t="shared" si="51"/>
        <v/>
      </c>
      <c r="F465" s="271" t="str">
        <f>IF(G465="","",VLOOKUP(G465,プルダウン用リスト!$K$1:$M$16,2,FALSE))</f>
        <v/>
      </c>
      <c r="G465" s="70"/>
      <c r="H465" s="70"/>
      <c r="I465" s="70"/>
      <c r="J465" s="135"/>
      <c r="K465" s="136"/>
      <c r="L465" s="71"/>
      <c r="M465" s="72"/>
      <c r="N465" s="72"/>
      <c r="O465" s="264" t="str">
        <f t="shared" si="52"/>
        <v/>
      </c>
      <c r="P465" s="230">
        <f t="shared" si="53"/>
        <v>0</v>
      </c>
      <c r="Q465" s="231" t="str">
        <f t="shared" si="49"/>
        <v>×</v>
      </c>
      <c r="R465" s="231" t="str">
        <f t="shared" si="54"/>
        <v>×</v>
      </c>
      <c r="S465" s="232" t="str">
        <f t="shared" si="55"/>
        <v/>
      </c>
    </row>
    <row r="466" spans="2:19">
      <c r="B466" s="68"/>
      <c r="C466" s="57"/>
      <c r="D466" s="259" t="str">
        <f t="shared" si="50"/>
        <v/>
      </c>
      <c r="E466" s="260" t="str">
        <f t="shared" si="51"/>
        <v/>
      </c>
      <c r="F466" s="271" t="str">
        <f>IF(G466="","",VLOOKUP(G466,プルダウン用リスト!$K$1:$M$16,2,FALSE))</f>
        <v/>
      </c>
      <c r="G466" s="70"/>
      <c r="H466" s="58"/>
      <c r="I466" s="70"/>
      <c r="J466" s="135"/>
      <c r="K466" s="136"/>
      <c r="L466" s="71"/>
      <c r="M466" s="72"/>
      <c r="N466" s="72"/>
      <c r="O466" s="264" t="str">
        <f t="shared" si="52"/>
        <v/>
      </c>
      <c r="P466" s="230">
        <f t="shared" si="53"/>
        <v>0</v>
      </c>
      <c r="Q466" s="231" t="str">
        <f t="shared" si="49"/>
        <v>×</v>
      </c>
      <c r="R466" s="231" t="str">
        <f t="shared" si="54"/>
        <v>×</v>
      </c>
      <c r="S466" s="232" t="str">
        <f t="shared" si="55"/>
        <v/>
      </c>
    </row>
    <row r="467" spans="2:19">
      <c r="B467" s="68"/>
      <c r="C467" s="57"/>
      <c r="D467" s="259" t="str">
        <f t="shared" si="50"/>
        <v/>
      </c>
      <c r="E467" s="260" t="str">
        <f t="shared" si="51"/>
        <v/>
      </c>
      <c r="F467" s="271" t="str">
        <f>IF(G467="","",VLOOKUP(G467,プルダウン用リスト!$K$1:$M$16,2,FALSE))</f>
        <v/>
      </c>
      <c r="G467" s="70"/>
      <c r="H467" s="58"/>
      <c r="I467" s="70"/>
      <c r="J467" s="135"/>
      <c r="K467" s="136"/>
      <c r="L467" s="71"/>
      <c r="M467" s="72"/>
      <c r="N467" s="72"/>
      <c r="O467" s="264" t="str">
        <f t="shared" si="52"/>
        <v/>
      </c>
      <c r="P467" s="230">
        <f t="shared" si="53"/>
        <v>0</v>
      </c>
      <c r="Q467" s="231" t="str">
        <f t="shared" si="49"/>
        <v>×</v>
      </c>
      <c r="R467" s="231" t="str">
        <f t="shared" si="54"/>
        <v>×</v>
      </c>
      <c r="S467" s="232" t="str">
        <f t="shared" si="55"/>
        <v/>
      </c>
    </row>
    <row r="468" spans="2:19">
      <c r="B468" s="68"/>
      <c r="C468" s="57"/>
      <c r="D468" s="259" t="str">
        <f t="shared" si="50"/>
        <v/>
      </c>
      <c r="E468" s="260" t="str">
        <f t="shared" si="51"/>
        <v/>
      </c>
      <c r="F468" s="271" t="str">
        <f>IF(G468="","",VLOOKUP(G468,プルダウン用リスト!$K$1:$M$16,2,FALSE))</f>
        <v/>
      </c>
      <c r="G468" s="70"/>
      <c r="H468" s="70"/>
      <c r="I468" s="70"/>
      <c r="J468" s="135"/>
      <c r="K468" s="136"/>
      <c r="L468" s="71"/>
      <c r="M468" s="72"/>
      <c r="N468" s="72"/>
      <c r="O468" s="264" t="str">
        <f t="shared" si="52"/>
        <v/>
      </c>
      <c r="P468" s="230">
        <f t="shared" si="53"/>
        <v>0</v>
      </c>
      <c r="Q468" s="231" t="str">
        <f t="shared" si="49"/>
        <v>×</v>
      </c>
      <c r="R468" s="231" t="str">
        <f t="shared" si="54"/>
        <v>×</v>
      </c>
      <c r="S468" s="232" t="str">
        <f t="shared" si="55"/>
        <v/>
      </c>
    </row>
    <row r="469" spans="2:19">
      <c r="B469" s="68"/>
      <c r="C469" s="57"/>
      <c r="D469" s="259" t="str">
        <f t="shared" si="50"/>
        <v/>
      </c>
      <c r="E469" s="260" t="str">
        <f t="shared" si="51"/>
        <v/>
      </c>
      <c r="F469" s="271" t="str">
        <f>IF(G469="","",VLOOKUP(G469,プルダウン用リスト!$K$1:$M$16,2,FALSE))</f>
        <v/>
      </c>
      <c r="G469" s="70"/>
      <c r="H469" s="58"/>
      <c r="I469" s="70"/>
      <c r="J469" s="135"/>
      <c r="K469" s="136"/>
      <c r="L469" s="71"/>
      <c r="M469" s="72"/>
      <c r="N469" s="72"/>
      <c r="O469" s="264" t="str">
        <f t="shared" si="52"/>
        <v/>
      </c>
      <c r="P469" s="230">
        <f t="shared" si="53"/>
        <v>0</v>
      </c>
      <c r="Q469" s="231" t="str">
        <f t="shared" si="49"/>
        <v>×</v>
      </c>
      <c r="R469" s="231" t="str">
        <f t="shared" si="54"/>
        <v>×</v>
      </c>
      <c r="S469" s="232" t="str">
        <f t="shared" si="55"/>
        <v/>
      </c>
    </row>
    <row r="470" spans="2:19">
      <c r="B470" s="68"/>
      <c r="C470" s="57"/>
      <c r="D470" s="259" t="str">
        <f t="shared" si="50"/>
        <v/>
      </c>
      <c r="E470" s="260" t="str">
        <f t="shared" si="51"/>
        <v/>
      </c>
      <c r="F470" s="271" t="str">
        <f>IF(G470="","",VLOOKUP(G470,プルダウン用リスト!$K$1:$M$16,2,FALSE))</f>
        <v/>
      </c>
      <c r="G470" s="70"/>
      <c r="H470" s="58"/>
      <c r="I470" s="70"/>
      <c r="J470" s="135"/>
      <c r="K470" s="136"/>
      <c r="L470" s="71"/>
      <c r="M470" s="72"/>
      <c r="N470" s="72"/>
      <c r="O470" s="264" t="str">
        <f t="shared" si="52"/>
        <v/>
      </c>
      <c r="P470" s="230">
        <f t="shared" si="53"/>
        <v>0</v>
      </c>
      <c r="Q470" s="231" t="str">
        <f t="shared" si="49"/>
        <v>×</v>
      </c>
      <c r="R470" s="231" t="str">
        <f t="shared" si="54"/>
        <v>×</v>
      </c>
      <c r="S470" s="232" t="str">
        <f t="shared" si="55"/>
        <v/>
      </c>
    </row>
    <row r="471" spans="2:19">
      <c r="B471" s="68"/>
      <c r="C471" s="57"/>
      <c r="D471" s="259" t="str">
        <f t="shared" si="50"/>
        <v/>
      </c>
      <c r="E471" s="260" t="str">
        <f t="shared" si="51"/>
        <v/>
      </c>
      <c r="F471" s="271" t="str">
        <f>IF(G471="","",VLOOKUP(G471,プルダウン用リスト!$K$1:$M$16,2,FALSE))</f>
        <v/>
      </c>
      <c r="G471" s="70"/>
      <c r="H471" s="70"/>
      <c r="I471" s="70"/>
      <c r="J471" s="135"/>
      <c r="K471" s="136"/>
      <c r="L471" s="71"/>
      <c r="M471" s="72"/>
      <c r="N471" s="72"/>
      <c r="O471" s="264" t="str">
        <f t="shared" si="52"/>
        <v/>
      </c>
      <c r="P471" s="230">
        <f t="shared" si="53"/>
        <v>0</v>
      </c>
      <c r="Q471" s="231" t="str">
        <f t="shared" si="49"/>
        <v>×</v>
      </c>
      <c r="R471" s="231" t="str">
        <f t="shared" si="54"/>
        <v>×</v>
      </c>
      <c r="S471" s="232" t="str">
        <f t="shared" si="55"/>
        <v/>
      </c>
    </row>
    <row r="472" spans="2:19">
      <c r="B472" s="68"/>
      <c r="C472" s="57"/>
      <c r="D472" s="259" t="str">
        <f t="shared" si="50"/>
        <v/>
      </c>
      <c r="E472" s="260" t="str">
        <f t="shared" si="51"/>
        <v/>
      </c>
      <c r="F472" s="271" t="str">
        <f>IF(G472="","",VLOOKUP(G472,プルダウン用リスト!$K$1:$M$16,2,FALSE))</f>
        <v/>
      </c>
      <c r="G472" s="70"/>
      <c r="H472" s="58"/>
      <c r="I472" s="70"/>
      <c r="J472" s="135"/>
      <c r="K472" s="136"/>
      <c r="L472" s="71"/>
      <c r="M472" s="72"/>
      <c r="N472" s="72"/>
      <c r="O472" s="264" t="str">
        <f t="shared" si="52"/>
        <v/>
      </c>
      <c r="P472" s="230">
        <f t="shared" si="53"/>
        <v>0</v>
      </c>
      <c r="Q472" s="231" t="str">
        <f t="shared" si="49"/>
        <v>×</v>
      </c>
      <c r="R472" s="231" t="str">
        <f t="shared" si="54"/>
        <v>×</v>
      </c>
      <c r="S472" s="232" t="str">
        <f t="shared" si="55"/>
        <v/>
      </c>
    </row>
    <row r="473" spans="2:19">
      <c r="B473" s="68"/>
      <c r="C473" s="57"/>
      <c r="D473" s="259" t="str">
        <f t="shared" si="50"/>
        <v/>
      </c>
      <c r="E473" s="260" t="str">
        <f t="shared" si="51"/>
        <v/>
      </c>
      <c r="F473" s="271" t="str">
        <f>IF(G473="","",VLOOKUP(G473,プルダウン用リスト!$K$1:$M$16,2,FALSE))</f>
        <v/>
      </c>
      <c r="G473" s="70"/>
      <c r="H473" s="58"/>
      <c r="I473" s="70"/>
      <c r="J473" s="135"/>
      <c r="K473" s="136"/>
      <c r="L473" s="71"/>
      <c r="M473" s="72"/>
      <c r="N473" s="72"/>
      <c r="O473" s="264" t="str">
        <f t="shared" si="52"/>
        <v/>
      </c>
      <c r="P473" s="230">
        <f t="shared" si="53"/>
        <v>0</v>
      </c>
      <c r="Q473" s="231" t="str">
        <f t="shared" si="49"/>
        <v>×</v>
      </c>
      <c r="R473" s="231" t="str">
        <f t="shared" si="54"/>
        <v>×</v>
      </c>
      <c r="S473" s="232" t="str">
        <f t="shared" si="55"/>
        <v/>
      </c>
    </row>
    <row r="474" spans="2:19">
      <c r="B474" s="68"/>
      <c r="C474" s="69"/>
      <c r="D474" s="259" t="str">
        <f t="shared" si="50"/>
        <v/>
      </c>
      <c r="E474" s="260" t="str">
        <f t="shared" si="51"/>
        <v/>
      </c>
      <c r="F474" s="271" t="str">
        <f>IF(G474="","",VLOOKUP(G474,プルダウン用リスト!$K$1:$M$16,2,FALSE))</f>
        <v/>
      </c>
      <c r="G474" s="70"/>
      <c r="H474" s="70"/>
      <c r="I474" s="70"/>
      <c r="J474" s="135"/>
      <c r="K474" s="136"/>
      <c r="L474" s="71"/>
      <c r="M474" s="72"/>
      <c r="N474" s="72"/>
      <c r="O474" s="264" t="str">
        <f t="shared" si="52"/>
        <v/>
      </c>
      <c r="P474" s="230">
        <f t="shared" si="53"/>
        <v>0</v>
      </c>
      <c r="Q474" s="231" t="str">
        <f t="shared" si="49"/>
        <v>×</v>
      </c>
      <c r="R474" s="231" t="str">
        <f t="shared" si="54"/>
        <v>×</v>
      </c>
      <c r="S474" s="232" t="str">
        <f t="shared" si="55"/>
        <v/>
      </c>
    </row>
    <row r="475" spans="2:19">
      <c r="B475" s="68"/>
      <c r="C475" s="57"/>
      <c r="D475" s="259" t="str">
        <f t="shared" si="50"/>
        <v/>
      </c>
      <c r="E475" s="260" t="str">
        <f t="shared" si="51"/>
        <v/>
      </c>
      <c r="F475" s="271" t="str">
        <f>IF(G475="","",VLOOKUP(G475,プルダウン用リスト!$K$1:$M$16,2,FALSE))</f>
        <v/>
      </c>
      <c r="G475" s="70"/>
      <c r="H475" s="58"/>
      <c r="I475" s="70"/>
      <c r="J475" s="135"/>
      <c r="K475" s="136"/>
      <c r="L475" s="71"/>
      <c r="M475" s="72"/>
      <c r="N475" s="72"/>
      <c r="O475" s="264" t="str">
        <f t="shared" si="52"/>
        <v/>
      </c>
      <c r="P475" s="230">
        <f t="shared" si="53"/>
        <v>0</v>
      </c>
      <c r="Q475" s="231" t="str">
        <f t="shared" si="49"/>
        <v>×</v>
      </c>
      <c r="R475" s="231" t="str">
        <f t="shared" si="54"/>
        <v>×</v>
      </c>
      <c r="S475" s="232" t="str">
        <f t="shared" si="55"/>
        <v/>
      </c>
    </row>
    <row r="476" spans="2:19">
      <c r="B476" s="68"/>
      <c r="C476" s="57"/>
      <c r="D476" s="259" t="str">
        <f t="shared" si="50"/>
        <v/>
      </c>
      <c r="E476" s="260" t="str">
        <f t="shared" si="51"/>
        <v/>
      </c>
      <c r="F476" s="271" t="str">
        <f>IF(G476="","",VLOOKUP(G476,プルダウン用リスト!$K$1:$M$16,2,FALSE))</f>
        <v/>
      </c>
      <c r="G476" s="70"/>
      <c r="H476" s="58"/>
      <c r="I476" s="70"/>
      <c r="J476" s="135"/>
      <c r="K476" s="136"/>
      <c r="L476" s="71"/>
      <c r="M476" s="72"/>
      <c r="N476" s="72"/>
      <c r="O476" s="264" t="str">
        <f t="shared" si="52"/>
        <v/>
      </c>
      <c r="P476" s="230">
        <f t="shared" si="53"/>
        <v>0</v>
      </c>
      <c r="Q476" s="231" t="str">
        <f t="shared" si="49"/>
        <v>×</v>
      </c>
      <c r="R476" s="231" t="str">
        <f t="shared" si="54"/>
        <v>×</v>
      </c>
      <c r="S476" s="232" t="str">
        <f t="shared" si="55"/>
        <v/>
      </c>
    </row>
    <row r="477" spans="2:19">
      <c r="B477" s="68"/>
      <c r="C477" s="57"/>
      <c r="D477" s="259" t="str">
        <f t="shared" si="50"/>
        <v/>
      </c>
      <c r="E477" s="260" t="str">
        <f t="shared" si="51"/>
        <v/>
      </c>
      <c r="F477" s="271" t="str">
        <f>IF(G477="","",VLOOKUP(G477,プルダウン用リスト!$K$1:$M$16,2,FALSE))</f>
        <v/>
      </c>
      <c r="G477" s="70"/>
      <c r="H477" s="70"/>
      <c r="I477" s="70"/>
      <c r="J477" s="135"/>
      <c r="K477" s="136"/>
      <c r="L477" s="71"/>
      <c r="M477" s="72"/>
      <c r="N477" s="72"/>
      <c r="O477" s="264" t="str">
        <f t="shared" si="52"/>
        <v/>
      </c>
      <c r="P477" s="230">
        <f t="shared" si="53"/>
        <v>0</v>
      </c>
      <c r="Q477" s="231" t="str">
        <f t="shared" si="49"/>
        <v>×</v>
      </c>
      <c r="R477" s="231" t="str">
        <f t="shared" si="54"/>
        <v>×</v>
      </c>
      <c r="S477" s="232" t="str">
        <f t="shared" si="55"/>
        <v/>
      </c>
    </row>
    <row r="478" spans="2:19">
      <c r="B478" s="68"/>
      <c r="C478" s="57"/>
      <c r="D478" s="259" t="str">
        <f t="shared" si="50"/>
        <v/>
      </c>
      <c r="E478" s="260" t="str">
        <f t="shared" si="51"/>
        <v/>
      </c>
      <c r="F478" s="271" t="str">
        <f>IF(G478="","",VLOOKUP(G478,プルダウン用リスト!$K$1:$M$16,2,FALSE))</f>
        <v/>
      </c>
      <c r="G478" s="70"/>
      <c r="H478" s="58"/>
      <c r="I478" s="70"/>
      <c r="J478" s="135"/>
      <c r="K478" s="136"/>
      <c r="L478" s="71"/>
      <c r="M478" s="72"/>
      <c r="N478" s="72"/>
      <c r="O478" s="264" t="str">
        <f t="shared" si="52"/>
        <v/>
      </c>
      <c r="P478" s="230">
        <f t="shared" si="53"/>
        <v>0</v>
      </c>
      <c r="Q478" s="231" t="str">
        <f t="shared" si="49"/>
        <v>×</v>
      </c>
      <c r="R478" s="231" t="str">
        <f t="shared" si="54"/>
        <v>×</v>
      </c>
      <c r="S478" s="232" t="str">
        <f t="shared" si="55"/>
        <v/>
      </c>
    </row>
    <row r="479" spans="2:19">
      <c r="B479" s="68"/>
      <c r="C479" s="57"/>
      <c r="D479" s="259" t="str">
        <f t="shared" si="50"/>
        <v/>
      </c>
      <c r="E479" s="260" t="str">
        <f t="shared" si="51"/>
        <v/>
      </c>
      <c r="F479" s="271" t="str">
        <f>IF(G479="","",VLOOKUP(G479,プルダウン用リスト!$K$1:$M$16,2,FALSE))</f>
        <v/>
      </c>
      <c r="G479" s="70"/>
      <c r="H479" s="58"/>
      <c r="I479" s="70"/>
      <c r="J479" s="135"/>
      <c r="K479" s="136"/>
      <c r="L479" s="71"/>
      <c r="M479" s="72"/>
      <c r="N479" s="72"/>
      <c r="O479" s="264" t="str">
        <f t="shared" si="52"/>
        <v/>
      </c>
      <c r="P479" s="230">
        <f t="shared" si="53"/>
        <v>0</v>
      </c>
      <c r="Q479" s="231" t="str">
        <f t="shared" si="49"/>
        <v>×</v>
      </c>
      <c r="R479" s="231" t="str">
        <f t="shared" si="54"/>
        <v>×</v>
      </c>
      <c r="S479" s="232" t="str">
        <f t="shared" si="55"/>
        <v/>
      </c>
    </row>
    <row r="480" spans="2:19">
      <c r="B480" s="68"/>
      <c r="C480" s="57"/>
      <c r="D480" s="259" t="str">
        <f t="shared" si="50"/>
        <v/>
      </c>
      <c r="E480" s="260" t="str">
        <f t="shared" si="51"/>
        <v/>
      </c>
      <c r="F480" s="271" t="str">
        <f>IF(G480="","",VLOOKUP(G480,プルダウン用リスト!$K$1:$M$16,2,FALSE))</f>
        <v/>
      </c>
      <c r="G480" s="70"/>
      <c r="H480" s="70"/>
      <c r="I480" s="70"/>
      <c r="J480" s="135"/>
      <c r="K480" s="136"/>
      <c r="L480" s="71"/>
      <c r="M480" s="72"/>
      <c r="N480" s="72"/>
      <c r="O480" s="264" t="str">
        <f t="shared" si="52"/>
        <v/>
      </c>
      <c r="P480" s="230">
        <f t="shared" si="53"/>
        <v>0</v>
      </c>
      <c r="Q480" s="231" t="str">
        <f t="shared" si="49"/>
        <v>×</v>
      </c>
      <c r="R480" s="231" t="str">
        <f t="shared" si="54"/>
        <v>×</v>
      </c>
      <c r="S480" s="232" t="str">
        <f t="shared" si="55"/>
        <v/>
      </c>
    </row>
    <row r="481" spans="2:19">
      <c r="B481" s="68"/>
      <c r="C481" s="57"/>
      <c r="D481" s="259" t="str">
        <f t="shared" si="50"/>
        <v/>
      </c>
      <c r="E481" s="260" t="str">
        <f t="shared" si="51"/>
        <v/>
      </c>
      <c r="F481" s="271" t="str">
        <f>IF(G481="","",VLOOKUP(G481,プルダウン用リスト!$K$1:$M$16,2,FALSE))</f>
        <v/>
      </c>
      <c r="G481" s="70"/>
      <c r="H481" s="58"/>
      <c r="I481" s="70"/>
      <c r="J481" s="135"/>
      <c r="K481" s="136"/>
      <c r="L481" s="71"/>
      <c r="M481" s="72"/>
      <c r="N481" s="72"/>
      <c r="O481" s="264" t="str">
        <f t="shared" si="52"/>
        <v/>
      </c>
      <c r="P481" s="230">
        <f t="shared" si="53"/>
        <v>0</v>
      </c>
      <c r="Q481" s="231" t="str">
        <f t="shared" si="49"/>
        <v>×</v>
      </c>
      <c r="R481" s="231" t="str">
        <f t="shared" si="54"/>
        <v>×</v>
      </c>
      <c r="S481" s="232" t="str">
        <f t="shared" si="55"/>
        <v/>
      </c>
    </row>
    <row r="482" spans="2:19">
      <c r="B482" s="68"/>
      <c r="C482" s="57"/>
      <c r="D482" s="259" t="str">
        <f t="shared" si="50"/>
        <v/>
      </c>
      <c r="E482" s="260" t="str">
        <f t="shared" si="51"/>
        <v/>
      </c>
      <c r="F482" s="271" t="str">
        <f>IF(G482="","",VLOOKUP(G482,プルダウン用リスト!$K$1:$M$16,2,FALSE))</f>
        <v/>
      </c>
      <c r="G482" s="70"/>
      <c r="H482" s="58"/>
      <c r="I482" s="70"/>
      <c r="J482" s="135"/>
      <c r="K482" s="136"/>
      <c r="L482" s="71"/>
      <c r="M482" s="72"/>
      <c r="N482" s="72"/>
      <c r="O482" s="264" t="str">
        <f t="shared" si="52"/>
        <v/>
      </c>
      <c r="P482" s="230">
        <f t="shared" si="53"/>
        <v>0</v>
      </c>
      <c r="Q482" s="231" t="str">
        <f t="shared" si="49"/>
        <v>×</v>
      </c>
      <c r="R482" s="231" t="str">
        <f t="shared" si="54"/>
        <v>×</v>
      </c>
      <c r="S482" s="232" t="str">
        <f t="shared" si="55"/>
        <v/>
      </c>
    </row>
    <row r="483" spans="2:19">
      <c r="B483" s="68"/>
      <c r="C483" s="57"/>
      <c r="D483" s="259" t="str">
        <f t="shared" si="50"/>
        <v/>
      </c>
      <c r="E483" s="260" t="str">
        <f t="shared" si="51"/>
        <v/>
      </c>
      <c r="F483" s="271" t="str">
        <f>IF(G483="","",VLOOKUP(G483,プルダウン用リスト!$K$1:$M$16,2,FALSE))</f>
        <v/>
      </c>
      <c r="G483" s="70"/>
      <c r="H483" s="70"/>
      <c r="I483" s="70"/>
      <c r="J483" s="135"/>
      <c r="K483" s="136"/>
      <c r="L483" s="71"/>
      <c r="M483" s="72"/>
      <c r="N483" s="72"/>
      <c r="O483" s="264" t="str">
        <f t="shared" si="52"/>
        <v/>
      </c>
      <c r="P483" s="230">
        <f t="shared" si="53"/>
        <v>0</v>
      </c>
      <c r="Q483" s="231" t="str">
        <f t="shared" si="49"/>
        <v>×</v>
      </c>
      <c r="R483" s="231" t="str">
        <f t="shared" si="54"/>
        <v>×</v>
      </c>
      <c r="S483" s="232" t="str">
        <f t="shared" si="55"/>
        <v/>
      </c>
    </row>
    <row r="484" spans="2:19">
      <c r="B484" s="68"/>
      <c r="C484" s="57"/>
      <c r="D484" s="259" t="str">
        <f t="shared" si="50"/>
        <v/>
      </c>
      <c r="E484" s="260" t="str">
        <f t="shared" si="51"/>
        <v/>
      </c>
      <c r="F484" s="271" t="str">
        <f>IF(G484="","",VLOOKUP(G484,プルダウン用リスト!$K$1:$M$16,2,FALSE))</f>
        <v/>
      </c>
      <c r="G484" s="70"/>
      <c r="H484" s="58"/>
      <c r="I484" s="70"/>
      <c r="J484" s="135"/>
      <c r="K484" s="136"/>
      <c r="L484" s="71"/>
      <c r="M484" s="72"/>
      <c r="N484" s="72"/>
      <c r="O484" s="264" t="str">
        <f t="shared" si="52"/>
        <v/>
      </c>
      <c r="P484" s="230">
        <f t="shared" si="53"/>
        <v>0</v>
      </c>
      <c r="Q484" s="231" t="str">
        <f t="shared" si="49"/>
        <v>×</v>
      </c>
      <c r="R484" s="231" t="str">
        <f t="shared" si="54"/>
        <v>×</v>
      </c>
      <c r="S484" s="232" t="str">
        <f t="shared" si="55"/>
        <v/>
      </c>
    </row>
    <row r="485" spans="2:19">
      <c r="B485" s="68"/>
      <c r="C485" s="57"/>
      <c r="D485" s="259" t="str">
        <f t="shared" si="50"/>
        <v/>
      </c>
      <c r="E485" s="260" t="str">
        <f t="shared" si="51"/>
        <v/>
      </c>
      <c r="F485" s="271" t="str">
        <f>IF(G485="","",VLOOKUP(G485,プルダウン用リスト!$K$1:$M$16,2,FALSE))</f>
        <v/>
      </c>
      <c r="G485" s="70"/>
      <c r="H485" s="58"/>
      <c r="I485" s="70"/>
      <c r="J485" s="135"/>
      <c r="K485" s="136"/>
      <c r="L485" s="71"/>
      <c r="M485" s="72"/>
      <c r="N485" s="72"/>
      <c r="O485" s="264" t="str">
        <f t="shared" si="52"/>
        <v/>
      </c>
      <c r="P485" s="230">
        <f t="shared" si="53"/>
        <v>0</v>
      </c>
      <c r="Q485" s="231" t="str">
        <f t="shared" si="49"/>
        <v>×</v>
      </c>
      <c r="R485" s="231" t="str">
        <f t="shared" si="54"/>
        <v>×</v>
      </c>
      <c r="S485" s="232" t="str">
        <f t="shared" si="55"/>
        <v/>
      </c>
    </row>
    <row r="486" spans="2:19">
      <c r="B486" s="68"/>
      <c r="C486" s="69"/>
      <c r="D486" s="259" t="str">
        <f t="shared" si="50"/>
        <v/>
      </c>
      <c r="E486" s="260" t="str">
        <f t="shared" si="51"/>
        <v/>
      </c>
      <c r="F486" s="271" t="str">
        <f>IF(G486="","",VLOOKUP(G486,プルダウン用リスト!$K$1:$M$16,2,FALSE))</f>
        <v/>
      </c>
      <c r="G486" s="70"/>
      <c r="H486" s="70"/>
      <c r="I486" s="70"/>
      <c r="J486" s="135"/>
      <c r="K486" s="136"/>
      <c r="L486" s="71"/>
      <c r="M486" s="72"/>
      <c r="N486" s="72"/>
      <c r="O486" s="264" t="str">
        <f t="shared" si="52"/>
        <v/>
      </c>
      <c r="P486" s="230">
        <f t="shared" si="53"/>
        <v>0</v>
      </c>
      <c r="Q486" s="231" t="str">
        <f t="shared" si="49"/>
        <v>×</v>
      </c>
      <c r="R486" s="231" t="str">
        <f t="shared" si="54"/>
        <v>×</v>
      </c>
      <c r="S486" s="232" t="str">
        <f t="shared" si="55"/>
        <v/>
      </c>
    </row>
    <row r="487" spans="2:19">
      <c r="B487" s="68"/>
      <c r="C487" s="57"/>
      <c r="D487" s="259" t="str">
        <f t="shared" si="50"/>
        <v/>
      </c>
      <c r="E487" s="260" t="str">
        <f t="shared" si="51"/>
        <v/>
      </c>
      <c r="F487" s="271" t="str">
        <f>IF(G487="","",VLOOKUP(G487,プルダウン用リスト!$K$1:$M$16,2,FALSE))</f>
        <v/>
      </c>
      <c r="G487" s="70"/>
      <c r="H487" s="58"/>
      <c r="I487" s="70"/>
      <c r="J487" s="135"/>
      <c r="K487" s="136"/>
      <c r="L487" s="71"/>
      <c r="M487" s="72"/>
      <c r="N487" s="72"/>
      <c r="O487" s="264" t="str">
        <f t="shared" si="52"/>
        <v/>
      </c>
      <c r="P487" s="230">
        <f t="shared" si="53"/>
        <v>0</v>
      </c>
      <c r="Q487" s="231" t="str">
        <f t="shared" si="49"/>
        <v>×</v>
      </c>
      <c r="R487" s="231" t="str">
        <f t="shared" si="54"/>
        <v>×</v>
      </c>
      <c r="S487" s="232" t="str">
        <f t="shared" si="55"/>
        <v/>
      </c>
    </row>
    <row r="488" spans="2:19">
      <c r="B488" s="68"/>
      <c r="C488" s="57"/>
      <c r="D488" s="259" t="str">
        <f t="shared" si="50"/>
        <v/>
      </c>
      <c r="E488" s="260" t="str">
        <f t="shared" si="51"/>
        <v/>
      </c>
      <c r="F488" s="271" t="str">
        <f>IF(G488="","",VLOOKUP(G488,プルダウン用リスト!$K$1:$M$16,2,FALSE))</f>
        <v/>
      </c>
      <c r="G488" s="70"/>
      <c r="H488" s="58"/>
      <c r="I488" s="70"/>
      <c r="J488" s="135"/>
      <c r="K488" s="136"/>
      <c r="L488" s="71"/>
      <c r="M488" s="72"/>
      <c r="N488" s="72"/>
      <c r="O488" s="264" t="str">
        <f t="shared" si="52"/>
        <v/>
      </c>
      <c r="P488" s="230">
        <f t="shared" si="53"/>
        <v>0</v>
      </c>
      <c r="Q488" s="231" t="str">
        <f t="shared" si="49"/>
        <v>×</v>
      </c>
      <c r="R488" s="231" t="str">
        <f t="shared" si="54"/>
        <v>×</v>
      </c>
      <c r="S488" s="232" t="str">
        <f t="shared" si="55"/>
        <v/>
      </c>
    </row>
    <row r="489" spans="2:19">
      <c r="B489" s="68"/>
      <c r="C489" s="57"/>
      <c r="D489" s="259" t="str">
        <f t="shared" si="50"/>
        <v/>
      </c>
      <c r="E489" s="260" t="str">
        <f t="shared" si="51"/>
        <v/>
      </c>
      <c r="F489" s="271" t="str">
        <f>IF(G489="","",VLOOKUP(G489,プルダウン用リスト!$K$1:$M$16,2,FALSE))</f>
        <v/>
      </c>
      <c r="G489" s="70"/>
      <c r="H489" s="70"/>
      <c r="I489" s="70"/>
      <c r="J489" s="135"/>
      <c r="K489" s="136"/>
      <c r="L489" s="71"/>
      <c r="M489" s="72"/>
      <c r="N489" s="72"/>
      <c r="O489" s="264" t="str">
        <f t="shared" si="52"/>
        <v/>
      </c>
      <c r="P489" s="230">
        <f t="shared" si="53"/>
        <v>0</v>
      </c>
      <c r="Q489" s="231" t="str">
        <f t="shared" si="49"/>
        <v>×</v>
      </c>
      <c r="R489" s="231" t="str">
        <f t="shared" si="54"/>
        <v>×</v>
      </c>
      <c r="S489" s="232" t="str">
        <f t="shared" si="55"/>
        <v/>
      </c>
    </row>
    <row r="490" spans="2:19">
      <c r="B490" s="68"/>
      <c r="C490" s="57"/>
      <c r="D490" s="259" t="str">
        <f t="shared" si="50"/>
        <v/>
      </c>
      <c r="E490" s="260" t="str">
        <f t="shared" si="51"/>
        <v/>
      </c>
      <c r="F490" s="271" t="str">
        <f>IF(G490="","",VLOOKUP(G490,プルダウン用リスト!$K$1:$M$16,2,FALSE))</f>
        <v/>
      </c>
      <c r="G490" s="70"/>
      <c r="H490" s="58"/>
      <c r="I490" s="70"/>
      <c r="J490" s="135"/>
      <c r="K490" s="136"/>
      <c r="L490" s="71"/>
      <c r="M490" s="72"/>
      <c r="N490" s="72"/>
      <c r="O490" s="264" t="str">
        <f t="shared" si="52"/>
        <v/>
      </c>
      <c r="P490" s="230">
        <f t="shared" si="53"/>
        <v>0</v>
      </c>
      <c r="Q490" s="231" t="str">
        <f t="shared" si="49"/>
        <v>×</v>
      </c>
      <c r="R490" s="231" t="str">
        <f t="shared" si="54"/>
        <v>×</v>
      </c>
      <c r="S490" s="232" t="str">
        <f t="shared" si="55"/>
        <v/>
      </c>
    </row>
    <row r="491" spans="2:19">
      <c r="B491" s="68"/>
      <c r="C491" s="57"/>
      <c r="D491" s="259" t="str">
        <f t="shared" si="50"/>
        <v/>
      </c>
      <c r="E491" s="260" t="str">
        <f t="shared" si="51"/>
        <v/>
      </c>
      <c r="F491" s="271" t="str">
        <f>IF(G491="","",VLOOKUP(G491,プルダウン用リスト!$K$1:$M$16,2,FALSE))</f>
        <v/>
      </c>
      <c r="G491" s="70"/>
      <c r="H491" s="58"/>
      <c r="I491" s="70"/>
      <c r="J491" s="135"/>
      <c r="K491" s="136"/>
      <c r="L491" s="71"/>
      <c r="M491" s="72"/>
      <c r="N491" s="72"/>
      <c r="O491" s="264" t="str">
        <f t="shared" si="52"/>
        <v/>
      </c>
      <c r="P491" s="230">
        <f t="shared" si="53"/>
        <v>0</v>
      </c>
      <c r="Q491" s="231" t="str">
        <f t="shared" si="49"/>
        <v>×</v>
      </c>
      <c r="R491" s="231" t="str">
        <f t="shared" si="54"/>
        <v>×</v>
      </c>
      <c r="S491" s="232" t="str">
        <f t="shared" si="55"/>
        <v/>
      </c>
    </row>
    <row r="492" spans="2:19">
      <c r="B492" s="68"/>
      <c r="C492" s="57"/>
      <c r="D492" s="259" t="str">
        <f t="shared" si="50"/>
        <v/>
      </c>
      <c r="E492" s="260" t="str">
        <f t="shared" si="51"/>
        <v/>
      </c>
      <c r="F492" s="271" t="str">
        <f>IF(G492="","",VLOOKUP(G492,プルダウン用リスト!$K$1:$M$16,2,FALSE))</f>
        <v/>
      </c>
      <c r="G492" s="70"/>
      <c r="H492" s="70"/>
      <c r="I492" s="70"/>
      <c r="J492" s="135"/>
      <c r="K492" s="136"/>
      <c r="L492" s="71"/>
      <c r="M492" s="72"/>
      <c r="N492" s="72"/>
      <c r="O492" s="264" t="str">
        <f t="shared" si="52"/>
        <v/>
      </c>
      <c r="P492" s="230">
        <f t="shared" si="53"/>
        <v>0</v>
      </c>
      <c r="Q492" s="231" t="str">
        <f t="shared" si="49"/>
        <v>×</v>
      </c>
      <c r="R492" s="231" t="str">
        <f t="shared" si="54"/>
        <v>×</v>
      </c>
      <c r="S492" s="232" t="str">
        <f t="shared" si="55"/>
        <v/>
      </c>
    </row>
    <row r="493" spans="2:19">
      <c r="B493" s="68"/>
      <c r="C493" s="57"/>
      <c r="D493" s="259" t="str">
        <f t="shared" si="50"/>
        <v/>
      </c>
      <c r="E493" s="260" t="str">
        <f t="shared" si="51"/>
        <v/>
      </c>
      <c r="F493" s="271" t="str">
        <f>IF(G493="","",VLOOKUP(G493,プルダウン用リスト!$K$1:$M$16,2,FALSE))</f>
        <v/>
      </c>
      <c r="G493" s="70"/>
      <c r="H493" s="58"/>
      <c r="I493" s="70"/>
      <c r="J493" s="135"/>
      <c r="K493" s="136"/>
      <c r="L493" s="71"/>
      <c r="M493" s="72"/>
      <c r="N493" s="72"/>
      <c r="O493" s="264" t="str">
        <f t="shared" si="52"/>
        <v/>
      </c>
      <c r="P493" s="230">
        <f t="shared" si="53"/>
        <v>0</v>
      </c>
      <c r="Q493" s="231" t="str">
        <f t="shared" si="49"/>
        <v>×</v>
      </c>
      <c r="R493" s="231" t="str">
        <f t="shared" si="54"/>
        <v>×</v>
      </c>
      <c r="S493" s="232" t="str">
        <f t="shared" si="55"/>
        <v/>
      </c>
    </row>
    <row r="494" spans="2:19">
      <c r="B494" s="68"/>
      <c r="C494" s="57"/>
      <c r="D494" s="259" t="str">
        <f t="shared" si="50"/>
        <v/>
      </c>
      <c r="E494" s="260" t="str">
        <f t="shared" si="51"/>
        <v/>
      </c>
      <c r="F494" s="271" t="str">
        <f>IF(G494="","",VLOOKUP(G494,プルダウン用リスト!$K$1:$M$16,2,FALSE))</f>
        <v/>
      </c>
      <c r="G494" s="70"/>
      <c r="H494" s="58"/>
      <c r="I494" s="70"/>
      <c r="J494" s="135"/>
      <c r="K494" s="136"/>
      <c r="L494" s="71"/>
      <c r="M494" s="72"/>
      <c r="N494" s="72"/>
      <c r="O494" s="264" t="str">
        <f t="shared" si="52"/>
        <v/>
      </c>
      <c r="P494" s="230">
        <f t="shared" si="53"/>
        <v>0</v>
      </c>
      <c r="Q494" s="231" t="str">
        <f t="shared" si="49"/>
        <v>×</v>
      </c>
      <c r="R494" s="231" t="str">
        <f t="shared" si="54"/>
        <v>×</v>
      </c>
      <c r="S494" s="232" t="str">
        <f t="shared" si="55"/>
        <v/>
      </c>
    </row>
    <row r="495" spans="2:19">
      <c r="B495" s="68"/>
      <c r="C495" s="57"/>
      <c r="D495" s="259" t="str">
        <f t="shared" si="50"/>
        <v/>
      </c>
      <c r="E495" s="260" t="str">
        <f t="shared" si="51"/>
        <v/>
      </c>
      <c r="F495" s="271" t="str">
        <f>IF(G495="","",VLOOKUP(G495,プルダウン用リスト!$K$1:$M$16,2,FALSE))</f>
        <v/>
      </c>
      <c r="G495" s="70"/>
      <c r="H495" s="70"/>
      <c r="I495" s="70"/>
      <c r="J495" s="135"/>
      <c r="K495" s="136"/>
      <c r="L495" s="71"/>
      <c r="M495" s="72"/>
      <c r="N495" s="72"/>
      <c r="O495" s="264" t="str">
        <f t="shared" si="52"/>
        <v/>
      </c>
      <c r="P495" s="230">
        <f t="shared" si="53"/>
        <v>0</v>
      </c>
      <c r="Q495" s="231" t="str">
        <f t="shared" si="49"/>
        <v>×</v>
      </c>
      <c r="R495" s="231" t="str">
        <f t="shared" si="54"/>
        <v>×</v>
      </c>
      <c r="S495" s="232" t="str">
        <f t="shared" si="55"/>
        <v/>
      </c>
    </row>
    <row r="496" spans="2:19">
      <c r="B496" s="68"/>
      <c r="C496" s="57"/>
      <c r="D496" s="259" t="str">
        <f t="shared" si="50"/>
        <v/>
      </c>
      <c r="E496" s="260" t="str">
        <f t="shared" si="51"/>
        <v/>
      </c>
      <c r="F496" s="271" t="str">
        <f>IF(G496="","",VLOOKUP(G496,プルダウン用リスト!$K$1:$M$16,2,FALSE))</f>
        <v/>
      </c>
      <c r="G496" s="70"/>
      <c r="H496" s="58"/>
      <c r="I496" s="70"/>
      <c r="J496" s="135"/>
      <c r="K496" s="136"/>
      <c r="L496" s="71"/>
      <c r="M496" s="72"/>
      <c r="N496" s="72"/>
      <c r="O496" s="264" t="str">
        <f t="shared" si="52"/>
        <v/>
      </c>
      <c r="P496" s="230">
        <f t="shared" si="53"/>
        <v>0</v>
      </c>
      <c r="Q496" s="231" t="str">
        <f t="shared" si="49"/>
        <v>×</v>
      </c>
      <c r="R496" s="231" t="str">
        <f t="shared" si="54"/>
        <v>×</v>
      </c>
      <c r="S496" s="232" t="str">
        <f t="shared" si="55"/>
        <v/>
      </c>
    </row>
    <row r="497" spans="2:19">
      <c r="B497" s="68"/>
      <c r="C497" s="57"/>
      <c r="D497" s="259" t="str">
        <f t="shared" si="50"/>
        <v/>
      </c>
      <c r="E497" s="260" t="str">
        <f t="shared" si="51"/>
        <v/>
      </c>
      <c r="F497" s="271" t="str">
        <f>IF(G497="","",VLOOKUP(G497,プルダウン用リスト!$K$1:$M$16,2,FALSE))</f>
        <v/>
      </c>
      <c r="G497" s="70"/>
      <c r="H497" s="58"/>
      <c r="I497" s="70"/>
      <c r="J497" s="135"/>
      <c r="K497" s="136"/>
      <c r="L497" s="71"/>
      <c r="M497" s="72"/>
      <c r="N497" s="72"/>
      <c r="O497" s="264" t="str">
        <f t="shared" si="52"/>
        <v/>
      </c>
      <c r="P497" s="230">
        <f t="shared" si="53"/>
        <v>0</v>
      </c>
      <c r="Q497" s="231" t="str">
        <f t="shared" si="49"/>
        <v>×</v>
      </c>
      <c r="R497" s="231" t="str">
        <f t="shared" si="54"/>
        <v>×</v>
      </c>
      <c r="S497" s="232" t="str">
        <f t="shared" si="55"/>
        <v/>
      </c>
    </row>
    <row r="498" spans="2:19">
      <c r="B498" s="68"/>
      <c r="C498" s="69"/>
      <c r="D498" s="259" t="str">
        <f t="shared" si="50"/>
        <v/>
      </c>
      <c r="E498" s="260" t="str">
        <f t="shared" si="51"/>
        <v/>
      </c>
      <c r="F498" s="271" t="str">
        <f>IF(G498="","",VLOOKUP(G498,プルダウン用リスト!$K$1:$M$16,2,FALSE))</f>
        <v/>
      </c>
      <c r="G498" s="70"/>
      <c r="H498" s="70"/>
      <c r="I498" s="70"/>
      <c r="J498" s="135"/>
      <c r="K498" s="136"/>
      <c r="L498" s="71"/>
      <c r="M498" s="72"/>
      <c r="N498" s="72"/>
      <c r="O498" s="264" t="str">
        <f t="shared" si="52"/>
        <v/>
      </c>
      <c r="P498" s="230">
        <f t="shared" si="53"/>
        <v>0</v>
      </c>
      <c r="Q498" s="231" t="str">
        <f t="shared" si="49"/>
        <v>×</v>
      </c>
      <c r="R498" s="231" t="str">
        <f t="shared" si="54"/>
        <v>×</v>
      </c>
      <c r="S498" s="232" t="str">
        <f t="shared" si="55"/>
        <v/>
      </c>
    </row>
    <row r="499" spans="2:19">
      <c r="B499" s="68"/>
      <c r="C499" s="57"/>
      <c r="D499" s="259" t="str">
        <f t="shared" si="50"/>
        <v/>
      </c>
      <c r="E499" s="260" t="str">
        <f t="shared" si="51"/>
        <v/>
      </c>
      <c r="F499" s="271" t="str">
        <f>IF(G499="","",VLOOKUP(G499,プルダウン用リスト!$K$1:$M$16,2,FALSE))</f>
        <v/>
      </c>
      <c r="G499" s="70"/>
      <c r="H499" s="58"/>
      <c r="I499" s="70"/>
      <c r="J499" s="135"/>
      <c r="K499" s="136"/>
      <c r="L499" s="71"/>
      <c r="M499" s="72"/>
      <c r="N499" s="72"/>
      <c r="O499" s="264" t="str">
        <f t="shared" si="52"/>
        <v/>
      </c>
      <c r="P499" s="230">
        <f t="shared" si="53"/>
        <v>0</v>
      </c>
      <c r="Q499" s="231" t="str">
        <f t="shared" si="49"/>
        <v>×</v>
      </c>
      <c r="R499" s="231" t="str">
        <f t="shared" si="54"/>
        <v>×</v>
      </c>
      <c r="S499" s="232" t="str">
        <f t="shared" si="55"/>
        <v/>
      </c>
    </row>
    <row r="500" spans="2:19">
      <c r="B500" s="68"/>
      <c r="C500" s="57"/>
      <c r="D500" s="259" t="str">
        <f t="shared" si="50"/>
        <v/>
      </c>
      <c r="E500" s="260" t="str">
        <f t="shared" si="51"/>
        <v/>
      </c>
      <c r="F500" s="271" t="str">
        <f>IF(G500="","",VLOOKUP(G500,プルダウン用リスト!$K$1:$M$16,2,FALSE))</f>
        <v/>
      </c>
      <c r="G500" s="70"/>
      <c r="H500" s="58"/>
      <c r="I500" s="70"/>
      <c r="J500" s="135"/>
      <c r="K500" s="136"/>
      <c r="L500" s="71"/>
      <c r="M500" s="72"/>
      <c r="N500" s="72"/>
      <c r="O500" s="264" t="str">
        <f t="shared" si="52"/>
        <v/>
      </c>
      <c r="P500" s="230">
        <f t="shared" si="53"/>
        <v>0</v>
      </c>
      <c r="Q500" s="231" t="str">
        <f t="shared" si="49"/>
        <v>×</v>
      </c>
      <c r="R500" s="231" t="str">
        <f t="shared" si="54"/>
        <v>×</v>
      </c>
      <c r="S500" s="232" t="str">
        <f t="shared" si="55"/>
        <v/>
      </c>
    </row>
    <row r="501" spans="2:19">
      <c r="B501" s="68"/>
      <c r="C501" s="57"/>
      <c r="D501" s="259" t="str">
        <f t="shared" si="50"/>
        <v/>
      </c>
      <c r="E501" s="260" t="str">
        <f t="shared" si="51"/>
        <v/>
      </c>
      <c r="F501" s="271" t="str">
        <f>IF(G501="","",VLOOKUP(G501,プルダウン用リスト!$K$1:$M$16,2,FALSE))</f>
        <v/>
      </c>
      <c r="G501" s="70"/>
      <c r="H501" s="70"/>
      <c r="I501" s="70"/>
      <c r="J501" s="135"/>
      <c r="K501" s="136"/>
      <c r="L501" s="71"/>
      <c r="M501" s="72"/>
      <c r="N501" s="72"/>
      <c r="O501" s="264" t="str">
        <f t="shared" si="52"/>
        <v/>
      </c>
      <c r="P501" s="230">
        <f t="shared" si="53"/>
        <v>0</v>
      </c>
      <c r="Q501" s="231" t="str">
        <f t="shared" si="49"/>
        <v>×</v>
      </c>
      <c r="R501" s="231" t="str">
        <f t="shared" si="54"/>
        <v>×</v>
      </c>
      <c r="S501" s="232" t="str">
        <f t="shared" si="55"/>
        <v/>
      </c>
    </row>
    <row r="502" spans="2:19">
      <c r="B502" s="68"/>
      <c r="C502" s="57"/>
      <c r="D502" s="259" t="str">
        <f t="shared" si="50"/>
        <v/>
      </c>
      <c r="E502" s="260" t="str">
        <f t="shared" si="51"/>
        <v/>
      </c>
      <c r="F502" s="271" t="str">
        <f>IF(G502="","",VLOOKUP(G502,プルダウン用リスト!$K$1:$M$16,2,FALSE))</f>
        <v/>
      </c>
      <c r="G502" s="70"/>
      <c r="H502" s="58"/>
      <c r="I502" s="70"/>
      <c r="J502" s="135"/>
      <c r="K502" s="136"/>
      <c r="L502" s="71"/>
      <c r="M502" s="72"/>
      <c r="N502" s="72"/>
      <c r="O502" s="264" t="str">
        <f t="shared" si="52"/>
        <v/>
      </c>
      <c r="P502" s="230">
        <f t="shared" si="53"/>
        <v>0</v>
      </c>
      <c r="Q502" s="231" t="str">
        <f t="shared" si="49"/>
        <v>×</v>
      </c>
      <c r="R502" s="231" t="str">
        <f t="shared" si="54"/>
        <v>×</v>
      </c>
      <c r="S502" s="232" t="str">
        <f t="shared" si="55"/>
        <v/>
      </c>
    </row>
    <row r="503" spans="2:19">
      <c r="B503" s="68"/>
      <c r="C503" s="57"/>
      <c r="D503" s="259" t="str">
        <f t="shared" si="50"/>
        <v/>
      </c>
      <c r="E503" s="260" t="str">
        <f t="shared" si="51"/>
        <v/>
      </c>
      <c r="F503" s="271" t="str">
        <f>IF(G503="","",VLOOKUP(G503,プルダウン用リスト!$K$1:$M$16,2,FALSE))</f>
        <v/>
      </c>
      <c r="G503" s="70"/>
      <c r="H503" s="58"/>
      <c r="I503" s="70"/>
      <c r="J503" s="135"/>
      <c r="K503" s="136"/>
      <c r="L503" s="71"/>
      <c r="M503" s="72"/>
      <c r="N503" s="72"/>
      <c r="O503" s="264" t="str">
        <f t="shared" si="52"/>
        <v/>
      </c>
      <c r="P503" s="230">
        <f t="shared" si="53"/>
        <v>0</v>
      </c>
      <c r="Q503" s="231" t="str">
        <f t="shared" si="49"/>
        <v>×</v>
      </c>
      <c r="R503" s="231" t="str">
        <f t="shared" si="54"/>
        <v>×</v>
      </c>
      <c r="S503" s="232" t="str">
        <f t="shared" si="55"/>
        <v/>
      </c>
    </row>
    <row r="504" spans="2:19">
      <c r="B504" s="68"/>
      <c r="C504" s="57"/>
      <c r="D504" s="259" t="str">
        <f t="shared" si="50"/>
        <v/>
      </c>
      <c r="E504" s="260" t="str">
        <f t="shared" si="51"/>
        <v/>
      </c>
      <c r="F504" s="271" t="str">
        <f>IF(G504="","",VLOOKUP(G504,プルダウン用リスト!$K$1:$M$16,2,FALSE))</f>
        <v/>
      </c>
      <c r="G504" s="70"/>
      <c r="H504" s="70"/>
      <c r="I504" s="70"/>
      <c r="J504" s="135"/>
      <c r="K504" s="136"/>
      <c r="L504" s="71"/>
      <c r="M504" s="72"/>
      <c r="N504" s="72"/>
      <c r="O504" s="264" t="str">
        <f t="shared" si="52"/>
        <v/>
      </c>
      <c r="P504" s="230">
        <f t="shared" si="53"/>
        <v>0</v>
      </c>
      <c r="Q504" s="231" t="str">
        <f t="shared" si="49"/>
        <v>×</v>
      </c>
      <c r="R504" s="231" t="str">
        <f t="shared" si="54"/>
        <v>×</v>
      </c>
      <c r="S504" s="232" t="str">
        <f t="shared" si="55"/>
        <v/>
      </c>
    </row>
    <row r="505" spans="2:19">
      <c r="B505" s="68"/>
      <c r="C505" s="57"/>
      <c r="D505" s="259" t="str">
        <f t="shared" si="50"/>
        <v/>
      </c>
      <c r="E505" s="260" t="str">
        <f t="shared" si="51"/>
        <v/>
      </c>
      <c r="F505" s="271" t="str">
        <f>IF(G505="","",VLOOKUP(G505,プルダウン用リスト!$K$1:$M$16,2,FALSE))</f>
        <v/>
      </c>
      <c r="G505" s="70"/>
      <c r="H505" s="58"/>
      <c r="I505" s="70"/>
      <c r="J505" s="135"/>
      <c r="K505" s="136"/>
      <c r="L505" s="71"/>
      <c r="M505" s="72"/>
      <c r="N505" s="72"/>
      <c r="O505" s="264" t="str">
        <f t="shared" si="52"/>
        <v/>
      </c>
      <c r="P505" s="230">
        <f t="shared" si="53"/>
        <v>0</v>
      </c>
      <c r="Q505" s="231" t="str">
        <f t="shared" si="49"/>
        <v>×</v>
      </c>
      <c r="R505" s="231" t="str">
        <f t="shared" si="54"/>
        <v>×</v>
      </c>
      <c r="S505" s="232" t="str">
        <f t="shared" si="55"/>
        <v/>
      </c>
    </row>
    <row r="506" spans="2:19">
      <c r="B506" s="68"/>
      <c r="C506" s="57"/>
      <c r="D506" s="259" t="str">
        <f t="shared" si="50"/>
        <v/>
      </c>
      <c r="E506" s="260" t="str">
        <f t="shared" si="51"/>
        <v/>
      </c>
      <c r="F506" s="271" t="str">
        <f>IF(G506="","",VLOOKUP(G506,プルダウン用リスト!$K$1:$M$16,2,FALSE))</f>
        <v/>
      </c>
      <c r="G506" s="70"/>
      <c r="H506" s="58"/>
      <c r="I506" s="70"/>
      <c r="J506" s="135"/>
      <c r="K506" s="136"/>
      <c r="L506" s="71"/>
      <c r="M506" s="72"/>
      <c r="N506" s="72"/>
      <c r="O506" s="264" t="str">
        <f t="shared" si="52"/>
        <v/>
      </c>
      <c r="P506" s="230">
        <f t="shared" si="53"/>
        <v>0</v>
      </c>
      <c r="Q506" s="231" t="str">
        <f t="shared" si="49"/>
        <v>×</v>
      </c>
      <c r="R506" s="231" t="str">
        <f t="shared" si="54"/>
        <v>×</v>
      </c>
      <c r="S506" s="232" t="str">
        <f t="shared" si="55"/>
        <v/>
      </c>
    </row>
    <row r="507" spans="2:19">
      <c r="B507" s="68"/>
      <c r="C507" s="57"/>
      <c r="D507" s="259" t="str">
        <f t="shared" si="50"/>
        <v/>
      </c>
      <c r="E507" s="260" t="str">
        <f t="shared" si="51"/>
        <v/>
      </c>
      <c r="F507" s="271" t="str">
        <f>IF(G507="","",VLOOKUP(G507,プルダウン用リスト!$K$1:$M$16,2,FALSE))</f>
        <v/>
      </c>
      <c r="G507" s="70"/>
      <c r="H507" s="70"/>
      <c r="I507" s="70"/>
      <c r="J507" s="135"/>
      <c r="K507" s="136"/>
      <c r="L507" s="71"/>
      <c r="M507" s="72"/>
      <c r="N507" s="72"/>
      <c r="O507" s="264" t="str">
        <f t="shared" si="52"/>
        <v/>
      </c>
      <c r="P507" s="230">
        <f t="shared" si="53"/>
        <v>0</v>
      </c>
      <c r="Q507" s="231" t="str">
        <f t="shared" si="49"/>
        <v>×</v>
      </c>
      <c r="R507" s="231" t="str">
        <f t="shared" si="54"/>
        <v>×</v>
      </c>
      <c r="S507" s="232" t="str">
        <f t="shared" si="55"/>
        <v/>
      </c>
    </row>
    <row r="508" spans="2:19">
      <c r="B508" s="68"/>
      <c r="C508" s="57"/>
      <c r="D508" s="259" t="str">
        <f t="shared" si="50"/>
        <v/>
      </c>
      <c r="E508" s="260" t="str">
        <f t="shared" si="51"/>
        <v/>
      </c>
      <c r="F508" s="271" t="str">
        <f>IF(G508="","",VLOOKUP(G508,プルダウン用リスト!$K$1:$M$16,2,FALSE))</f>
        <v/>
      </c>
      <c r="G508" s="70"/>
      <c r="H508" s="58"/>
      <c r="I508" s="70"/>
      <c r="J508" s="135"/>
      <c r="K508" s="136"/>
      <c r="L508" s="71"/>
      <c r="M508" s="72"/>
      <c r="N508" s="72"/>
      <c r="O508" s="264" t="str">
        <f t="shared" si="52"/>
        <v/>
      </c>
      <c r="P508" s="230">
        <f t="shared" si="53"/>
        <v>0</v>
      </c>
      <c r="Q508" s="231" t="str">
        <f t="shared" si="49"/>
        <v>×</v>
      </c>
      <c r="R508" s="231" t="str">
        <f t="shared" si="54"/>
        <v>×</v>
      </c>
      <c r="S508" s="232" t="str">
        <f t="shared" si="55"/>
        <v/>
      </c>
    </row>
    <row r="509" spans="2:19">
      <c r="B509" s="68"/>
      <c r="C509" s="57"/>
      <c r="D509" s="259" t="str">
        <f t="shared" si="50"/>
        <v/>
      </c>
      <c r="E509" s="260" t="str">
        <f t="shared" si="51"/>
        <v/>
      </c>
      <c r="F509" s="271" t="str">
        <f>IF(G509="","",VLOOKUP(G509,プルダウン用リスト!$K$1:$M$16,2,FALSE))</f>
        <v/>
      </c>
      <c r="G509" s="70"/>
      <c r="H509" s="58"/>
      <c r="I509" s="70"/>
      <c r="J509" s="135"/>
      <c r="K509" s="136"/>
      <c r="L509" s="71"/>
      <c r="M509" s="72"/>
      <c r="N509" s="72"/>
      <c r="O509" s="264" t="str">
        <f t="shared" si="52"/>
        <v/>
      </c>
      <c r="P509" s="230">
        <f t="shared" si="53"/>
        <v>0</v>
      </c>
      <c r="Q509" s="231" t="str">
        <f t="shared" si="49"/>
        <v>×</v>
      </c>
      <c r="R509" s="231" t="str">
        <f t="shared" si="54"/>
        <v>×</v>
      </c>
      <c r="S509" s="232" t="str">
        <f t="shared" si="55"/>
        <v/>
      </c>
    </row>
    <row r="510" spans="2:19">
      <c r="B510" s="68"/>
      <c r="C510" s="69"/>
      <c r="D510" s="259" t="str">
        <f t="shared" si="50"/>
        <v/>
      </c>
      <c r="E510" s="260" t="str">
        <f t="shared" si="51"/>
        <v/>
      </c>
      <c r="F510" s="271" t="str">
        <f>IF(G510="","",VLOOKUP(G510,プルダウン用リスト!$K$1:$M$16,2,FALSE))</f>
        <v/>
      </c>
      <c r="G510" s="70"/>
      <c r="H510" s="70"/>
      <c r="I510" s="70"/>
      <c r="J510" s="135"/>
      <c r="K510" s="136"/>
      <c r="L510" s="71"/>
      <c r="M510" s="72"/>
      <c r="N510" s="72"/>
      <c r="O510" s="264" t="str">
        <f t="shared" si="52"/>
        <v/>
      </c>
      <c r="P510" s="230">
        <f t="shared" si="53"/>
        <v>0</v>
      </c>
      <c r="Q510" s="231" t="str">
        <f t="shared" si="49"/>
        <v>×</v>
      </c>
      <c r="R510" s="231" t="str">
        <f t="shared" si="54"/>
        <v>×</v>
      </c>
      <c r="S510" s="232" t="str">
        <f t="shared" si="55"/>
        <v/>
      </c>
    </row>
    <row r="511" spans="2:19">
      <c r="B511" s="68"/>
      <c r="C511" s="57"/>
      <c r="D511" s="259" t="str">
        <f t="shared" si="50"/>
        <v/>
      </c>
      <c r="E511" s="260" t="str">
        <f t="shared" si="51"/>
        <v/>
      </c>
      <c r="F511" s="271" t="str">
        <f>IF(G511="","",VLOOKUP(G511,プルダウン用リスト!$K$1:$M$16,2,FALSE))</f>
        <v/>
      </c>
      <c r="G511" s="70"/>
      <c r="H511" s="58"/>
      <c r="I511" s="70"/>
      <c r="J511" s="135"/>
      <c r="K511" s="136"/>
      <c r="L511" s="71"/>
      <c r="M511" s="72"/>
      <c r="N511" s="72"/>
      <c r="O511" s="264" t="str">
        <f t="shared" si="52"/>
        <v/>
      </c>
      <c r="P511" s="230">
        <f t="shared" si="53"/>
        <v>0</v>
      </c>
      <c r="Q511" s="231" t="str">
        <f t="shared" si="49"/>
        <v>×</v>
      </c>
      <c r="R511" s="231" t="str">
        <f t="shared" si="54"/>
        <v>×</v>
      </c>
      <c r="S511" s="232" t="str">
        <f t="shared" si="55"/>
        <v/>
      </c>
    </row>
    <row r="512" spans="2:19">
      <c r="B512" s="68"/>
      <c r="C512" s="57"/>
      <c r="D512" s="259" t="str">
        <f t="shared" si="50"/>
        <v/>
      </c>
      <c r="E512" s="260" t="str">
        <f t="shared" si="51"/>
        <v/>
      </c>
      <c r="F512" s="271" t="str">
        <f>IF(G512="","",VLOOKUP(G512,プルダウン用リスト!$K$1:$M$16,2,FALSE))</f>
        <v/>
      </c>
      <c r="G512" s="70"/>
      <c r="H512" s="58"/>
      <c r="I512" s="70"/>
      <c r="J512" s="135"/>
      <c r="K512" s="136"/>
      <c r="L512" s="71"/>
      <c r="M512" s="72"/>
      <c r="N512" s="72"/>
      <c r="O512" s="264" t="str">
        <f t="shared" si="52"/>
        <v/>
      </c>
      <c r="P512" s="230">
        <f t="shared" si="53"/>
        <v>0</v>
      </c>
      <c r="Q512" s="231" t="str">
        <f t="shared" si="49"/>
        <v>×</v>
      </c>
      <c r="R512" s="231" t="str">
        <f t="shared" si="54"/>
        <v>×</v>
      </c>
      <c r="S512" s="232" t="str">
        <f t="shared" si="55"/>
        <v/>
      </c>
    </row>
    <row r="513" spans="2:19">
      <c r="B513" s="68"/>
      <c r="C513" s="57"/>
      <c r="D513" s="259" t="str">
        <f t="shared" si="50"/>
        <v/>
      </c>
      <c r="E513" s="260" t="str">
        <f t="shared" si="51"/>
        <v/>
      </c>
      <c r="F513" s="271" t="str">
        <f>IF(G513="","",VLOOKUP(G513,プルダウン用リスト!$K$1:$M$16,2,FALSE))</f>
        <v/>
      </c>
      <c r="G513" s="70"/>
      <c r="H513" s="70"/>
      <c r="I513" s="70"/>
      <c r="J513" s="135"/>
      <c r="K513" s="136"/>
      <c r="L513" s="71"/>
      <c r="M513" s="72"/>
      <c r="N513" s="72"/>
      <c r="O513" s="264" t="str">
        <f t="shared" si="52"/>
        <v/>
      </c>
      <c r="P513" s="230">
        <f t="shared" si="53"/>
        <v>0</v>
      </c>
      <c r="Q513" s="231" t="str">
        <f t="shared" si="49"/>
        <v>×</v>
      </c>
      <c r="R513" s="231" t="str">
        <f t="shared" si="54"/>
        <v>×</v>
      </c>
      <c r="S513" s="232" t="str">
        <f t="shared" si="55"/>
        <v/>
      </c>
    </row>
    <row r="514" spans="2:19">
      <c r="B514" s="68"/>
      <c r="C514" s="57"/>
      <c r="D514" s="259" t="str">
        <f t="shared" si="50"/>
        <v/>
      </c>
      <c r="E514" s="260" t="str">
        <f t="shared" si="51"/>
        <v/>
      </c>
      <c r="F514" s="271" t="str">
        <f>IF(G514="","",VLOOKUP(G514,プルダウン用リスト!$K$1:$M$16,2,FALSE))</f>
        <v/>
      </c>
      <c r="G514" s="70"/>
      <c r="H514" s="58"/>
      <c r="I514" s="70"/>
      <c r="J514" s="135"/>
      <c r="K514" s="136"/>
      <c r="L514" s="71"/>
      <c r="M514" s="72"/>
      <c r="N514" s="72"/>
      <c r="O514" s="264" t="str">
        <f t="shared" si="52"/>
        <v/>
      </c>
      <c r="P514" s="230">
        <f t="shared" si="53"/>
        <v>0</v>
      </c>
      <c r="Q514" s="231" t="str">
        <f t="shared" si="49"/>
        <v>×</v>
      </c>
      <c r="R514" s="231" t="str">
        <f t="shared" si="54"/>
        <v>×</v>
      </c>
      <c r="S514" s="232" t="str">
        <f t="shared" si="55"/>
        <v/>
      </c>
    </row>
    <row r="515" spans="2:19">
      <c r="B515" s="68"/>
      <c r="C515" s="57"/>
      <c r="D515" s="259" t="str">
        <f t="shared" si="50"/>
        <v/>
      </c>
      <c r="E515" s="260" t="str">
        <f t="shared" si="51"/>
        <v/>
      </c>
      <c r="F515" s="271" t="str">
        <f>IF(G515="","",VLOOKUP(G515,プルダウン用リスト!$K$1:$M$16,2,FALSE))</f>
        <v/>
      </c>
      <c r="G515" s="70"/>
      <c r="H515" s="58"/>
      <c r="I515" s="70"/>
      <c r="J515" s="135"/>
      <c r="K515" s="136"/>
      <c r="L515" s="71"/>
      <c r="M515" s="72"/>
      <c r="N515" s="72"/>
      <c r="O515" s="264" t="str">
        <f t="shared" si="52"/>
        <v/>
      </c>
      <c r="P515" s="230">
        <f t="shared" si="53"/>
        <v>0</v>
      </c>
      <c r="Q515" s="231" t="str">
        <f t="shared" si="49"/>
        <v>×</v>
      </c>
      <c r="R515" s="231" t="str">
        <f t="shared" si="54"/>
        <v>×</v>
      </c>
      <c r="S515" s="232" t="str">
        <f t="shared" si="55"/>
        <v/>
      </c>
    </row>
    <row r="516" spans="2:19">
      <c r="B516" s="68"/>
      <c r="C516" s="57"/>
      <c r="D516" s="259" t="str">
        <f t="shared" si="50"/>
        <v/>
      </c>
      <c r="E516" s="260" t="str">
        <f t="shared" si="51"/>
        <v/>
      </c>
      <c r="F516" s="271" t="str">
        <f>IF(G516="","",VLOOKUP(G516,プルダウン用リスト!$K$1:$M$16,2,FALSE))</f>
        <v/>
      </c>
      <c r="G516" s="70"/>
      <c r="H516" s="70"/>
      <c r="I516" s="70"/>
      <c r="J516" s="135"/>
      <c r="K516" s="136"/>
      <c r="L516" s="71"/>
      <c r="M516" s="72"/>
      <c r="N516" s="72"/>
      <c r="O516" s="264" t="str">
        <f t="shared" si="52"/>
        <v/>
      </c>
      <c r="P516" s="230">
        <f t="shared" si="53"/>
        <v>0</v>
      </c>
      <c r="Q516" s="231" t="str">
        <f t="shared" si="49"/>
        <v>×</v>
      </c>
      <c r="R516" s="231" t="str">
        <f t="shared" si="54"/>
        <v>×</v>
      </c>
      <c r="S516" s="232" t="str">
        <f t="shared" si="55"/>
        <v/>
      </c>
    </row>
    <row r="517" spans="2:19">
      <c r="B517" s="68"/>
      <c r="C517" s="57"/>
      <c r="D517" s="259" t="str">
        <f t="shared" si="50"/>
        <v/>
      </c>
      <c r="E517" s="260" t="str">
        <f t="shared" si="51"/>
        <v/>
      </c>
      <c r="F517" s="271" t="str">
        <f>IF(G517="","",VLOOKUP(G517,プルダウン用リスト!$K$1:$M$16,2,FALSE))</f>
        <v/>
      </c>
      <c r="G517" s="70"/>
      <c r="H517" s="58"/>
      <c r="I517" s="70"/>
      <c r="J517" s="135"/>
      <c r="K517" s="136"/>
      <c r="L517" s="71"/>
      <c r="M517" s="72"/>
      <c r="N517" s="72"/>
      <c r="O517" s="264" t="str">
        <f t="shared" si="52"/>
        <v/>
      </c>
      <c r="P517" s="230">
        <f t="shared" si="53"/>
        <v>0</v>
      </c>
      <c r="Q517" s="231" t="str">
        <f t="shared" si="49"/>
        <v>×</v>
      </c>
      <c r="R517" s="231" t="str">
        <f t="shared" si="54"/>
        <v>×</v>
      </c>
      <c r="S517" s="232" t="str">
        <f t="shared" si="55"/>
        <v/>
      </c>
    </row>
    <row r="518" spans="2:19">
      <c r="B518" s="68"/>
      <c r="C518" s="57"/>
      <c r="D518" s="259" t="str">
        <f t="shared" si="50"/>
        <v/>
      </c>
      <c r="E518" s="260" t="str">
        <f t="shared" si="51"/>
        <v/>
      </c>
      <c r="F518" s="271" t="str">
        <f>IF(G518="","",VLOOKUP(G518,プルダウン用リスト!$K$1:$M$16,2,FALSE))</f>
        <v/>
      </c>
      <c r="G518" s="70"/>
      <c r="H518" s="58"/>
      <c r="I518" s="70"/>
      <c r="J518" s="135"/>
      <c r="K518" s="136"/>
      <c r="L518" s="71"/>
      <c r="M518" s="72"/>
      <c r="N518" s="72"/>
      <c r="O518" s="264" t="str">
        <f t="shared" si="52"/>
        <v/>
      </c>
      <c r="P518" s="230">
        <f t="shared" si="53"/>
        <v>0</v>
      </c>
      <c r="Q518" s="231" t="str">
        <f t="shared" ref="Q518:Q581" si="56">IF(G518="旅費","〇","×")</f>
        <v>×</v>
      </c>
      <c r="R518" s="231" t="str">
        <f t="shared" si="54"/>
        <v>×</v>
      </c>
      <c r="S518" s="232" t="str">
        <f t="shared" si="55"/>
        <v/>
      </c>
    </row>
    <row r="519" spans="2:19">
      <c r="B519" s="68"/>
      <c r="C519" s="57"/>
      <c r="D519" s="259" t="str">
        <f t="shared" ref="D519:D582" si="57">IF(E519="","",IF(E519="謝金","01.",IF(E519="旅費","02.",IF(E519="その他","04.","03."))))</f>
        <v/>
      </c>
      <c r="E519" s="260" t="str">
        <f t="shared" ref="E519:E582" si="58">IF(G519="","",IF(OR(G519="謝金（内部）",G519="謝金（外部）"),"謝金",IF(G519="旅費","旅費",IF(G519="対象外経費","その他","所費"))))</f>
        <v/>
      </c>
      <c r="F519" s="271" t="str">
        <f>IF(G519="","",VLOOKUP(G519,プルダウン用リスト!$K$1:$M$16,2,FALSE))</f>
        <v/>
      </c>
      <c r="G519" s="70"/>
      <c r="H519" s="70"/>
      <c r="I519" s="70"/>
      <c r="J519" s="135"/>
      <c r="K519" s="136"/>
      <c r="L519" s="71"/>
      <c r="M519" s="72"/>
      <c r="N519" s="72"/>
      <c r="O519" s="264" t="str">
        <f t="shared" ref="O519:O582" si="59">IF(G519="対象外経費",M519,IF(N519="","",M519-N519))</f>
        <v/>
      </c>
      <c r="P519" s="230">
        <f t="shared" si="53"/>
        <v>0</v>
      </c>
      <c r="Q519" s="231" t="str">
        <f t="shared" si="56"/>
        <v>×</v>
      </c>
      <c r="R519" s="231" t="str">
        <f t="shared" si="54"/>
        <v>×</v>
      </c>
      <c r="S519" s="232" t="str">
        <f t="shared" si="55"/>
        <v/>
      </c>
    </row>
    <row r="520" spans="2:19">
      <c r="B520" s="68"/>
      <c r="C520" s="57"/>
      <c r="D520" s="259" t="str">
        <f t="shared" si="57"/>
        <v/>
      </c>
      <c r="E520" s="260" t="str">
        <f t="shared" si="58"/>
        <v/>
      </c>
      <c r="F520" s="271" t="str">
        <f>IF(G520="","",VLOOKUP(G520,プルダウン用リスト!$K$1:$M$16,2,FALSE))</f>
        <v/>
      </c>
      <c r="G520" s="70"/>
      <c r="H520" s="58"/>
      <c r="I520" s="70"/>
      <c r="J520" s="135"/>
      <c r="K520" s="136"/>
      <c r="L520" s="71"/>
      <c r="M520" s="72"/>
      <c r="N520" s="72"/>
      <c r="O520" s="264" t="str">
        <f t="shared" si="59"/>
        <v/>
      </c>
      <c r="P520" s="230">
        <f t="shared" ref="P520:P583" si="60">COUNTA(B520,C520,G520,H520,I520,L520,M520,J520,K520,N520)</f>
        <v>0</v>
      </c>
      <c r="Q520" s="231" t="str">
        <f t="shared" si="56"/>
        <v>×</v>
      </c>
      <c r="R520" s="231" t="str">
        <f t="shared" si="54"/>
        <v>×</v>
      </c>
      <c r="S520" s="232" t="str">
        <f t="shared" si="55"/>
        <v/>
      </c>
    </row>
    <row r="521" spans="2:19">
      <c r="B521" s="68"/>
      <c r="C521" s="57"/>
      <c r="D521" s="259" t="str">
        <f t="shared" si="57"/>
        <v/>
      </c>
      <c r="E521" s="260" t="str">
        <f t="shared" si="58"/>
        <v/>
      </c>
      <c r="F521" s="271" t="str">
        <f>IF(G521="","",VLOOKUP(G521,プルダウン用リスト!$K$1:$M$16,2,FALSE))</f>
        <v/>
      </c>
      <c r="G521" s="70"/>
      <c r="H521" s="58"/>
      <c r="I521" s="70"/>
      <c r="J521" s="135"/>
      <c r="K521" s="136"/>
      <c r="L521" s="71"/>
      <c r="M521" s="72"/>
      <c r="N521" s="72"/>
      <c r="O521" s="264" t="str">
        <f t="shared" si="59"/>
        <v/>
      </c>
      <c r="P521" s="230">
        <f t="shared" si="60"/>
        <v>0</v>
      </c>
      <c r="Q521" s="231" t="str">
        <f t="shared" si="56"/>
        <v>×</v>
      </c>
      <c r="R521" s="231" t="str">
        <f t="shared" ref="R521:R584" si="61">IF(E521="謝金","〇","×")</f>
        <v>×</v>
      </c>
      <c r="S521" s="232" t="str">
        <f t="shared" ref="S521:S584" si="62">_xlfn.IFS(P521=0,"",AND(G521="対象外経費",P521=7),"OK",P521&lt;=7,"ピンク色のセルを全て入力してください",P521=9,"OK",Q521="〇","ピンク色のセルを全て入力してください",R521="〇","ピンク色のセルを全て入力してください",P521=8,"OK")</f>
        <v/>
      </c>
    </row>
    <row r="522" spans="2:19">
      <c r="B522" s="68"/>
      <c r="C522" s="69"/>
      <c r="D522" s="259" t="str">
        <f t="shared" si="57"/>
        <v/>
      </c>
      <c r="E522" s="260" t="str">
        <f t="shared" si="58"/>
        <v/>
      </c>
      <c r="F522" s="271" t="str">
        <f>IF(G522="","",VLOOKUP(G522,プルダウン用リスト!$K$1:$M$16,2,FALSE))</f>
        <v/>
      </c>
      <c r="G522" s="70"/>
      <c r="H522" s="70"/>
      <c r="I522" s="70"/>
      <c r="J522" s="135"/>
      <c r="K522" s="136"/>
      <c r="L522" s="71"/>
      <c r="M522" s="72"/>
      <c r="N522" s="72"/>
      <c r="O522" s="264" t="str">
        <f t="shared" si="59"/>
        <v/>
      </c>
      <c r="P522" s="230">
        <f t="shared" si="60"/>
        <v>0</v>
      </c>
      <c r="Q522" s="231" t="str">
        <f t="shared" si="56"/>
        <v>×</v>
      </c>
      <c r="R522" s="231" t="str">
        <f t="shared" si="61"/>
        <v>×</v>
      </c>
      <c r="S522" s="232" t="str">
        <f t="shared" si="62"/>
        <v/>
      </c>
    </row>
    <row r="523" spans="2:19">
      <c r="B523" s="68"/>
      <c r="C523" s="57"/>
      <c r="D523" s="259" t="str">
        <f t="shared" si="57"/>
        <v/>
      </c>
      <c r="E523" s="260" t="str">
        <f t="shared" si="58"/>
        <v/>
      </c>
      <c r="F523" s="271" t="str">
        <f>IF(G523="","",VLOOKUP(G523,プルダウン用リスト!$K$1:$M$16,2,FALSE))</f>
        <v/>
      </c>
      <c r="G523" s="70"/>
      <c r="H523" s="58"/>
      <c r="I523" s="70"/>
      <c r="J523" s="135"/>
      <c r="K523" s="136"/>
      <c r="L523" s="71"/>
      <c r="M523" s="72"/>
      <c r="N523" s="72"/>
      <c r="O523" s="264" t="str">
        <f t="shared" si="59"/>
        <v/>
      </c>
      <c r="P523" s="230">
        <f t="shared" si="60"/>
        <v>0</v>
      </c>
      <c r="Q523" s="231" t="str">
        <f t="shared" si="56"/>
        <v>×</v>
      </c>
      <c r="R523" s="231" t="str">
        <f t="shared" si="61"/>
        <v>×</v>
      </c>
      <c r="S523" s="232" t="str">
        <f t="shared" si="62"/>
        <v/>
      </c>
    </row>
    <row r="524" spans="2:19">
      <c r="B524" s="68"/>
      <c r="C524" s="57"/>
      <c r="D524" s="259" t="str">
        <f t="shared" si="57"/>
        <v/>
      </c>
      <c r="E524" s="260" t="str">
        <f t="shared" si="58"/>
        <v/>
      </c>
      <c r="F524" s="271" t="str">
        <f>IF(G524="","",VLOOKUP(G524,プルダウン用リスト!$K$1:$M$16,2,FALSE))</f>
        <v/>
      </c>
      <c r="G524" s="70"/>
      <c r="H524" s="58"/>
      <c r="I524" s="70"/>
      <c r="J524" s="135"/>
      <c r="K524" s="136"/>
      <c r="L524" s="71"/>
      <c r="M524" s="72"/>
      <c r="N524" s="72"/>
      <c r="O524" s="264" t="str">
        <f t="shared" si="59"/>
        <v/>
      </c>
      <c r="P524" s="230">
        <f t="shared" si="60"/>
        <v>0</v>
      </c>
      <c r="Q524" s="231" t="str">
        <f t="shared" si="56"/>
        <v>×</v>
      </c>
      <c r="R524" s="231" t="str">
        <f t="shared" si="61"/>
        <v>×</v>
      </c>
      <c r="S524" s="232" t="str">
        <f t="shared" si="62"/>
        <v/>
      </c>
    </row>
    <row r="525" spans="2:19">
      <c r="B525" s="68"/>
      <c r="C525" s="57"/>
      <c r="D525" s="259" t="str">
        <f t="shared" si="57"/>
        <v/>
      </c>
      <c r="E525" s="260" t="str">
        <f t="shared" si="58"/>
        <v/>
      </c>
      <c r="F525" s="271" t="str">
        <f>IF(G525="","",VLOOKUP(G525,プルダウン用リスト!$K$1:$M$16,2,FALSE))</f>
        <v/>
      </c>
      <c r="G525" s="70"/>
      <c r="H525" s="70"/>
      <c r="I525" s="70"/>
      <c r="J525" s="135"/>
      <c r="K525" s="136"/>
      <c r="L525" s="71"/>
      <c r="M525" s="72"/>
      <c r="N525" s="72"/>
      <c r="O525" s="264" t="str">
        <f t="shared" si="59"/>
        <v/>
      </c>
      <c r="P525" s="230">
        <f t="shared" si="60"/>
        <v>0</v>
      </c>
      <c r="Q525" s="231" t="str">
        <f t="shared" si="56"/>
        <v>×</v>
      </c>
      <c r="R525" s="231" t="str">
        <f t="shared" si="61"/>
        <v>×</v>
      </c>
      <c r="S525" s="232" t="str">
        <f t="shared" si="62"/>
        <v/>
      </c>
    </row>
    <row r="526" spans="2:19">
      <c r="B526" s="68"/>
      <c r="C526" s="57"/>
      <c r="D526" s="259" t="str">
        <f t="shared" si="57"/>
        <v/>
      </c>
      <c r="E526" s="260" t="str">
        <f t="shared" si="58"/>
        <v/>
      </c>
      <c r="F526" s="271" t="str">
        <f>IF(G526="","",VLOOKUP(G526,プルダウン用リスト!$K$1:$M$16,2,FALSE))</f>
        <v/>
      </c>
      <c r="G526" s="70"/>
      <c r="H526" s="58"/>
      <c r="I526" s="70"/>
      <c r="J526" s="135"/>
      <c r="K526" s="136"/>
      <c r="L526" s="71"/>
      <c r="M526" s="72"/>
      <c r="N526" s="72"/>
      <c r="O526" s="264" t="str">
        <f t="shared" si="59"/>
        <v/>
      </c>
      <c r="P526" s="230">
        <f t="shared" si="60"/>
        <v>0</v>
      </c>
      <c r="Q526" s="231" t="str">
        <f t="shared" si="56"/>
        <v>×</v>
      </c>
      <c r="R526" s="231" t="str">
        <f t="shared" si="61"/>
        <v>×</v>
      </c>
      <c r="S526" s="232" t="str">
        <f t="shared" si="62"/>
        <v/>
      </c>
    </row>
    <row r="527" spans="2:19">
      <c r="B527" s="68"/>
      <c r="C527" s="57"/>
      <c r="D527" s="259" t="str">
        <f t="shared" si="57"/>
        <v/>
      </c>
      <c r="E527" s="260" t="str">
        <f t="shared" si="58"/>
        <v/>
      </c>
      <c r="F527" s="271" t="str">
        <f>IF(G527="","",VLOOKUP(G527,プルダウン用リスト!$K$1:$M$16,2,FALSE))</f>
        <v/>
      </c>
      <c r="G527" s="70"/>
      <c r="H527" s="58"/>
      <c r="I527" s="70"/>
      <c r="J527" s="135"/>
      <c r="K527" s="136"/>
      <c r="L527" s="71"/>
      <c r="M527" s="72"/>
      <c r="N527" s="72"/>
      <c r="O527" s="264" t="str">
        <f t="shared" si="59"/>
        <v/>
      </c>
      <c r="P527" s="230">
        <f t="shared" si="60"/>
        <v>0</v>
      </c>
      <c r="Q527" s="231" t="str">
        <f t="shared" si="56"/>
        <v>×</v>
      </c>
      <c r="R527" s="231" t="str">
        <f t="shared" si="61"/>
        <v>×</v>
      </c>
      <c r="S527" s="232" t="str">
        <f t="shared" si="62"/>
        <v/>
      </c>
    </row>
    <row r="528" spans="2:19">
      <c r="B528" s="68"/>
      <c r="C528" s="57"/>
      <c r="D528" s="259" t="str">
        <f t="shared" si="57"/>
        <v/>
      </c>
      <c r="E528" s="260" t="str">
        <f t="shared" si="58"/>
        <v/>
      </c>
      <c r="F528" s="271" t="str">
        <f>IF(G528="","",VLOOKUP(G528,プルダウン用リスト!$K$1:$M$16,2,FALSE))</f>
        <v/>
      </c>
      <c r="G528" s="70"/>
      <c r="H528" s="70"/>
      <c r="I528" s="70"/>
      <c r="J528" s="135"/>
      <c r="K528" s="136"/>
      <c r="L528" s="71"/>
      <c r="M528" s="72"/>
      <c r="N528" s="72"/>
      <c r="O528" s="264" t="str">
        <f t="shared" si="59"/>
        <v/>
      </c>
      <c r="P528" s="230">
        <f t="shared" si="60"/>
        <v>0</v>
      </c>
      <c r="Q528" s="231" t="str">
        <f t="shared" si="56"/>
        <v>×</v>
      </c>
      <c r="R528" s="231" t="str">
        <f t="shared" si="61"/>
        <v>×</v>
      </c>
      <c r="S528" s="232" t="str">
        <f t="shared" si="62"/>
        <v/>
      </c>
    </row>
    <row r="529" spans="2:19">
      <c r="B529" s="68"/>
      <c r="C529" s="57"/>
      <c r="D529" s="259" t="str">
        <f t="shared" si="57"/>
        <v/>
      </c>
      <c r="E529" s="260" t="str">
        <f t="shared" si="58"/>
        <v/>
      </c>
      <c r="F529" s="271" t="str">
        <f>IF(G529="","",VLOOKUP(G529,プルダウン用リスト!$K$1:$M$16,2,FALSE))</f>
        <v/>
      </c>
      <c r="G529" s="70"/>
      <c r="H529" s="58"/>
      <c r="I529" s="70"/>
      <c r="J529" s="135"/>
      <c r="K529" s="136"/>
      <c r="L529" s="71"/>
      <c r="M529" s="72"/>
      <c r="N529" s="72"/>
      <c r="O529" s="264" t="str">
        <f t="shared" si="59"/>
        <v/>
      </c>
      <c r="P529" s="230">
        <f t="shared" si="60"/>
        <v>0</v>
      </c>
      <c r="Q529" s="231" t="str">
        <f t="shared" si="56"/>
        <v>×</v>
      </c>
      <c r="R529" s="231" t="str">
        <f t="shared" si="61"/>
        <v>×</v>
      </c>
      <c r="S529" s="232" t="str">
        <f t="shared" si="62"/>
        <v/>
      </c>
    </row>
    <row r="530" spans="2:19">
      <c r="B530" s="68"/>
      <c r="C530" s="57"/>
      <c r="D530" s="259" t="str">
        <f t="shared" si="57"/>
        <v/>
      </c>
      <c r="E530" s="260" t="str">
        <f t="shared" si="58"/>
        <v/>
      </c>
      <c r="F530" s="271" t="str">
        <f>IF(G530="","",VLOOKUP(G530,プルダウン用リスト!$K$1:$M$16,2,FALSE))</f>
        <v/>
      </c>
      <c r="G530" s="70"/>
      <c r="H530" s="58"/>
      <c r="I530" s="70"/>
      <c r="J530" s="135"/>
      <c r="K530" s="136"/>
      <c r="L530" s="71"/>
      <c r="M530" s="72"/>
      <c r="N530" s="72"/>
      <c r="O530" s="264" t="str">
        <f t="shared" si="59"/>
        <v/>
      </c>
      <c r="P530" s="230">
        <f t="shared" si="60"/>
        <v>0</v>
      </c>
      <c r="Q530" s="231" t="str">
        <f t="shared" si="56"/>
        <v>×</v>
      </c>
      <c r="R530" s="231" t="str">
        <f t="shared" si="61"/>
        <v>×</v>
      </c>
      <c r="S530" s="232" t="str">
        <f t="shared" si="62"/>
        <v/>
      </c>
    </row>
    <row r="531" spans="2:19">
      <c r="B531" s="68"/>
      <c r="C531" s="57"/>
      <c r="D531" s="259" t="str">
        <f t="shared" si="57"/>
        <v/>
      </c>
      <c r="E531" s="260" t="str">
        <f t="shared" si="58"/>
        <v/>
      </c>
      <c r="F531" s="271" t="str">
        <f>IF(G531="","",VLOOKUP(G531,プルダウン用リスト!$K$1:$M$16,2,FALSE))</f>
        <v/>
      </c>
      <c r="G531" s="70"/>
      <c r="H531" s="70"/>
      <c r="I531" s="70"/>
      <c r="J531" s="135"/>
      <c r="K531" s="136"/>
      <c r="L531" s="71"/>
      <c r="M531" s="72"/>
      <c r="N531" s="72"/>
      <c r="O531" s="264" t="str">
        <f t="shared" si="59"/>
        <v/>
      </c>
      <c r="P531" s="230">
        <f t="shared" si="60"/>
        <v>0</v>
      </c>
      <c r="Q531" s="231" t="str">
        <f t="shared" si="56"/>
        <v>×</v>
      </c>
      <c r="R531" s="231" t="str">
        <f t="shared" si="61"/>
        <v>×</v>
      </c>
      <c r="S531" s="232" t="str">
        <f t="shared" si="62"/>
        <v/>
      </c>
    </row>
    <row r="532" spans="2:19">
      <c r="B532" s="68"/>
      <c r="C532" s="57"/>
      <c r="D532" s="259" t="str">
        <f t="shared" si="57"/>
        <v/>
      </c>
      <c r="E532" s="260" t="str">
        <f t="shared" si="58"/>
        <v/>
      </c>
      <c r="F532" s="271" t="str">
        <f>IF(G532="","",VLOOKUP(G532,プルダウン用リスト!$K$1:$M$16,2,FALSE))</f>
        <v/>
      </c>
      <c r="G532" s="70"/>
      <c r="H532" s="58"/>
      <c r="I532" s="70"/>
      <c r="J532" s="135"/>
      <c r="K532" s="136"/>
      <c r="L532" s="71"/>
      <c r="M532" s="72"/>
      <c r="N532" s="72"/>
      <c r="O532" s="264" t="str">
        <f t="shared" si="59"/>
        <v/>
      </c>
      <c r="P532" s="230">
        <f t="shared" si="60"/>
        <v>0</v>
      </c>
      <c r="Q532" s="231" t="str">
        <f t="shared" si="56"/>
        <v>×</v>
      </c>
      <c r="R532" s="231" t="str">
        <f t="shared" si="61"/>
        <v>×</v>
      </c>
      <c r="S532" s="232" t="str">
        <f t="shared" si="62"/>
        <v/>
      </c>
    </row>
    <row r="533" spans="2:19">
      <c r="B533" s="68"/>
      <c r="C533" s="57"/>
      <c r="D533" s="259" t="str">
        <f t="shared" si="57"/>
        <v/>
      </c>
      <c r="E533" s="260" t="str">
        <f t="shared" si="58"/>
        <v/>
      </c>
      <c r="F533" s="271" t="str">
        <f>IF(G533="","",VLOOKUP(G533,プルダウン用リスト!$K$1:$M$16,2,FALSE))</f>
        <v/>
      </c>
      <c r="G533" s="70"/>
      <c r="H533" s="58"/>
      <c r="I533" s="70"/>
      <c r="J533" s="135"/>
      <c r="K533" s="136"/>
      <c r="L533" s="71"/>
      <c r="M533" s="72"/>
      <c r="N533" s="72"/>
      <c r="O533" s="264" t="str">
        <f t="shared" si="59"/>
        <v/>
      </c>
      <c r="P533" s="230">
        <f t="shared" si="60"/>
        <v>0</v>
      </c>
      <c r="Q533" s="231" t="str">
        <f t="shared" si="56"/>
        <v>×</v>
      </c>
      <c r="R533" s="231" t="str">
        <f t="shared" si="61"/>
        <v>×</v>
      </c>
      <c r="S533" s="232" t="str">
        <f t="shared" si="62"/>
        <v/>
      </c>
    </row>
    <row r="534" spans="2:19">
      <c r="B534" s="68"/>
      <c r="C534" s="69"/>
      <c r="D534" s="259" t="str">
        <f t="shared" si="57"/>
        <v/>
      </c>
      <c r="E534" s="260" t="str">
        <f t="shared" si="58"/>
        <v/>
      </c>
      <c r="F534" s="271" t="str">
        <f>IF(G534="","",VLOOKUP(G534,プルダウン用リスト!$K$1:$M$16,2,FALSE))</f>
        <v/>
      </c>
      <c r="G534" s="70"/>
      <c r="H534" s="70"/>
      <c r="I534" s="70"/>
      <c r="J534" s="135"/>
      <c r="K534" s="136"/>
      <c r="L534" s="71"/>
      <c r="M534" s="72"/>
      <c r="N534" s="72"/>
      <c r="O534" s="264" t="str">
        <f t="shared" si="59"/>
        <v/>
      </c>
      <c r="P534" s="230">
        <f t="shared" si="60"/>
        <v>0</v>
      </c>
      <c r="Q534" s="231" t="str">
        <f t="shared" si="56"/>
        <v>×</v>
      </c>
      <c r="R534" s="231" t="str">
        <f t="shared" si="61"/>
        <v>×</v>
      </c>
      <c r="S534" s="232" t="str">
        <f t="shared" si="62"/>
        <v/>
      </c>
    </row>
    <row r="535" spans="2:19">
      <c r="B535" s="68"/>
      <c r="C535" s="57"/>
      <c r="D535" s="259" t="str">
        <f t="shared" si="57"/>
        <v/>
      </c>
      <c r="E535" s="260" t="str">
        <f t="shared" si="58"/>
        <v/>
      </c>
      <c r="F535" s="271" t="str">
        <f>IF(G535="","",VLOOKUP(G535,プルダウン用リスト!$K$1:$M$16,2,FALSE))</f>
        <v/>
      </c>
      <c r="G535" s="70"/>
      <c r="H535" s="58"/>
      <c r="I535" s="70"/>
      <c r="J535" s="135"/>
      <c r="K535" s="136"/>
      <c r="L535" s="71"/>
      <c r="M535" s="72"/>
      <c r="N535" s="72"/>
      <c r="O535" s="264" t="str">
        <f t="shared" si="59"/>
        <v/>
      </c>
      <c r="P535" s="230">
        <f t="shared" si="60"/>
        <v>0</v>
      </c>
      <c r="Q535" s="231" t="str">
        <f t="shared" si="56"/>
        <v>×</v>
      </c>
      <c r="R535" s="231" t="str">
        <f t="shared" si="61"/>
        <v>×</v>
      </c>
      <c r="S535" s="232" t="str">
        <f t="shared" si="62"/>
        <v/>
      </c>
    </row>
    <row r="536" spans="2:19">
      <c r="B536" s="68"/>
      <c r="C536" s="57"/>
      <c r="D536" s="259" t="str">
        <f t="shared" si="57"/>
        <v/>
      </c>
      <c r="E536" s="260" t="str">
        <f t="shared" si="58"/>
        <v/>
      </c>
      <c r="F536" s="271" t="str">
        <f>IF(G536="","",VLOOKUP(G536,プルダウン用リスト!$K$1:$M$16,2,FALSE))</f>
        <v/>
      </c>
      <c r="G536" s="70"/>
      <c r="H536" s="58"/>
      <c r="I536" s="70"/>
      <c r="J536" s="135"/>
      <c r="K536" s="136"/>
      <c r="L536" s="71"/>
      <c r="M536" s="72"/>
      <c r="N536" s="72"/>
      <c r="O536" s="264" t="str">
        <f t="shared" si="59"/>
        <v/>
      </c>
      <c r="P536" s="230">
        <f t="shared" si="60"/>
        <v>0</v>
      </c>
      <c r="Q536" s="231" t="str">
        <f t="shared" si="56"/>
        <v>×</v>
      </c>
      <c r="R536" s="231" t="str">
        <f t="shared" si="61"/>
        <v>×</v>
      </c>
      <c r="S536" s="232" t="str">
        <f t="shared" si="62"/>
        <v/>
      </c>
    </row>
    <row r="537" spans="2:19">
      <c r="B537" s="68"/>
      <c r="C537" s="57"/>
      <c r="D537" s="259" t="str">
        <f t="shared" si="57"/>
        <v/>
      </c>
      <c r="E537" s="260" t="str">
        <f t="shared" si="58"/>
        <v/>
      </c>
      <c r="F537" s="271" t="str">
        <f>IF(G537="","",VLOOKUP(G537,プルダウン用リスト!$K$1:$M$16,2,FALSE))</f>
        <v/>
      </c>
      <c r="G537" s="70"/>
      <c r="H537" s="70"/>
      <c r="I537" s="70"/>
      <c r="J537" s="135"/>
      <c r="K537" s="136"/>
      <c r="L537" s="71"/>
      <c r="M537" s="72"/>
      <c r="N537" s="72"/>
      <c r="O537" s="264" t="str">
        <f t="shared" si="59"/>
        <v/>
      </c>
      <c r="P537" s="230">
        <f t="shared" si="60"/>
        <v>0</v>
      </c>
      <c r="Q537" s="231" t="str">
        <f t="shared" si="56"/>
        <v>×</v>
      </c>
      <c r="R537" s="231" t="str">
        <f t="shared" si="61"/>
        <v>×</v>
      </c>
      <c r="S537" s="232" t="str">
        <f t="shared" si="62"/>
        <v/>
      </c>
    </row>
    <row r="538" spans="2:19">
      <c r="B538" s="68"/>
      <c r="C538" s="57"/>
      <c r="D538" s="259" t="str">
        <f t="shared" si="57"/>
        <v/>
      </c>
      <c r="E538" s="260" t="str">
        <f t="shared" si="58"/>
        <v/>
      </c>
      <c r="F538" s="271" t="str">
        <f>IF(G538="","",VLOOKUP(G538,プルダウン用リスト!$K$1:$M$16,2,FALSE))</f>
        <v/>
      </c>
      <c r="G538" s="70"/>
      <c r="H538" s="58"/>
      <c r="I538" s="70"/>
      <c r="J538" s="135"/>
      <c r="K538" s="136"/>
      <c r="L538" s="71"/>
      <c r="M538" s="72"/>
      <c r="N538" s="72"/>
      <c r="O538" s="264" t="str">
        <f t="shared" si="59"/>
        <v/>
      </c>
      <c r="P538" s="230">
        <f t="shared" si="60"/>
        <v>0</v>
      </c>
      <c r="Q538" s="231" t="str">
        <f t="shared" si="56"/>
        <v>×</v>
      </c>
      <c r="R538" s="231" t="str">
        <f t="shared" si="61"/>
        <v>×</v>
      </c>
      <c r="S538" s="232" t="str">
        <f t="shared" si="62"/>
        <v/>
      </c>
    </row>
    <row r="539" spans="2:19">
      <c r="B539" s="68"/>
      <c r="C539" s="57"/>
      <c r="D539" s="259" t="str">
        <f t="shared" si="57"/>
        <v/>
      </c>
      <c r="E539" s="260" t="str">
        <f t="shared" si="58"/>
        <v/>
      </c>
      <c r="F539" s="271" t="str">
        <f>IF(G539="","",VLOOKUP(G539,プルダウン用リスト!$K$1:$M$16,2,FALSE))</f>
        <v/>
      </c>
      <c r="G539" s="70"/>
      <c r="H539" s="58"/>
      <c r="I539" s="70"/>
      <c r="J539" s="135"/>
      <c r="K539" s="136"/>
      <c r="L539" s="71"/>
      <c r="M539" s="72"/>
      <c r="N539" s="72"/>
      <c r="O539" s="264" t="str">
        <f t="shared" si="59"/>
        <v/>
      </c>
      <c r="P539" s="230">
        <f t="shared" si="60"/>
        <v>0</v>
      </c>
      <c r="Q539" s="231" t="str">
        <f t="shared" si="56"/>
        <v>×</v>
      </c>
      <c r="R539" s="231" t="str">
        <f t="shared" si="61"/>
        <v>×</v>
      </c>
      <c r="S539" s="232" t="str">
        <f t="shared" si="62"/>
        <v/>
      </c>
    </row>
    <row r="540" spans="2:19">
      <c r="B540" s="68"/>
      <c r="C540" s="57"/>
      <c r="D540" s="259" t="str">
        <f t="shared" si="57"/>
        <v/>
      </c>
      <c r="E540" s="260" t="str">
        <f t="shared" si="58"/>
        <v/>
      </c>
      <c r="F540" s="271" t="str">
        <f>IF(G540="","",VLOOKUP(G540,プルダウン用リスト!$K$1:$M$16,2,FALSE))</f>
        <v/>
      </c>
      <c r="G540" s="70"/>
      <c r="H540" s="70"/>
      <c r="I540" s="70"/>
      <c r="J540" s="135"/>
      <c r="K540" s="136"/>
      <c r="L540" s="71"/>
      <c r="M540" s="72"/>
      <c r="N540" s="72"/>
      <c r="O540" s="264" t="str">
        <f t="shared" si="59"/>
        <v/>
      </c>
      <c r="P540" s="230">
        <f t="shared" si="60"/>
        <v>0</v>
      </c>
      <c r="Q540" s="231" t="str">
        <f t="shared" si="56"/>
        <v>×</v>
      </c>
      <c r="R540" s="231" t="str">
        <f t="shared" si="61"/>
        <v>×</v>
      </c>
      <c r="S540" s="232" t="str">
        <f t="shared" si="62"/>
        <v/>
      </c>
    </row>
    <row r="541" spans="2:19">
      <c r="B541" s="68"/>
      <c r="C541" s="57"/>
      <c r="D541" s="259" t="str">
        <f t="shared" si="57"/>
        <v/>
      </c>
      <c r="E541" s="260" t="str">
        <f t="shared" si="58"/>
        <v/>
      </c>
      <c r="F541" s="271" t="str">
        <f>IF(G541="","",VLOOKUP(G541,プルダウン用リスト!$K$1:$M$16,2,FALSE))</f>
        <v/>
      </c>
      <c r="G541" s="70"/>
      <c r="H541" s="58"/>
      <c r="I541" s="70"/>
      <c r="J541" s="135"/>
      <c r="K541" s="136"/>
      <c r="L541" s="71"/>
      <c r="M541" s="72"/>
      <c r="N541" s="72"/>
      <c r="O541" s="264" t="str">
        <f t="shared" si="59"/>
        <v/>
      </c>
      <c r="P541" s="230">
        <f t="shared" si="60"/>
        <v>0</v>
      </c>
      <c r="Q541" s="231" t="str">
        <f t="shared" si="56"/>
        <v>×</v>
      </c>
      <c r="R541" s="231" t="str">
        <f t="shared" si="61"/>
        <v>×</v>
      </c>
      <c r="S541" s="232" t="str">
        <f t="shared" si="62"/>
        <v/>
      </c>
    </row>
    <row r="542" spans="2:19">
      <c r="B542" s="68"/>
      <c r="C542" s="57"/>
      <c r="D542" s="259" t="str">
        <f t="shared" si="57"/>
        <v/>
      </c>
      <c r="E542" s="260" t="str">
        <f t="shared" si="58"/>
        <v/>
      </c>
      <c r="F542" s="271" t="str">
        <f>IF(G542="","",VLOOKUP(G542,プルダウン用リスト!$K$1:$M$16,2,FALSE))</f>
        <v/>
      </c>
      <c r="G542" s="70"/>
      <c r="H542" s="58"/>
      <c r="I542" s="70"/>
      <c r="J542" s="135"/>
      <c r="K542" s="136"/>
      <c r="L542" s="71"/>
      <c r="M542" s="72"/>
      <c r="N542" s="72"/>
      <c r="O542" s="264" t="str">
        <f t="shared" si="59"/>
        <v/>
      </c>
      <c r="P542" s="230">
        <f t="shared" si="60"/>
        <v>0</v>
      </c>
      <c r="Q542" s="231" t="str">
        <f t="shared" si="56"/>
        <v>×</v>
      </c>
      <c r="R542" s="231" t="str">
        <f t="shared" si="61"/>
        <v>×</v>
      </c>
      <c r="S542" s="232" t="str">
        <f t="shared" si="62"/>
        <v/>
      </c>
    </row>
    <row r="543" spans="2:19">
      <c r="B543" s="68"/>
      <c r="C543" s="57"/>
      <c r="D543" s="259" t="str">
        <f t="shared" si="57"/>
        <v/>
      </c>
      <c r="E543" s="260" t="str">
        <f t="shared" si="58"/>
        <v/>
      </c>
      <c r="F543" s="271" t="str">
        <f>IF(G543="","",VLOOKUP(G543,プルダウン用リスト!$K$1:$M$16,2,FALSE))</f>
        <v/>
      </c>
      <c r="G543" s="70"/>
      <c r="H543" s="70"/>
      <c r="I543" s="70"/>
      <c r="J543" s="135"/>
      <c r="K543" s="136"/>
      <c r="L543" s="71"/>
      <c r="M543" s="72"/>
      <c r="N543" s="72"/>
      <c r="O543" s="264" t="str">
        <f t="shared" si="59"/>
        <v/>
      </c>
      <c r="P543" s="230">
        <f t="shared" si="60"/>
        <v>0</v>
      </c>
      <c r="Q543" s="231" t="str">
        <f t="shared" si="56"/>
        <v>×</v>
      </c>
      <c r="R543" s="231" t="str">
        <f t="shared" si="61"/>
        <v>×</v>
      </c>
      <c r="S543" s="232" t="str">
        <f t="shared" si="62"/>
        <v/>
      </c>
    </row>
    <row r="544" spans="2:19">
      <c r="B544" s="68"/>
      <c r="C544" s="57"/>
      <c r="D544" s="259" t="str">
        <f t="shared" si="57"/>
        <v/>
      </c>
      <c r="E544" s="260" t="str">
        <f t="shared" si="58"/>
        <v/>
      </c>
      <c r="F544" s="271" t="str">
        <f>IF(G544="","",VLOOKUP(G544,プルダウン用リスト!$K$1:$M$16,2,FALSE))</f>
        <v/>
      </c>
      <c r="G544" s="70"/>
      <c r="H544" s="58"/>
      <c r="I544" s="70"/>
      <c r="J544" s="135"/>
      <c r="K544" s="136"/>
      <c r="L544" s="71"/>
      <c r="M544" s="72"/>
      <c r="N544" s="72"/>
      <c r="O544" s="264" t="str">
        <f t="shared" si="59"/>
        <v/>
      </c>
      <c r="P544" s="230">
        <f t="shared" si="60"/>
        <v>0</v>
      </c>
      <c r="Q544" s="231" t="str">
        <f t="shared" si="56"/>
        <v>×</v>
      </c>
      <c r="R544" s="231" t="str">
        <f t="shared" si="61"/>
        <v>×</v>
      </c>
      <c r="S544" s="232" t="str">
        <f t="shared" si="62"/>
        <v/>
      </c>
    </row>
    <row r="545" spans="2:19">
      <c r="B545" s="68"/>
      <c r="C545" s="57"/>
      <c r="D545" s="259" t="str">
        <f t="shared" si="57"/>
        <v/>
      </c>
      <c r="E545" s="260" t="str">
        <f t="shared" si="58"/>
        <v/>
      </c>
      <c r="F545" s="271" t="str">
        <f>IF(G545="","",VLOOKUP(G545,プルダウン用リスト!$K$1:$M$16,2,FALSE))</f>
        <v/>
      </c>
      <c r="G545" s="70"/>
      <c r="H545" s="58"/>
      <c r="I545" s="70"/>
      <c r="J545" s="135"/>
      <c r="K545" s="136"/>
      <c r="L545" s="71"/>
      <c r="M545" s="72"/>
      <c r="N545" s="72"/>
      <c r="O545" s="264" t="str">
        <f t="shared" si="59"/>
        <v/>
      </c>
      <c r="P545" s="230">
        <f t="shared" si="60"/>
        <v>0</v>
      </c>
      <c r="Q545" s="231" t="str">
        <f t="shared" si="56"/>
        <v>×</v>
      </c>
      <c r="R545" s="231" t="str">
        <f t="shared" si="61"/>
        <v>×</v>
      </c>
      <c r="S545" s="232" t="str">
        <f t="shared" si="62"/>
        <v/>
      </c>
    </row>
    <row r="546" spans="2:19">
      <c r="B546" s="68"/>
      <c r="C546" s="69"/>
      <c r="D546" s="259" t="str">
        <f t="shared" si="57"/>
        <v/>
      </c>
      <c r="E546" s="260" t="str">
        <f t="shared" si="58"/>
        <v/>
      </c>
      <c r="F546" s="271" t="str">
        <f>IF(G546="","",VLOOKUP(G546,プルダウン用リスト!$K$1:$M$16,2,FALSE))</f>
        <v/>
      </c>
      <c r="G546" s="70"/>
      <c r="H546" s="70"/>
      <c r="I546" s="70"/>
      <c r="J546" s="135"/>
      <c r="K546" s="136"/>
      <c r="L546" s="71"/>
      <c r="M546" s="72"/>
      <c r="N546" s="72"/>
      <c r="O546" s="264" t="str">
        <f t="shared" si="59"/>
        <v/>
      </c>
      <c r="P546" s="230">
        <f t="shared" si="60"/>
        <v>0</v>
      </c>
      <c r="Q546" s="231" t="str">
        <f t="shared" si="56"/>
        <v>×</v>
      </c>
      <c r="R546" s="231" t="str">
        <f t="shared" si="61"/>
        <v>×</v>
      </c>
      <c r="S546" s="232" t="str">
        <f t="shared" si="62"/>
        <v/>
      </c>
    </row>
    <row r="547" spans="2:19">
      <c r="B547" s="68"/>
      <c r="C547" s="57"/>
      <c r="D547" s="259" t="str">
        <f t="shared" si="57"/>
        <v/>
      </c>
      <c r="E547" s="260" t="str">
        <f t="shared" si="58"/>
        <v/>
      </c>
      <c r="F547" s="271" t="str">
        <f>IF(G547="","",VLOOKUP(G547,プルダウン用リスト!$K$1:$M$16,2,FALSE))</f>
        <v/>
      </c>
      <c r="G547" s="70"/>
      <c r="H547" s="58"/>
      <c r="I547" s="70"/>
      <c r="J547" s="135"/>
      <c r="K547" s="136"/>
      <c r="L547" s="71"/>
      <c r="M547" s="72"/>
      <c r="N547" s="72"/>
      <c r="O547" s="264" t="str">
        <f t="shared" si="59"/>
        <v/>
      </c>
      <c r="P547" s="230">
        <f t="shared" si="60"/>
        <v>0</v>
      </c>
      <c r="Q547" s="231" t="str">
        <f t="shared" si="56"/>
        <v>×</v>
      </c>
      <c r="R547" s="231" t="str">
        <f t="shared" si="61"/>
        <v>×</v>
      </c>
      <c r="S547" s="232" t="str">
        <f t="shared" si="62"/>
        <v/>
      </c>
    </row>
    <row r="548" spans="2:19">
      <c r="B548" s="68"/>
      <c r="C548" s="57"/>
      <c r="D548" s="259" t="str">
        <f t="shared" si="57"/>
        <v/>
      </c>
      <c r="E548" s="260" t="str">
        <f t="shared" si="58"/>
        <v/>
      </c>
      <c r="F548" s="271" t="str">
        <f>IF(G548="","",VLOOKUP(G548,プルダウン用リスト!$K$1:$M$16,2,FALSE))</f>
        <v/>
      </c>
      <c r="G548" s="70"/>
      <c r="H548" s="58"/>
      <c r="I548" s="70"/>
      <c r="J548" s="135"/>
      <c r="K548" s="136"/>
      <c r="L548" s="71"/>
      <c r="M548" s="72"/>
      <c r="N548" s="72"/>
      <c r="O548" s="264" t="str">
        <f t="shared" si="59"/>
        <v/>
      </c>
      <c r="P548" s="230">
        <f t="shared" si="60"/>
        <v>0</v>
      </c>
      <c r="Q548" s="231" t="str">
        <f t="shared" si="56"/>
        <v>×</v>
      </c>
      <c r="R548" s="231" t="str">
        <f t="shared" si="61"/>
        <v>×</v>
      </c>
      <c r="S548" s="232" t="str">
        <f t="shared" si="62"/>
        <v/>
      </c>
    </row>
    <row r="549" spans="2:19">
      <c r="B549" s="68"/>
      <c r="C549" s="57"/>
      <c r="D549" s="259" t="str">
        <f t="shared" si="57"/>
        <v/>
      </c>
      <c r="E549" s="260" t="str">
        <f t="shared" si="58"/>
        <v/>
      </c>
      <c r="F549" s="271" t="str">
        <f>IF(G549="","",VLOOKUP(G549,プルダウン用リスト!$K$1:$M$16,2,FALSE))</f>
        <v/>
      </c>
      <c r="G549" s="70"/>
      <c r="H549" s="70"/>
      <c r="I549" s="70"/>
      <c r="J549" s="135"/>
      <c r="K549" s="136"/>
      <c r="L549" s="71"/>
      <c r="M549" s="72"/>
      <c r="N549" s="72"/>
      <c r="O549" s="264" t="str">
        <f t="shared" si="59"/>
        <v/>
      </c>
      <c r="P549" s="230">
        <f t="shared" si="60"/>
        <v>0</v>
      </c>
      <c r="Q549" s="231" t="str">
        <f t="shared" si="56"/>
        <v>×</v>
      </c>
      <c r="R549" s="231" t="str">
        <f t="shared" si="61"/>
        <v>×</v>
      </c>
      <c r="S549" s="232" t="str">
        <f t="shared" si="62"/>
        <v/>
      </c>
    </row>
    <row r="550" spans="2:19">
      <c r="B550" s="68"/>
      <c r="C550" s="57"/>
      <c r="D550" s="259" t="str">
        <f t="shared" si="57"/>
        <v/>
      </c>
      <c r="E550" s="260" t="str">
        <f t="shared" si="58"/>
        <v/>
      </c>
      <c r="F550" s="271" t="str">
        <f>IF(G550="","",VLOOKUP(G550,プルダウン用リスト!$K$1:$M$16,2,FALSE))</f>
        <v/>
      </c>
      <c r="G550" s="70"/>
      <c r="H550" s="58"/>
      <c r="I550" s="70"/>
      <c r="J550" s="135"/>
      <c r="K550" s="136"/>
      <c r="L550" s="71"/>
      <c r="M550" s="72"/>
      <c r="N550" s="72"/>
      <c r="O550" s="264" t="str">
        <f t="shared" si="59"/>
        <v/>
      </c>
      <c r="P550" s="230">
        <f t="shared" si="60"/>
        <v>0</v>
      </c>
      <c r="Q550" s="231" t="str">
        <f t="shared" si="56"/>
        <v>×</v>
      </c>
      <c r="R550" s="231" t="str">
        <f t="shared" si="61"/>
        <v>×</v>
      </c>
      <c r="S550" s="232" t="str">
        <f t="shared" si="62"/>
        <v/>
      </c>
    </row>
    <row r="551" spans="2:19">
      <c r="B551" s="68"/>
      <c r="C551" s="57"/>
      <c r="D551" s="259" t="str">
        <f t="shared" si="57"/>
        <v/>
      </c>
      <c r="E551" s="260" t="str">
        <f t="shared" si="58"/>
        <v/>
      </c>
      <c r="F551" s="271" t="str">
        <f>IF(G551="","",VLOOKUP(G551,プルダウン用リスト!$K$1:$M$16,2,FALSE))</f>
        <v/>
      </c>
      <c r="G551" s="70"/>
      <c r="H551" s="58"/>
      <c r="I551" s="70"/>
      <c r="J551" s="135"/>
      <c r="K551" s="136"/>
      <c r="L551" s="71"/>
      <c r="M551" s="72"/>
      <c r="N551" s="72"/>
      <c r="O551" s="264" t="str">
        <f t="shared" si="59"/>
        <v/>
      </c>
      <c r="P551" s="230">
        <f t="shared" si="60"/>
        <v>0</v>
      </c>
      <c r="Q551" s="231" t="str">
        <f t="shared" si="56"/>
        <v>×</v>
      </c>
      <c r="R551" s="231" t="str">
        <f t="shared" si="61"/>
        <v>×</v>
      </c>
      <c r="S551" s="232" t="str">
        <f t="shared" si="62"/>
        <v/>
      </c>
    </row>
    <row r="552" spans="2:19">
      <c r="B552" s="68"/>
      <c r="C552" s="57"/>
      <c r="D552" s="259" t="str">
        <f t="shared" si="57"/>
        <v/>
      </c>
      <c r="E552" s="260" t="str">
        <f t="shared" si="58"/>
        <v/>
      </c>
      <c r="F552" s="271" t="str">
        <f>IF(G552="","",VLOOKUP(G552,プルダウン用リスト!$K$1:$M$16,2,FALSE))</f>
        <v/>
      </c>
      <c r="G552" s="70"/>
      <c r="H552" s="70"/>
      <c r="I552" s="70"/>
      <c r="J552" s="135"/>
      <c r="K552" s="136"/>
      <c r="L552" s="71"/>
      <c r="M552" s="72"/>
      <c r="N552" s="72"/>
      <c r="O552" s="264" t="str">
        <f t="shared" si="59"/>
        <v/>
      </c>
      <c r="P552" s="230">
        <f t="shared" si="60"/>
        <v>0</v>
      </c>
      <c r="Q552" s="231" t="str">
        <f t="shared" si="56"/>
        <v>×</v>
      </c>
      <c r="R552" s="231" t="str">
        <f t="shared" si="61"/>
        <v>×</v>
      </c>
      <c r="S552" s="232" t="str">
        <f t="shared" si="62"/>
        <v/>
      </c>
    </row>
    <row r="553" spans="2:19">
      <c r="B553" s="68"/>
      <c r="C553" s="57"/>
      <c r="D553" s="259" t="str">
        <f t="shared" si="57"/>
        <v/>
      </c>
      <c r="E553" s="260" t="str">
        <f t="shared" si="58"/>
        <v/>
      </c>
      <c r="F553" s="271" t="str">
        <f>IF(G553="","",VLOOKUP(G553,プルダウン用リスト!$K$1:$M$16,2,FALSE))</f>
        <v/>
      </c>
      <c r="G553" s="70"/>
      <c r="H553" s="58"/>
      <c r="I553" s="70"/>
      <c r="J553" s="135"/>
      <c r="K553" s="136"/>
      <c r="L553" s="71"/>
      <c r="M553" s="72"/>
      <c r="N553" s="72"/>
      <c r="O553" s="264" t="str">
        <f t="shared" si="59"/>
        <v/>
      </c>
      <c r="P553" s="230">
        <f t="shared" si="60"/>
        <v>0</v>
      </c>
      <c r="Q553" s="231" t="str">
        <f t="shared" si="56"/>
        <v>×</v>
      </c>
      <c r="R553" s="231" t="str">
        <f t="shared" si="61"/>
        <v>×</v>
      </c>
      <c r="S553" s="232" t="str">
        <f t="shared" si="62"/>
        <v/>
      </c>
    </row>
    <row r="554" spans="2:19">
      <c r="B554" s="68"/>
      <c r="C554" s="57"/>
      <c r="D554" s="259" t="str">
        <f t="shared" si="57"/>
        <v/>
      </c>
      <c r="E554" s="260" t="str">
        <f t="shared" si="58"/>
        <v/>
      </c>
      <c r="F554" s="271" t="str">
        <f>IF(G554="","",VLOOKUP(G554,プルダウン用リスト!$K$1:$M$16,2,FALSE))</f>
        <v/>
      </c>
      <c r="G554" s="70"/>
      <c r="H554" s="58"/>
      <c r="I554" s="70"/>
      <c r="J554" s="135"/>
      <c r="K554" s="136"/>
      <c r="L554" s="71"/>
      <c r="M554" s="72"/>
      <c r="N554" s="72"/>
      <c r="O554" s="264" t="str">
        <f t="shared" si="59"/>
        <v/>
      </c>
      <c r="P554" s="230">
        <f t="shared" si="60"/>
        <v>0</v>
      </c>
      <c r="Q554" s="231" t="str">
        <f t="shared" si="56"/>
        <v>×</v>
      </c>
      <c r="R554" s="231" t="str">
        <f t="shared" si="61"/>
        <v>×</v>
      </c>
      <c r="S554" s="232" t="str">
        <f t="shared" si="62"/>
        <v/>
      </c>
    </row>
    <row r="555" spans="2:19">
      <c r="B555" s="68"/>
      <c r="C555" s="57"/>
      <c r="D555" s="259" t="str">
        <f t="shared" si="57"/>
        <v/>
      </c>
      <c r="E555" s="260" t="str">
        <f t="shared" si="58"/>
        <v/>
      </c>
      <c r="F555" s="271" t="str">
        <f>IF(G555="","",VLOOKUP(G555,プルダウン用リスト!$K$1:$M$16,2,FALSE))</f>
        <v/>
      </c>
      <c r="G555" s="70"/>
      <c r="H555" s="70"/>
      <c r="I555" s="70"/>
      <c r="J555" s="135"/>
      <c r="K555" s="136"/>
      <c r="L555" s="71"/>
      <c r="M555" s="72"/>
      <c r="N555" s="72"/>
      <c r="O555" s="264" t="str">
        <f t="shared" si="59"/>
        <v/>
      </c>
      <c r="P555" s="230">
        <f t="shared" si="60"/>
        <v>0</v>
      </c>
      <c r="Q555" s="231" t="str">
        <f t="shared" si="56"/>
        <v>×</v>
      </c>
      <c r="R555" s="231" t="str">
        <f t="shared" si="61"/>
        <v>×</v>
      </c>
      <c r="S555" s="232" t="str">
        <f t="shared" si="62"/>
        <v/>
      </c>
    </row>
    <row r="556" spans="2:19">
      <c r="B556" s="68"/>
      <c r="C556" s="57"/>
      <c r="D556" s="259" t="str">
        <f t="shared" si="57"/>
        <v/>
      </c>
      <c r="E556" s="260" t="str">
        <f t="shared" si="58"/>
        <v/>
      </c>
      <c r="F556" s="271" t="str">
        <f>IF(G556="","",VLOOKUP(G556,プルダウン用リスト!$K$1:$M$16,2,FALSE))</f>
        <v/>
      </c>
      <c r="G556" s="70"/>
      <c r="H556" s="58"/>
      <c r="I556" s="70"/>
      <c r="J556" s="135"/>
      <c r="K556" s="136"/>
      <c r="L556" s="71"/>
      <c r="M556" s="72"/>
      <c r="N556" s="72"/>
      <c r="O556" s="264" t="str">
        <f>IF(G556="対象外経費",M556,IF(N556="","",M556-N556))</f>
        <v/>
      </c>
      <c r="P556" s="230">
        <f t="shared" si="60"/>
        <v>0</v>
      </c>
      <c r="Q556" s="231" t="str">
        <f t="shared" si="56"/>
        <v>×</v>
      </c>
      <c r="R556" s="231" t="str">
        <f t="shared" si="61"/>
        <v>×</v>
      </c>
      <c r="S556" s="232" t="str">
        <f t="shared" si="62"/>
        <v/>
      </c>
    </row>
    <row r="557" spans="2:19">
      <c r="B557" s="68"/>
      <c r="C557" s="57"/>
      <c r="D557" s="259" t="str">
        <f t="shared" si="57"/>
        <v/>
      </c>
      <c r="E557" s="260" t="str">
        <f t="shared" si="58"/>
        <v/>
      </c>
      <c r="F557" s="271" t="str">
        <f>IF(G557="","",VLOOKUP(G557,プルダウン用リスト!$K$1:$M$16,2,FALSE))</f>
        <v/>
      </c>
      <c r="G557" s="70"/>
      <c r="H557" s="58"/>
      <c r="I557" s="70"/>
      <c r="J557" s="135"/>
      <c r="K557" s="136"/>
      <c r="L557" s="71"/>
      <c r="M557" s="72"/>
      <c r="N557" s="72"/>
      <c r="O557" s="264" t="str">
        <f t="shared" si="59"/>
        <v/>
      </c>
      <c r="P557" s="230">
        <f t="shared" si="60"/>
        <v>0</v>
      </c>
      <c r="Q557" s="231" t="str">
        <f t="shared" si="56"/>
        <v>×</v>
      </c>
      <c r="R557" s="231" t="str">
        <f t="shared" si="61"/>
        <v>×</v>
      </c>
      <c r="S557" s="232" t="str">
        <f t="shared" si="62"/>
        <v/>
      </c>
    </row>
    <row r="558" spans="2:19">
      <c r="B558" s="68"/>
      <c r="C558" s="69"/>
      <c r="D558" s="259" t="str">
        <f t="shared" si="57"/>
        <v/>
      </c>
      <c r="E558" s="260" t="str">
        <f t="shared" si="58"/>
        <v/>
      </c>
      <c r="F558" s="271" t="str">
        <f>IF(G558="","",VLOOKUP(G558,プルダウン用リスト!$K$1:$M$16,2,FALSE))</f>
        <v/>
      </c>
      <c r="G558" s="70"/>
      <c r="H558" s="70"/>
      <c r="I558" s="70"/>
      <c r="J558" s="135"/>
      <c r="K558" s="136"/>
      <c r="L558" s="71"/>
      <c r="M558" s="72"/>
      <c r="N558" s="72"/>
      <c r="O558" s="264" t="str">
        <f t="shared" si="59"/>
        <v/>
      </c>
      <c r="P558" s="230">
        <f t="shared" si="60"/>
        <v>0</v>
      </c>
      <c r="Q558" s="231" t="str">
        <f t="shared" si="56"/>
        <v>×</v>
      </c>
      <c r="R558" s="231" t="str">
        <f t="shared" si="61"/>
        <v>×</v>
      </c>
      <c r="S558" s="232" t="str">
        <f t="shared" si="62"/>
        <v/>
      </c>
    </row>
    <row r="559" spans="2:19">
      <c r="B559" s="68"/>
      <c r="C559" s="57"/>
      <c r="D559" s="259" t="str">
        <f t="shared" si="57"/>
        <v/>
      </c>
      <c r="E559" s="260" t="str">
        <f t="shared" si="58"/>
        <v/>
      </c>
      <c r="F559" s="271" t="str">
        <f>IF(G559="","",VLOOKUP(G559,プルダウン用リスト!$K$1:$M$16,2,FALSE))</f>
        <v/>
      </c>
      <c r="G559" s="70"/>
      <c r="H559" s="58"/>
      <c r="I559" s="70"/>
      <c r="J559" s="135"/>
      <c r="K559" s="136"/>
      <c r="L559" s="71"/>
      <c r="M559" s="72"/>
      <c r="N559" s="72"/>
      <c r="O559" s="264" t="str">
        <f>IF(G559="対象外経費",M559,IF(N559="","",M559-N559))</f>
        <v/>
      </c>
      <c r="P559" s="230">
        <f t="shared" si="60"/>
        <v>0</v>
      </c>
      <c r="Q559" s="231" t="str">
        <f t="shared" si="56"/>
        <v>×</v>
      </c>
      <c r="R559" s="231" t="str">
        <f t="shared" si="61"/>
        <v>×</v>
      </c>
      <c r="S559" s="232" t="str">
        <f t="shared" si="62"/>
        <v/>
      </c>
    </row>
    <row r="560" spans="2:19">
      <c r="B560" s="68"/>
      <c r="C560" s="57"/>
      <c r="D560" s="259" t="str">
        <f t="shared" si="57"/>
        <v/>
      </c>
      <c r="E560" s="260" t="str">
        <f t="shared" si="58"/>
        <v/>
      </c>
      <c r="F560" s="271" t="str">
        <f>IF(G560="","",VLOOKUP(G560,プルダウン用リスト!$K$1:$M$16,2,FALSE))</f>
        <v/>
      </c>
      <c r="G560" s="70"/>
      <c r="H560" s="58"/>
      <c r="I560" s="70"/>
      <c r="J560" s="135"/>
      <c r="K560" s="136"/>
      <c r="L560" s="71"/>
      <c r="M560" s="72"/>
      <c r="N560" s="72"/>
      <c r="O560" s="264" t="str">
        <f t="shared" si="59"/>
        <v/>
      </c>
      <c r="P560" s="230">
        <f t="shared" si="60"/>
        <v>0</v>
      </c>
      <c r="Q560" s="231" t="str">
        <f t="shared" si="56"/>
        <v>×</v>
      </c>
      <c r="R560" s="231" t="str">
        <f t="shared" si="61"/>
        <v>×</v>
      </c>
      <c r="S560" s="232" t="str">
        <f t="shared" si="62"/>
        <v/>
      </c>
    </row>
    <row r="561" spans="2:19">
      <c r="B561" s="68"/>
      <c r="C561" s="57"/>
      <c r="D561" s="259" t="str">
        <f t="shared" si="57"/>
        <v/>
      </c>
      <c r="E561" s="260" t="str">
        <f t="shared" si="58"/>
        <v/>
      </c>
      <c r="F561" s="271" t="str">
        <f>IF(G561="","",VLOOKUP(G561,プルダウン用リスト!$K$1:$M$16,2,FALSE))</f>
        <v/>
      </c>
      <c r="G561" s="70"/>
      <c r="H561" s="70"/>
      <c r="I561" s="70"/>
      <c r="J561" s="135"/>
      <c r="K561" s="136"/>
      <c r="L561" s="71"/>
      <c r="M561" s="72"/>
      <c r="N561" s="72"/>
      <c r="O561" s="264" t="str">
        <f t="shared" si="59"/>
        <v/>
      </c>
      <c r="P561" s="230">
        <f t="shared" si="60"/>
        <v>0</v>
      </c>
      <c r="Q561" s="231" t="str">
        <f t="shared" si="56"/>
        <v>×</v>
      </c>
      <c r="R561" s="231" t="str">
        <f t="shared" si="61"/>
        <v>×</v>
      </c>
      <c r="S561" s="232" t="str">
        <f t="shared" si="62"/>
        <v/>
      </c>
    </row>
    <row r="562" spans="2:19">
      <c r="B562" s="68"/>
      <c r="C562" s="57"/>
      <c r="D562" s="259" t="str">
        <f t="shared" si="57"/>
        <v/>
      </c>
      <c r="E562" s="260" t="str">
        <f t="shared" si="58"/>
        <v/>
      </c>
      <c r="F562" s="271" t="str">
        <f>IF(G562="","",VLOOKUP(G562,プルダウン用リスト!$K$1:$M$16,2,FALSE))</f>
        <v/>
      </c>
      <c r="G562" s="70"/>
      <c r="H562" s="58"/>
      <c r="I562" s="70"/>
      <c r="J562" s="135"/>
      <c r="K562" s="136"/>
      <c r="L562" s="71"/>
      <c r="M562" s="72"/>
      <c r="N562" s="72"/>
      <c r="O562" s="264" t="str">
        <f t="shared" si="59"/>
        <v/>
      </c>
      <c r="P562" s="230">
        <f t="shared" si="60"/>
        <v>0</v>
      </c>
      <c r="Q562" s="231" t="str">
        <f t="shared" si="56"/>
        <v>×</v>
      </c>
      <c r="R562" s="231" t="str">
        <f t="shared" si="61"/>
        <v>×</v>
      </c>
      <c r="S562" s="232" t="str">
        <f t="shared" si="62"/>
        <v/>
      </c>
    </row>
    <row r="563" spans="2:19">
      <c r="B563" s="68"/>
      <c r="C563" s="57"/>
      <c r="D563" s="259" t="str">
        <f t="shared" si="57"/>
        <v/>
      </c>
      <c r="E563" s="260" t="str">
        <f t="shared" si="58"/>
        <v/>
      </c>
      <c r="F563" s="271" t="str">
        <f>IF(G563="","",VLOOKUP(G563,プルダウン用リスト!$K$1:$M$16,2,FALSE))</f>
        <v/>
      </c>
      <c r="G563" s="70"/>
      <c r="H563" s="58"/>
      <c r="I563" s="70"/>
      <c r="J563" s="135"/>
      <c r="K563" s="136"/>
      <c r="L563" s="71"/>
      <c r="M563" s="72"/>
      <c r="N563" s="72"/>
      <c r="O563" s="264" t="str">
        <f t="shared" si="59"/>
        <v/>
      </c>
      <c r="P563" s="230">
        <f t="shared" si="60"/>
        <v>0</v>
      </c>
      <c r="Q563" s="231" t="str">
        <f t="shared" si="56"/>
        <v>×</v>
      </c>
      <c r="R563" s="231" t="str">
        <f t="shared" si="61"/>
        <v>×</v>
      </c>
      <c r="S563" s="232" t="str">
        <f t="shared" si="62"/>
        <v/>
      </c>
    </row>
    <row r="564" spans="2:19">
      <c r="B564" s="68"/>
      <c r="C564" s="57"/>
      <c r="D564" s="259" t="str">
        <f t="shared" si="57"/>
        <v/>
      </c>
      <c r="E564" s="260" t="str">
        <f t="shared" si="58"/>
        <v/>
      </c>
      <c r="F564" s="271" t="str">
        <f>IF(G564="","",VLOOKUP(G564,プルダウン用リスト!$K$1:$M$16,2,FALSE))</f>
        <v/>
      </c>
      <c r="G564" s="70"/>
      <c r="H564" s="70"/>
      <c r="I564" s="70"/>
      <c r="J564" s="135"/>
      <c r="K564" s="136"/>
      <c r="L564" s="71"/>
      <c r="M564" s="72"/>
      <c r="N564" s="72"/>
      <c r="O564" s="264" t="str">
        <f t="shared" si="59"/>
        <v/>
      </c>
      <c r="P564" s="230">
        <f t="shared" si="60"/>
        <v>0</v>
      </c>
      <c r="Q564" s="231" t="str">
        <f t="shared" si="56"/>
        <v>×</v>
      </c>
      <c r="R564" s="231" t="str">
        <f t="shared" si="61"/>
        <v>×</v>
      </c>
      <c r="S564" s="232" t="str">
        <f t="shared" si="62"/>
        <v/>
      </c>
    </row>
    <row r="565" spans="2:19">
      <c r="B565" s="68"/>
      <c r="C565" s="57"/>
      <c r="D565" s="259" t="str">
        <f t="shared" si="57"/>
        <v/>
      </c>
      <c r="E565" s="260" t="str">
        <f t="shared" si="58"/>
        <v/>
      </c>
      <c r="F565" s="271" t="str">
        <f>IF(G565="","",VLOOKUP(G565,プルダウン用リスト!$K$1:$M$16,2,FALSE))</f>
        <v/>
      </c>
      <c r="G565" s="70"/>
      <c r="H565" s="58"/>
      <c r="I565" s="70"/>
      <c r="J565" s="135"/>
      <c r="K565" s="136"/>
      <c r="L565" s="71"/>
      <c r="M565" s="72"/>
      <c r="N565" s="72"/>
      <c r="O565" s="264" t="str">
        <f t="shared" si="59"/>
        <v/>
      </c>
      <c r="P565" s="230">
        <f t="shared" si="60"/>
        <v>0</v>
      </c>
      <c r="Q565" s="231" t="str">
        <f t="shared" si="56"/>
        <v>×</v>
      </c>
      <c r="R565" s="231" t="str">
        <f t="shared" si="61"/>
        <v>×</v>
      </c>
      <c r="S565" s="232" t="str">
        <f t="shared" si="62"/>
        <v/>
      </c>
    </row>
    <row r="566" spans="2:19">
      <c r="B566" s="68"/>
      <c r="C566" s="57"/>
      <c r="D566" s="259" t="str">
        <f t="shared" si="57"/>
        <v/>
      </c>
      <c r="E566" s="260" t="str">
        <f t="shared" si="58"/>
        <v/>
      </c>
      <c r="F566" s="271" t="str">
        <f>IF(G566="","",VLOOKUP(G566,プルダウン用リスト!$K$1:$M$16,2,FALSE))</f>
        <v/>
      </c>
      <c r="G566" s="70"/>
      <c r="H566" s="58"/>
      <c r="I566" s="70"/>
      <c r="J566" s="135"/>
      <c r="K566" s="136"/>
      <c r="L566" s="71"/>
      <c r="M566" s="72"/>
      <c r="N566" s="72"/>
      <c r="O566" s="264" t="str">
        <f t="shared" si="59"/>
        <v/>
      </c>
      <c r="P566" s="230">
        <f t="shared" si="60"/>
        <v>0</v>
      </c>
      <c r="Q566" s="231" t="str">
        <f t="shared" si="56"/>
        <v>×</v>
      </c>
      <c r="R566" s="231" t="str">
        <f t="shared" si="61"/>
        <v>×</v>
      </c>
      <c r="S566" s="232" t="str">
        <f t="shared" si="62"/>
        <v/>
      </c>
    </row>
    <row r="567" spans="2:19">
      <c r="B567" s="68"/>
      <c r="C567" s="57"/>
      <c r="D567" s="259" t="str">
        <f t="shared" si="57"/>
        <v/>
      </c>
      <c r="E567" s="260" t="str">
        <f t="shared" si="58"/>
        <v/>
      </c>
      <c r="F567" s="271" t="str">
        <f>IF(G567="","",VLOOKUP(G567,プルダウン用リスト!$K$1:$M$16,2,FALSE))</f>
        <v/>
      </c>
      <c r="G567" s="70"/>
      <c r="H567" s="70"/>
      <c r="I567" s="70"/>
      <c r="J567" s="135"/>
      <c r="K567" s="136"/>
      <c r="L567" s="71"/>
      <c r="M567" s="72"/>
      <c r="N567" s="72"/>
      <c r="O567" s="264" t="str">
        <f t="shared" si="59"/>
        <v/>
      </c>
      <c r="P567" s="230">
        <f t="shared" si="60"/>
        <v>0</v>
      </c>
      <c r="Q567" s="231" t="str">
        <f t="shared" si="56"/>
        <v>×</v>
      </c>
      <c r="R567" s="231" t="str">
        <f t="shared" si="61"/>
        <v>×</v>
      </c>
      <c r="S567" s="232" t="str">
        <f t="shared" si="62"/>
        <v/>
      </c>
    </row>
    <row r="568" spans="2:19">
      <c r="B568" s="68"/>
      <c r="C568" s="57"/>
      <c r="D568" s="259" t="str">
        <f t="shared" si="57"/>
        <v/>
      </c>
      <c r="E568" s="260" t="str">
        <f t="shared" si="58"/>
        <v/>
      </c>
      <c r="F568" s="271" t="str">
        <f>IF(G568="","",VLOOKUP(G568,プルダウン用リスト!$K$1:$M$16,2,FALSE))</f>
        <v/>
      </c>
      <c r="G568" s="70"/>
      <c r="H568" s="58"/>
      <c r="I568" s="70"/>
      <c r="J568" s="135"/>
      <c r="K568" s="136"/>
      <c r="L568" s="71"/>
      <c r="M568" s="72"/>
      <c r="N568" s="72"/>
      <c r="O568" s="264" t="str">
        <f t="shared" si="59"/>
        <v/>
      </c>
      <c r="P568" s="230">
        <f t="shared" si="60"/>
        <v>0</v>
      </c>
      <c r="Q568" s="231" t="str">
        <f t="shared" si="56"/>
        <v>×</v>
      </c>
      <c r="R568" s="231" t="str">
        <f t="shared" si="61"/>
        <v>×</v>
      </c>
      <c r="S568" s="232" t="str">
        <f t="shared" si="62"/>
        <v/>
      </c>
    </row>
    <row r="569" spans="2:19">
      <c r="B569" s="68"/>
      <c r="C569" s="57"/>
      <c r="D569" s="259" t="str">
        <f t="shared" si="57"/>
        <v/>
      </c>
      <c r="E569" s="260" t="str">
        <f t="shared" si="58"/>
        <v/>
      </c>
      <c r="F569" s="271" t="str">
        <f>IF(G569="","",VLOOKUP(G569,プルダウン用リスト!$K$1:$M$16,2,FALSE))</f>
        <v/>
      </c>
      <c r="G569" s="70"/>
      <c r="H569" s="58"/>
      <c r="I569" s="70"/>
      <c r="J569" s="135"/>
      <c r="K569" s="136"/>
      <c r="L569" s="71"/>
      <c r="M569" s="72"/>
      <c r="N569" s="72"/>
      <c r="O569" s="264" t="str">
        <f t="shared" si="59"/>
        <v/>
      </c>
      <c r="P569" s="230">
        <f t="shared" si="60"/>
        <v>0</v>
      </c>
      <c r="Q569" s="231" t="str">
        <f t="shared" si="56"/>
        <v>×</v>
      </c>
      <c r="R569" s="231" t="str">
        <f t="shared" si="61"/>
        <v>×</v>
      </c>
      <c r="S569" s="232" t="str">
        <f t="shared" si="62"/>
        <v/>
      </c>
    </row>
    <row r="570" spans="2:19">
      <c r="B570" s="68"/>
      <c r="C570" s="69"/>
      <c r="D570" s="259" t="str">
        <f t="shared" si="57"/>
        <v/>
      </c>
      <c r="E570" s="260" t="str">
        <f t="shared" si="58"/>
        <v/>
      </c>
      <c r="F570" s="271" t="str">
        <f>IF(G570="","",VLOOKUP(G570,プルダウン用リスト!$K$1:$M$16,2,FALSE))</f>
        <v/>
      </c>
      <c r="G570" s="70"/>
      <c r="H570" s="70"/>
      <c r="I570" s="70"/>
      <c r="J570" s="135"/>
      <c r="K570" s="136"/>
      <c r="L570" s="71"/>
      <c r="M570" s="72"/>
      <c r="N570" s="72"/>
      <c r="O570" s="264" t="str">
        <f t="shared" si="59"/>
        <v/>
      </c>
      <c r="P570" s="230">
        <f t="shared" si="60"/>
        <v>0</v>
      </c>
      <c r="Q570" s="231" t="str">
        <f t="shared" si="56"/>
        <v>×</v>
      </c>
      <c r="R570" s="231" t="str">
        <f t="shared" si="61"/>
        <v>×</v>
      </c>
      <c r="S570" s="232" t="str">
        <f t="shared" si="62"/>
        <v/>
      </c>
    </row>
    <row r="571" spans="2:19">
      <c r="B571" s="68"/>
      <c r="C571" s="57"/>
      <c r="D571" s="259" t="str">
        <f t="shared" si="57"/>
        <v/>
      </c>
      <c r="E571" s="260" t="str">
        <f t="shared" si="58"/>
        <v/>
      </c>
      <c r="F571" s="271" t="str">
        <f>IF(G571="","",VLOOKUP(G571,プルダウン用リスト!$K$1:$M$16,2,FALSE))</f>
        <v/>
      </c>
      <c r="G571" s="70"/>
      <c r="H571" s="58"/>
      <c r="I571" s="70"/>
      <c r="J571" s="135"/>
      <c r="K571" s="136"/>
      <c r="L571" s="71"/>
      <c r="M571" s="72"/>
      <c r="N571" s="72"/>
      <c r="O571" s="264" t="str">
        <f t="shared" si="59"/>
        <v/>
      </c>
      <c r="P571" s="230">
        <f t="shared" si="60"/>
        <v>0</v>
      </c>
      <c r="Q571" s="231" t="str">
        <f t="shared" si="56"/>
        <v>×</v>
      </c>
      <c r="R571" s="231" t="str">
        <f t="shared" si="61"/>
        <v>×</v>
      </c>
      <c r="S571" s="232" t="str">
        <f t="shared" si="62"/>
        <v/>
      </c>
    </row>
    <row r="572" spans="2:19">
      <c r="B572" s="68"/>
      <c r="C572" s="57"/>
      <c r="D572" s="259" t="str">
        <f t="shared" si="57"/>
        <v/>
      </c>
      <c r="E572" s="260" t="str">
        <f t="shared" si="58"/>
        <v/>
      </c>
      <c r="F572" s="271" t="str">
        <f>IF(G572="","",VLOOKUP(G572,プルダウン用リスト!$K$1:$M$16,2,FALSE))</f>
        <v/>
      </c>
      <c r="G572" s="70"/>
      <c r="H572" s="58"/>
      <c r="I572" s="70"/>
      <c r="J572" s="135"/>
      <c r="K572" s="136"/>
      <c r="L572" s="71"/>
      <c r="M572" s="72"/>
      <c r="N572" s="72"/>
      <c r="O572" s="264" t="str">
        <f t="shared" si="59"/>
        <v/>
      </c>
      <c r="P572" s="230">
        <f t="shared" si="60"/>
        <v>0</v>
      </c>
      <c r="Q572" s="231" t="str">
        <f t="shared" si="56"/>
        <v>×</v>
      </c>
      <c r="R572" s="231" t="str">
        <f t="shared" si="61"/>
        <v>×</v>
      </c>
      <c r="S572" s="232" t="str">
        <f t="shared" si="62"/>
        <v/>
      </c>
    </row>
    <row r="573" spans="2:19">
      <c r="B573" s="68"/>
      <c r="C573" s="57"/>
      <c r="D573" s="259" t="str">
        <f t="shared" si="57"/>
        <v/>
      </c>
      <c r="E573" s="260" t="str">
        <f t="shared" si="58"/>
        <v/>
      </c>
      <c r="F573" s="271" t="str">
        <f>IF(G573="","",VLOOKUP(G573,プルダウン用リスト!$K$1:$M$16,2,FALSE))</f>
        <v/>
      </c>
      <c r="G573" s="70"/>
      <c r="H573" s="70"/>
      <c r="I573" s="70"/>
      <c r="J573" s="135"/>
      <c r="K573" s="136"/>
      <c r="L573" s="71"/>
      <c r="M573" s="72"/>
      <c r="N573" s="72"/>
      <c r="O573" s="264" t="str">
        <f t="shared" si="59"/>
        <v/>
      </c>
      <c r="P573" s="230">
        <f t="shared" si="60"/>
        <v>0</v>
      </c>
      <c r="Q573" s="231" t="str">
        <f t="shared" si="56"/>
        <v>×</v>
      </c>
      <c r="R573" s="231" t="str">
        <f t="shared" si="61"/>
        <v>×</v>
      </c>
      <c r="S573" s="232" t="str">
        <f t="shared" si="62"/>
        <v/>
      </c>
    </row>
    <row r="574" spans="2:19">
      <c r="B574" s="68"/>
      <c r="C574" s="57"/>
      <c r="D574" s="259" t="str">
        <f t="shared" si="57"/>
        <v/>
      </c>
      <c r="E574" s="260" t="str">
        <f t="shared" si="58"/>
        <v/>
      </c>
      <c r="F574" s="271" t="str">
        <f>IF(G574="","",VLOOKUP(G574,プルダウン用リスト!$K$1:$M$16,2,FALSE))</f>
        <v/>
      </c>
      <c r="G574" s="70"/>
      <c r="H574" s="58"/>
      <c r="I574" s="70"/>
      <c r="J574" s="135"/>
      <c r="K574" s="136"/>
      <c r="L574" s="71"/>
      <c r="M574" s="72"/>
      <c r="N574" s="72"/>
      <c r="O574" s="264" t="str">
        <f t="shared" si="59"/>
        <v/>
      </c>
      <c r="P574" s="230">
        <f t="shared" si="60"/>
        <v>0</v>
      </c>
      <c r="Q574" s="231" t="str">
        <f t="shared" si="56"/>
        <v>×</v>
      </c>
      <c r="R574" s="231" t="str">
        <f t="shared" si="61"/>
        <v>×</v>
      </c>
      <c r="S574" s="232" t="str">
        <f t="shared" si="62"/>
        <v/>
      </c>
    </row>
    <row r="575" spans="2:19">
      <c r="B575" s="68"/>
      <c r="C575" s="57"/>
      <c r="D575" s="259" t="str">
        <f t="shared" si="57"/>
        <v/>
      </c>
      <c r="E575" s="260" t="str">
        <f t="shared" si="58"/>
        <v/>
      </c>
      <c r="F575" s="271" t="str">
        <f>IF(G575="","",VLOOKUP(G575,プルダウン用リスト!$K$1:$M$16,2,FALSE))</f>
        <v/>
      </c>
      <c r="G575" s="70"/>
      <c r="H575" s="58"/>
      <c r="I575" s="70"/>
      <c r="J575" s="135"/>
      <c r="K575" s="136"/>
      <c r="L575" s="71"/>
      <c r="M575" s="72"/>
      <c r="N575" s="72"/>
      <c r="O575" s="264" t="str">
        <f t="shared" si="59"/>
        <v/>
      </c>
      <c r="P575" s="230">
        <f t="shared" si="60"/>
        <v>0</v>
      </c>
      <c r="Q575" s="231" t="str">
        <f t="shared" si="56"/>
        <v>×</v>
      </c>
      <c r="R575" s="231" t="str">
        <f t="shared" si="61"/>
        <v>×</v>
      </c>
      <c r="S575" s="232" t="str">
        <f t="shared" si="62"/>
        <v/>
      </c>
    </row>
    <row r="576" spans="2:19">
      <c r="B576" s="68"/>
      <c r="C576" s="57"/>
      <c r="D576" s="259" t="str">
        <f t="shared" si="57"/>
        <v/>
      </c>
      <c r="E576" s="260" t="str">
        <f t="shared" si="58"/>
        <v/>
      </c>
      <c r="F576" s="271" t="str">
        <f>IF(G576="","",VLOOKUP(G576,プルダウン用リスト!$K$1:$M$16,2,FALSE))</f>
        <v/>
      </c>
      <c r="G576" s="70"/>
      <c r="H576" s="70"/>
      <c r="I576" s="70"/>
      <c r="J576" s="135"/>
      <c r="K576" s="136"/>
      <c r="L576" s="71"/>
      <c r="M576" s="72"/>
      <c r="N576" s="72"/>
      <c r="O576" s="264" t="str">
        <f t="shared" si="59"/>
        <v/>
      </c>
      <c r="P576" s="230">
        <f t="shared" si="60"/>
        <v>0</v>
      </c>
      <c r="Q576" s="231" t="str">
        <f t="shared" si="56"/>
        <v>×</v>
      </c>
      <c r="R576" s="231" t="str">
        <f t="shared" si="61"/>
        <v>×</v>
      </c>
      <c r="S576" s="232" t="str">
        <f t="shared" si="62"/>
        <v/>
      </c>
    </row>
    <row r="577" spans="2:19">
      <c r="B577" s="68"/>
      <c r="C577" s="57"/>
      <c r="D577" s="259" t="str">
        <f t="shared" si="57"/>
        <v/>
      </c>
      <c r="E577" s="260" t="str">
        <f t="shared" si="58"/>
        <v/>
      </c>
      <c r="F577" s="271" t="str">
        <f>IF(G577="","",VLOOKUP(G577,プルダウン用リスト!$K$1:$M$16,2,FALSE))</f>
        <v/>
      </c>
      <c r="G577" s="70"/>
      <c r="H577" s="58"/>
      <c r="I577" s="70"/>
      <c r="J577" s="135"/>
      <c r="K577" s="136"/>
      <c r="L577" s="71"/>
      <c r="M577" s="72"/>
      <c r="N577" s="72"/>
      <c r="O577" s="264" t="str">
        <f t="shared" si="59"/>
        <v/>
      </c>
      <c r="P577" s="230">
        <f t="shared" si="60"/>
        <v>0</v>
      </c>
      <c r="Q577" s="231" t="str">
        <f t="shared" si="56"/>
        <v>×</v>
      </c>
      <c r="R577" s="231" t="str">
        <f t="shared" si="61"/>
        <v>×</v>
      </c>
      <c r="S577" s="232" t="str">
        <f t="shared" si="62"/>
        <v/>
      </c>
    </row>
    <row r="578" spans="2:19">
      <c r="B578" s="68"/>
      <c r="C578" s="57"/>
      <c r="D578" s="259" t="str">
        <f t="shared" si="57"/>
        <v/>
      </c>
      <c r="E578" s="260" t="str">
        <f t="shared" si="58"/>
        <v/>
      </c>
      <c r="F578" s="271" t="str">
        <f>IF(G578="","",VLOOKUP(G578,プルダウン用リスト!$K$1:$M$16,2,FALSE))</f>
        <v/>
      </c>
      <c r="G578" s="70"/>
      <c r="H578" s="58"/>
      <c r="I578" s="70"/>
      <c r="J578" s="135"/>
      <c r="K578" s="136"/>
      <c r="L578" s="71"/>
      <c r="M578" s="72"/>
      <c r="N578" s="72"/>
      <c r="O578" s="264" t="str">
        <f t="shared" si="59"/>
        <v/>
      </c>
      <c r="P578" s="230">
        <f t="shared" si="60"/>
        <v>0</v>
      </c>
      <c r="Q578" s="231" t="str">
        <f t="shared" si="56"/>
        <v>×</v>
      </c>
      <c r="R578" s="231" t="str">
        <f t="shared" si="61"/>
        <v>×</v>
      </c>
      <c r="S578" s="232" t="str">
        <f t="shared" si="62"/>
        <v/>
      </c>
    </row>
    <row r="579" spans="2:19">
      <c r="B579" s="68"/>
      <c r="C579" s="57"/>
      <c r="D579" s="259" t="str">
        <f t="shared" si="57"/>
        <v/>
      </c>
      <c r="E579" s="260" t="str">
        <f t="shared" si="58"/>
        <v/>
      </c>
      <c r="F579" s="271" t="str">
        <f>IF(G579="","",VLOOKUP(G579,プルダウン用リスト!$K$1:$M$16,2,FALSE))</f>
        <v/>
      </c>
      <c r="G579" s="70"/>
      <c r="H579" s="70"/>
      <c r="I579" s="70"/>
      <c r="J579" s="135"/>
      <c r="K579" s="136"/>
      <c r="L579" s="71"/>
      <c r="M579" s="72"/>
      <c r="N579" s="72"/>
      <c r="O579" s="264" t="str">
        <f t="shared" si="59"/>
        <v/>
      </c>
      <c r="P579" s="230">
        <f t="shared" si="60"/>
        <v>0</v>
      </c>
      <c r="Q579" s="231" t="str">
        <f t="shared" si="56"/>
        <v>×</v>
      </c>
      <c r="R579" s="231" t="str">
        <f t="shared" si="61"/>
        <v>×</v>
      </c>
      <c r="S579" s="232" t="str">
        <f t="shared" si="62"/>
        <v/>
      </c>
    </row>
    <row r="580" spans="2:19">
      <c r="B580" s="68"/>
      <c r="C580" s="57"/>
      <c r="D580" s="259" t="str">
        <f t="shared" si="57"/>
        <v/>
      </c>
      <c r="E580" s="260" t="str">
        <f t="shared" si="58"/>
        <v/>
      </c>
      <c r="F580" s="271" t="str">
        <f>IF(G580="","",VLOOKUP(G580,プルダウン用リスト!$K$1:$M$16,2,FALSE))</f>
        <v/>
      </c>
      <c r="G580" s="70"/>
      <c r="H580" s="58"/>
      <c r="I580" s="70"/>
      <c r="J580" s="135"/>
      <c r="K580" s="136"/>
      <c r="L580" s="71"/>
      <c r="M580" s="72"/>
      <c r="N580" s="72"/>
      <c r="O580" s="264" t="str">
        <f t="shared" si="59"/>
        <v/>
      </c>
      <c r="P580" s="230">
        <f t="shared" si="60"/>
        <v>0</v>
      </c>
      <c r="Q580" s="231" t="str">
        <f t="shared" si="56"/>
        <v>×</v>
      </c>
      <c r="R580" s="231" t="str">
        <f t="shared" si="61"/>
        <v>×</v>
      </c>
      <c r="S580" s="232" t="str">
        <f t="shared" si="62"/>
        <v/>
      </c>
    </row>
    <row r="581" spans="2:19">
      <c r="B581" s="68"/>
      <c r="C581" s="57"/>
      <c r="D581" s="259" t="str">
        <f t="shared" si="57"/>
        <v/>
      </c>
      <c r="E581" s="260" t="str">
        <f t="shared" si="58"/>
        <v/>
      </c>
      <c r="F581" s="271" t="str">
        <f>IF(G581="","",VLOOKUP(G581,プルダウン用リスト!$K$1:$M$16,2,FALSE))</f>
        <v/>
      </c>
      <c r="G581" s="70"/>
      <c r="H581" s="58"/>
      <c r="I581" s="70"/>
      <c r="J581" s="135"/>
      <c r="K581" s="136"/>
      <c r="L581" s="71"/>
      <c r="M581" s="72"/>
      <c r="N581" s="72"/>
      <c r="O581" s="264" t="str">
        <f t="shared" si="59"/>
        <v/>
      </c>
      <c r="P581" s="230">
        <f t="shared" si="60"/>
        <v>0</v>
      </c>
      <c r="Q581" s="231" t="str">
        <f t="shared" si="56"/>
        <v>×</v>
      </c>
      <c r="R581" s="231" t="str">
        <f t="shared" si="61"/>
        <v>×</v>
      </c>
      <c r="S581" s="232" t="str">
        <f t="shared" si="62"/>
        <v/>
      </c>
    </row>
    <row r="582" spans="2:19">
      <c r="B582" s="68"/>
      <c r="C582" s="69"/>
      <c r="D582" s="259" t="str">
        <f t="shared" si="57"/>
        <v/>
      </c>
      <c r="E582" s="260" t="str">
        <f t="shared" si="58"/>
        <v/>
      </c>
      <c r="F582" s="271" t="str">
        <f>IF(G582="","",VLOOKUP(G582,プルダウン用リスト!$K$1:$M$16,2,FALSE))</f>
        <v/>
      </c>
      <c r="G582" s="70"/>
      <c r="H582" s="70"/>
      <c r="I582" s="70"/>
      <c r="J582" s="135"/>
      <c r="K582" s="136"/>
      <c r="L582" s="71"/>
      <c r="M582" s="72"/>
      <c r="N582" s="72"/>
      <c r="O582" s="264" t="str">
        <f t="shared" si="59"/>
        <v/>
      </c>
      <c r="P582" s="230">
        <f t="shared" si="60"/>
        <v>0</v>
      </c>
      <c r="Q582" s="231" t="str">
        <f t="shared" ref="Q582:Q645" si="63">IF(G582="旅費","〇","×")</f>
        <v>×</v>
      </c>
      <c r="R582" s="231" t="str">
        <f t="shared" si="61"/>
        <v>×</v>
      </c>
      <c r="S582" s="232" t="str">
        <f t="shared" si="62"/>
        <v/>
      </c>
    </row>
    <row r="583" spans="2:19">
      <c r="B583" s="68"/>
      <c r="C583" s="57"/>
      <c r="D583" s="259" t="str">
        <f t="shared" ref="D583:D646" si="64">IF(E583="","",IF(E583="謝金","01.",IF(E583="旅費","02.",IF(E583="その他","04.","03."))))</f>
        <v/>
      </c>
      <c r="E583" s="260" t="str">
        <f t="shared" ref="E583:E646" si="65">IF(G583="","",IF(OR(G583="謝金（内部）",G583="謝金（外部）"),"謝金",IF(G583="旅費","旅費",IF(G583="対象外経費","その他","所費"))))</f>
        <v/>
      </c>
      <c r="F583" s="271" t="str">
        <f>IF(G583="","",VLOOKUP(G583,プルダウン用リスト!$K$1:$M$16,2,FALSE))</f>
        <v/>
      </c>
      <c r="G583" s="70"/>
      <c r="H583" s="58"/>
      <c r="I583" s="70"/>
      <c r="J583" s="135"/>
      <c r="K583" s="136"/>
      <c r="L583" s="71"/>
      <c r="M583" s="72"/>
      <c r="N583" s="72"/>
      <c r="O583" s="264" t="str">
        <f t="shared" ref="O583:O646" si="66">IF(G583="対象外経費",M583,IF(N583="","",M583-N583))</f>
        <v/>
      </c>
      <c r="P583" s="230">
        <f t="shared" si="60"/>
        <v>0</v>
      </c>
      <c r="Q583" s="231" t="str">
        <f t="shared" si="63"/>
        <v>×</v>
      </c>
      <c r="R583" s="231" t="str">
        <f t="shared" si="61"/>
        <v>×</v>
      </c>
      <c r="S583" s="232" t="str">
        <f t="shared" si="62"/>
        <v/>
      </c>
    </row>
    <row r="584" spans="2:19">
      <c r="B584" s="68"/>
      <c r="C584" s="57"/>
      <c r="D584" s="259" t="str">
        <f t="shared" si="64"/>
        <v/>
      </c>
      <c r="E584" s="260" t="str">
        <f t="shared" si="65"/>
        <v/>
      </c>
      <c r="F584" s="271" t="str">
        <f>IF(G584="","",VLOOKUP(G584,プルダウン用リスト!$K$1:$M$16,2,FALSE))</f>
        <v/>
      </c>
      <c r="G584" s="70"/>
      <c r="H584" s="58"/>
      <c r="I584" s="70"/>
      <c r="J584" s="135"/>
      <c r="K584" s="136"/>
      <c r="L584" s="71"/>
      <c r="M584" s="72"/>
      <c r="N584" s="72"/>
      <c r="O584" s="264" t="str">
        <f t="shared" si="66"/>
        <v/>
      </c>
      <c r="P584" s="230">
        <f t="shared" ref="P584:P647" si="67">COUNTA(B584,C584,G584,H584,I584,L584,M584,J584,K584,N584)</f>
        <v>0</v>
      </c>
      <c r="Q584" s="231" t="str">
        <f t="shared" si="63"/>
        <v>×</v>
      </c>
      <c r="R584" s="231" t="str">
        <f t="shared" si="61"/>
        <v>×</v>
      </c>
      <c r="S584" s="232" t="str">
        <f t="shared" si="62"/>
        <v/>
      </c>
    </row>
    <row r="585" spans="2:19">
      <c r="B585" s="68"/>
      <c r="C585" s="57"/>
      <c r="D585" s="259" t="str">
        <f t="shared" si="64"/>
        <v/>
      </c>
      <c r="E585" s="260" t="str">
        <f t="shared" si="65"/>
        <v/>
      </c>
      <c r="F585" s="271" t="str">
        <f>IF(G585="","",VLOOKUP(G585,プルダウン用リスト!$K$1:$M$16,2,FALSE))</f>
        <v/>
      </c>
      <c r="G585" s="70"/>
      <c r="H585" s="70"/>
      <c r="I585" s="70"/>
      <c r="J585" s="135"/>
      <c r="K585" s="136"/>
      <c r="L585" s="71"/>
      <c r="M585" s="72"/>
      <c r="N585" s="72"/>
      <c r="O585" s="264" t="str">
        <f t="shared" si="66"/>
        <v/>
      </c>
      <c r="P585" s="230">
        <f t="shared" si="67"/>
        <v>0</v>
      </c>
      <c r="Q585" s="231" t="str">
        <f t="shared" si="63"/>
        <v>×</v>
      </c>
      <c r="R585" s="231" t="str">
        <f t="shared" ref="R585:R648" si="68">IF(E585="謝金","〇","×")</f>
        <v>×</v>
      </c>
      <c r="S585" s="232" t="str">
        <f t="shared" ref="S585:S648" si="69">_xlfn.IFS(P585=0,"",AND(G585="対象外経費",P585=7),"OK",P585&lt;=7,"ピンク色のセルを全て入力してください",P585=9,"OK",Q585="〇","ピンク色のセルを全て入力してください",R585="〇","ピンク色のセルを全て入力してください",P585=8,"OK")</f>
        <v/>
      </c>
    </row>
    <row r="586" spans="2:19">
      <c r="B586" s="68"/>
      <c r="C586" s="57"/>
      <c r="D586" s="259" t="str">
        <f t="shared" si="64"/>
        <v/>
      </c>
      <c r="E586" s="260" t="str">
        <f t="shared" si="65"/>
        <v/>
      </c>
      <c r="F586" s="271" t="str">
        <f>IF(G586="","",VLOOKUP(G586,プルダウン用リスト!$K$1:$M$16,2,FALSE))</f>
        <v/>
      </c>
      <c r="G586" s="70"/>
      <c r="H586" s="58"/>
      <c r="I586" s="70"/>
      <c r="J586" s="135"/>
      <c r="K586" s="136"/>
      <c r="L586" s="71"/>
      <c r="M586" s="72"/>
      <c r="N586" s="72"/>
      <c r="O586" s="264" t="str">
        <f t="shared" si="66"/>
        <v/>
      </c>
      <c r="P586" s="230">
        <f t="shared" si="67"/>
        <v>0</v>
      </c>
      <c r="Q586" s="231" t="str">
        <f t="shared" si="63"/>
        <v>×</v>
      </c>
      <c r="R586" s="231" t="str">
        <f t="shared" si="68"/>
        <v>×</v>
      </c>
      <c r="S586" s="232" t="str">
        <f t="shared" si="69"/>
        <v/>
      </c>
    </row>
    <row r="587" spans="2:19">
      <c r="B587" s="68"/>
      <c r="C587" s="57"/>
      <c r="D587" s="259" t="str">
        <f t="shared" si="64"/>
        <v/>
      </c>
      <c r="E587" s="260" t="str">
        <f t="shared" si="65"/>
        <v/>
      </c>
      <c r="F587" s="271" t="str">
        <f>IF(G587="","",VLOOKUP(G587,プルダウン用リスト!$K$1:$M$16,2,FALSE))</f>
        <v/>
      </c>
      <c r="G587" s="70"/>
      <c r="H587" s="58"/>
      <c r="I587" s="70"/>
      <c r="J587" s="135"/>
      <c r="K587" s="136"/>
      <c r="L587" s="71"/>
      <c r="M587" s="72"/>
      <c r="N587" s="72"/>
      <c r="O587" s="264" t="str">
        <f t="shared" si="66"/>
        <v/>
      </c>
      <c r="P587" s="230">
        <f t="shared" si="67"/>
        <v>0</v>
      </c>
      <c r="Q587" s="231" t="str">
        <f t="shared" si="63"/>
        <v>×</v>
      </c>
      <c r="R587" s="231" t="str">
        <f t="shared" si="68"/>
        <v>×</v>
      </c>
      <c r="S587" s="232" t="str">
        <f t="shared" si="69"/>
        <v/>
      </c>
    </row>
    <row r="588" spans="2:19">
      <c r="B588" s="68"/>
      <c r="C588" s="57"/>
      <c r="D588" s="259" t="str">
        <f t="shared" si="64"/>
        <v/>
      </c>
      <c r="E588" s="260" t="str">
        <f t="shared" si="65"/>
        <v/>
      </c>
      <c r="F588" s="271" t="str">
        <f>IF(G588="","",VLOOKUP(G588,プルダウン用リスト!$K$1:$M$16,2,FALSE))</f>
        <v/>
      </c>
      <c r="G588" s="70"/>
      <c r="H588" s="70"/>
      <c r="I588" s="70"/>
      <c r="J588" s="135"/>
      <c r="K588" s="136"/>
      <c r="L588" s="71"/>
      <c r="M588" s="72"/>
      <c r="N588" s="72"/>
      <c r="O588" s="264" t="str">
        <f t="shared" si="66"/>
        <v/>
      </c>
      <c r="P588" s="230">
        <f t="shared" si="67"/>
        <v>0</v>
      </c>
      <c r="Q588" s="231" t="str">
        <f t="shared" si="63"/>
        <v>×</v>
      </c>
      <c r="R588" s="231" t="str">
        <f t="shared" si="68"/>
        <v>×</v>
      </c>
      <c r="S588" s="232" t="str">
        <f t="shared" si="69"/>
        <v/>
      </c>
    </row>
    <row r="589" spans="2:19">
      <c r="B589" s="68"/>
      <c r="C589" s="57"/>
      <c r="D589" s="259" t="str">
        <f t="shared" si="64"/>
        <v/>
      </c>
      <c r="E589" s="260" t="str">
        <f t="shared" si="65"/>
        <v/>
      </c>
      <c r="F589" s="271" t="str">
        <f>IF(G589="","",VLOOKUP(G589,プルダウン用リスト!$K$1:$M$16,2,FALSE))</f>
        <v/>
      </c>
      <c r="G589" s="70"/>
      <c r="H589" s="58"/>
      <c r="I589" s="70"/>
      <c r="J589" s="135"/>
      <c r="K589" s="136"/>
      <c r="L589" s="71"/>
      <c r="M589" s="72"/>
      <c r="N589" s="72"/>
      <c r="O589" s="264" t="str">
        <f t="shared" si="66"/>
        <v/>
      </c>
      <c r="P589" s="230">
        <f t="shared" si="67"/>
        <v>0</v>
      </c>
      <c r="Q589" s="231" t="str">
        <f t="shared" si="63"/>
        <v>×</v>
      </c>
      <c r="R589" s="231" t="str">
        <f t="shared" si="68"/>
        <v>×</v>
      </c>
      <c r="S589" s="232" t="str">
        <f t="shared" si="69"/>
        <v/>
      </c>
    </row>
    <row r="590" spans="2:19">
      <c r="B590" s="68"/>
      <c r="C590" s="57"/>
      <c r="D590" s="259" t="str">
        <f t="shared" si="64"/>
        <v/>
      </c>
      <c r="E590" s="260" t="str">
        <f t="shared" si="65"/>
        <v/>
      </c>
      <c r="F590" s="271" t="str">
        <f>IF(G590="","",VLOOKUP(G590,プルダウン用リスト!$K$1:$M$16,2,FALSE))</f>
        <v/>
      </c>
      <c r="G590" s="70"/>
      <c r="H590" s="58"/>
      <c r="I590" s="70"/>
      <c r="J590" s="135"/>
      <c r="K590" s="136"/>
      <c r="L590" s="71"/>
      <c r="M590" s="72"/>
      <c r="N590" s="72"/>
      <c r="O590" s="264" t="str">
        <f t="shared" si="66"/>
        <v/>
      </c>
      <c r="P590" s="230">
        <f t="shared" si="67"/>
        <v>0</v>
      </c>
      <c r="Q590" s="231" t="str">
        <f t="shared" si="63"/>
        <v>×</v>
      </c>
      <c r="R590" s="231" t="str">
        <f t="shared" si="68"/>
        <v>×</v>
      </c>
      <c r="S590" s="232" t="str">
        <f t="shared" si="69"/>
        <v/>
      </c>
    </row>
    <row r="591" spans="2:19">
      <c r="B591" s="68"/>
      <c r="C591" s="57"/>
      <c r="D591" s="259" t="str">
        <f t="shared" si="64"/>
        <v/>
      </c>
      <c r="E591" s="260" t="str">
        <f t="shared" si="65"/>
        <v/>
      </c>
      <c r="F591" s="271" t="str">
        <f>IF(G591="","",VLOOKUP(G591,プルダウン用リスト!$K$1:$M$16,2,FALSE))</f>
        <v/>
      </c>
      <c r="G591" s="70"/>
      <c r="H591" s="70"/>
      <c r="I591" s="70"/>
      <c r="J591" s="135"/>
      <c r="K591" s="136"/>
      <c r="L591" s="71"/>
      <c r="M591" s="72"/>
      <c r="N591" s="72"/>
      <c r="O591" s="264" t="str">
        <f t="shared" si="66"/>
        <v/>
      </c>
      <c r="P591" s="230">
        <f t="shared" si="67"/>
        <v>0</v>
      </c>
      <c r="Q591" s="231" t="str">
        <f t="shared" si="63"/>
        <v>×</v>
      </c>
      <c r="R591" s="231" t="str">
        <f t="shared" si="68"/>
        <v>×</v>
      </c>
      <c r="S591" s="232" t="str">
        <f t="shared" si="69"/>
        <v/>
      </c>
    </row>
    <row r="592" spans="2:19">
      <c r="B592" s="68"/>
      <c r="C592" s="57"/>
      <c r="D592" s="259" t="str">
        <f t="shared" si="64"/>
        <v/>
      </c>
      <c r="E592" s="260" t="str">
        <f t="shared" si="65"/>
        <v/>
      </c>
      <c r="F592" s="271" t="str">
        <f>IF(G592="","",VLOOKUP(G592,プルダウン用リスト!$K$1:$M$16,2,FALSE))</f>
        <v/>
      </c>
      <c r="G592" s="70"/>
      <c r="H592" s="58"/>
      <c r="I592" s="70"/>
      <c r="J592" s="135"/>
      <c r="K592" s="136"/>
      <c r="L592" s="71"/>
      <c r="M592" s="72"/>
      <c r="N592" s="72"/>
      <c r="O592" s="264" t="str">
        <f t="shared" si="66"/>
        <v/>
      </c>
      <c r="P592" s="230">
        <f t="shared" si="67"/>
        <v>0</v>
      </c>
      <c r="Q592" s="231" t="str">
        <f t="shared" si="63"/>
        <v>×</v>
      </c>
      <c r="R592" s="231" t="str">
        <f t="shared" si="68"/>
        <v>×</v>
      </c>
      <c r="S592" s="232" t="str">
        <f t="shared" si="69"/>
        <v/>
      </c>
    </row>
    <row r="593" spans="2:19">
      <c r="B593" s="68"/>
      <c r="C593" s="57"/>
      <c r="D593" s="259" t="str">
        <f t="shared" si="64"/>
        <v/>
      </c>
      <c r="E593" s="260" t="str">
        <f t="shared" si="65"/>
        <v/>
      </c>
      <c r="F593" s="271" t="str">
        <f>IF(G593="","",VLOOKUP(G593,プルダウン用リスト!$K$1:$M$16,2,FALSE))</f>
        <v/>
      </c>
      <c r="G593" s="70"/>
      <c r="H593" s="58"/>
      <c r="I593" s="70"/>
      <c r="J593" s="135"/>
      <c r="K593" s="136"/>
      <c r="L593" s="71"/>
      <c r="M593" s="72"/>
      <c r="N593" s="72"/>
      <c r="O593" s="264" t="str">
        <f t="shared" si="66"/>
        <v/>
      </c>
      <c r="P593" s="230">
        <f t="shared" si="67"/>
        <v>0</v>
      </c>
      <c r="Q593" s="231" t="str">
        <f t="shared" si="63"/>
        <v>×</v>
      </c>
      <c r="R593" s="231" t="str">
        <f t="shared" si="68"/>
        <v>×</v>
      </c>
      <c r="S593" s="232" t="str">
        <f t="shared" si="69"/>
        <v/>
      </c>
    </row>
    <row r="594" spans="2:19">
      <c r="B594" s="68"/>
      <c r="C594" s="69"/>
      <c r="D594" s="259" t="str">
        <f t="shared" si="64"/>
        <v/>
      </c>
      <c r="E594" s="260" t="str">
        <f t="shared" si="65"/>
        <v/>
      </c>
      <c r="F594" s="271" t="str">
        <f>IF(G594="","",VLOOKUP(G594,プルダウン用リスト!$K$1:$M$16,2,FALSE))</f>
        <v/>
      </c>
      <c r="G594" s="70"/>
      <c r="H594" s="70"/>
      <c r="I594" s="70"/>
      <c r="J594" s="135"/>
      <c r="K594" s="136"/>
      <c r="L594" s="71"/>
      <c r="M594" s="72"/>
      <c r="N594" s="72"/>
      <c r="O594" s="264" t="str">
        <f t="shared" si="66"/>
        <v/>
      </c>
      <c r="P594" s="230">
        <f t="shared" si="67"/>
        <v>0</v>
      </c>
      <c r="Q594" s="231" t="str">
        <f t="shared" si="63"/>
        <v>×</v>
      </c>
      <c r="R594" s="231" t="str">
        <f t="shared" si="68"/>
        <v>×</v>
      </c>
      <c r="S594" s="232" t="str">
        <f t="shared" si="69"/>
        <v/>
      </c>
    </row>
    <row r="595" spans="2:19">
      <c r="B595" s="68"/>
      <c r="C595" s="57"/>
      <c r="D595" s="259" t="str">
        <f t="shared" si="64"/>
        <v/>
      </c>
      <c r="E595" s="260" t="str">
        <f t="shared" si="65"/>
        <v/>
      </c>
      <c r="F595" s="271" t="str">
        <f>IF(G595="","",VLOOKUP(G595,プルダウン用リスト!$K$1:$M$16,2,FALSE))</f>
        <v/>
      </c>
      <c r="G595" s="70"/>
      <c r="H595" s="58"/>
      <c r="I595" s="70"/>
      <c r="J595" s="135"/>
      <c r="K595" s="136"/>
      <c r="L595" s="71"/>
      <c r="M595" s="72"/>
      <c r="N595" s="72"/>
      <c r="O595" s="264" t="str">
        <f t="shared" si="66"/>
        <v/>
      </c>
      <c r="P595" s="230">
        <f t="shared" si="67"/>
        <v>0</v>
      </c>
      <c r="Q595" s="231" t="str">
        <f t="shared" si="63"/>
        <v>×</v>
      </c>
      <c r="R595" s="231" t="str">
        <f t="shared" si="68"/>
        <v>×</v>
      </c>
      <c r="S595" s="232" t="str">
        <f t="shared" si="69"/>
        <v/>
      </c>
    </row>
    <row r="596" spans="2:19">
      <c r="B596" s="68"/>
      <c r="C596" s="57"/>
      <c r="D596" s="259" t="str">
        <f t="shared" si="64"/>
        <v/>
      </c>
      <c r="E596" s="260" t="str">
        <f t="shared" si="65"/>
        <v/>
      </c>
      <c r="F596" s="271" t="str">
        <f>IF(G596="","",VLOOKUP(G596,プルダウン用リスト!$K$1:$M$16,2,FALSE))</f>
        <v/>
      </c>
      <c r="G596" s="70"/>
      <c r="H596" s="58"/>
      <c r="I596" s="70"/>
      <c r="J596" s="135"/>
      <c r="K596" s="136"/>
      <c r="L596" s="71"/>
      <c r="M596" s="72"/>
      <c r="N596" s="72"/>
      <c r="O596" s="264" t="str">
        <f t="shared" si="66"/>
        <v/>
      </c>
      <c r="P596" s="230">
        <f t="shared" si="67"/>
        <v>0</v>
      </c>
      <c r="Q596" s="231" t="str">
        <f t="shared" si="63"/>
        <v>×</v>
      </c>
      <c r="R596" s="231" t="str">
        <f t="shared" si="68"/>
        <v>×</v>
      </c>
      <c r="S596" s="232" t="str">
        <f t="shared" si="69"/>
        <v/>
      </c>
    </row>
    <row r="597" spans="2:19">
      <c r="B597" s="68"/>
      <c r="C597" s="57"/>
      <c r="D597" s="259" t="str">
        <f t="shared" si="64"/>
        <v/>
      </c>
      <c r="E597" s="260" t="str">
        <f t="shared" si="65"/>
        <v/>
      </c>
      <c r="F597" s="271" t="str">
        <f>IF(G597="","",VLOOKUP(G597,プルダウン用リスト!$K$1:$M$16,2,FALSE))</f>
        <v/>
      </c>
      <c r="G597" s="70"/>
      <c r="H597" s="70"/>
      <c r="I597" s="70"/>
      <c r="J597" s="135"/>
      <c r="K597" s="136"/>
      <c r="L597" s="71"/>
      <c r="M597" s="72"/>
      <c r="N597" s="72"/>
      <c r="O597" s="264" t="str">
        <f t="shared" si="66"/>
        <v/>
      </c>
      <c r="P597" s="230">
        <f t="shared" si="67"/>
        <v>0</v>
      </c>
      <c r="Q597" s="231" t="str">
        <f t="shared" si="63"/>
        <v>×</v>
      </c>
      <c r="R597" s="231" t="str">
        <f t="shared" si="68"/>
        <v>×</v>
      </c>
      <c r="S597" s="232" t="str">
        <f t="shared" si="69"/>
        <v/>
      </c>
    </row>
    <row r="598" spans="2:19">
      <c r="B598" s="68"/>
      <c r="C598" s="57"/>
      <c r="D598" s="259" t="str">
        <f t="shared" si="64"/>
        <v/>
      </c>
      <c r="E598" s="260" t="str">
        <f t="shared" si="65"/>
        <v/>
      </c>
      <c r="F598" s="271" t="str">
        <f>IF(G598="","",VLOOKUP(G598,プルダウン用リスト!$K$1:$M$16,2,FALSE))</f>
        <v/>
      </c>
      <c r="G598" s="70"/>
      <c r="H598" s="58"/>
      <c r="I598" s="70"/>
      <c r="J598" s="135"/>
      <c r="K598" s="136"/>
      <c r="L598" s="71"/>
      <c r="M598" s="72"/>
      <c r="N598" s="72"/>
      <c r="O598" s="264" t="str">
        <f t="shared" si="66"/>
        <v/>
      </c>
      <c r="P598" s="230">
        <f t="shared" si="67"/>
        <v>0</v>
      </c>
      <c r="Q598" s="231" t="str">
        <f t="shared" si="63"/>
        <v>×</v>
      </c>
      <c r="R598" s="231" t="str">
        <f t="shared" si="68"/>
        <v>×</v>
      </c>
      <c r="S598" s="232" t="str">
        <f t="shared" si="69"/>
        <v/>
      </c>
    </row>
    <row r="599" spans="2:19">
      <c r="B599" s="68"/>
      <c r="C599" s="57"/>
      <c r="D599" s="259" t="str">
        <f t="shared" si="64"/>
        <v/>
      </c>
      <c r="E599" s="260" t="str">
        <f t="shared" si="65"/>
        <v/>
      </c>
      <c r="F599" s="271" t="str">
        <f>IF(G599="","",VLOOKUP(G599,プルダウン用リスト!$K$1:$M$16,2,FALSE))</f>
        <v/>
      </c>
      <c r="G599" s="70"/>
      <c r="H599" s="58"/>
      <c r="I599" s="70"/>
      <c r="J599" s="135"/>
      <c r="K599" s="136"/>
      <c r="L599" s="71"/>
      <c r="M599" s="72"/>
      <c r="N599" s="72"/>
      <c r="O599" s="264" t="str">
        <f t="shared" si="66"/>
        <v/>
      </c>
      <c r="P599" s="230">
        <f t="shared" si="67"/>
        <v>0</v>
      </c>
      <c r="Q599" s="231" t="str">
        <f t="shared" si="63"/>
        <v>×</v>
      </c>
      <c r="R599" s="231" t="str">
        <f t="shared" si="68"/>
        <v>×</v>
      </c>
      <c r="S599" s="232" t="str">
        <f t="shared" si="69"/>
        <v/>
      </c>
    </row>
    <row r="600" spans="2:19">
      <c r="B600" s="68"/>
      <c r="C600" s="57"/>
      <c r="D600" s="259" t="str">
        <f t="shared" si="64"/>
        <v/>
      </c>
      <c r="E600" s="260" t="str">
        <f t="shared" si="65"/>
        <v/>
      </c>
      <c r="F600" s="271" t="str">
        <f>IF(G600="","",VLOOKUP(G600,プルダウン用リスト!$K$1:$M$16,2,FALSE))</f>
        <v/>
      </c>
      <c r="G600" s="70"/>
      <c r="H600" s="70"/>
      <c r="I600" s="70"/>
      <c r="J600" s="135"/>
      <c r="K600" s="136"/>
      <c r="L600" s="71"/>
      <c r="M600" s="72"/>
      <c r="N600" s="72"/>
      <c r="O600" s="264" t="str">
        <f t="shared" si="66"/>
        <v/>
      </c>
      <c r="P600" s="230">
        <f t="shared" si="67"/>
        <v>0</v>
      </c>
      <c r="Q600" s="231" t="str">
        <f t="shared" si="63"/>
        <v>×</v>
      </c>
      <c r="R600" s="231" t="str">
        <f t="shared" si="68"/>
        <v>×</v>
      </c>
      <c r="S600" s="232" t="str">
        <f t="shared" si="69"/>
        <v/>
      </c>
    </row>
    <row r="601" spans="2:19">
      <c r="B601" s="68"/>
      <c r="C601" s="57"/>
      <c r="D601" s="259" t="str">
        <f t="shared" si="64"/>
        <v/>
      </c>
      <c r="E601" s="260" t="str">
        <f t="shared" si="65"/>
        <v/>
      </c>
      <c r="F601" s="271" t="str">
        <f>IF(G601="","",VLOOKUP(G601,プルダウン用リスト!$K$1:$M$16,2,FALSE))</f>
        <v/>
      </c>
      <c r="G601" s="70"/>
      <c r="H601" s="58"/>
      <c r="I601" s="70"/>
      <c r="J601" s="135"/>
      <c r="K601" s="136"/>
      <c r="L601" s="71"/>
      <c r="M601" s="72"/>
      <c r="N601" s="72"/>
      <c r="O601" s="264" t="str">
        <f t="shared" si="66"/>
        <v/>
      </c>
      <c r="P601" s="230">
        <f t="shared" si="67"/>
        <v>0</v>
      </c>
      <c r="Q601" s="231" t="str">
        <f t="shared" si="63"/>
        <v>×</v>
      </c>
      <c r="R601" s="231" t="str">
        <f t="shared" si="68"/>
        <v>×</v>
      </c>
      <c r="S601" s="232" t="str">
        <f t="shared" si="69"/>
        <v/>
      </c>
    </row>
    <row r="602" spans="2:19">
      <c r="B602" s="68"/>
      <c r="C602" s="57"/>
      <c r="D602" s="259" t="str">
        <f t="shared" si="64"/>
        <v/>
      </c>
      <c r="E602" s="260" t="str">
        <f t="shared" si="65"/>
        <v/>
      </c>
      <c r="F602" s="271" t="str">
        <f>IF(G602="","",VLOOKUP(G602,プルダウン用リスト!$K$1:$M$16,2,FALSE))</f>
        <v/>
      </c>
      <c r="G602" s="70"/>
      <c r="H602" s="58"/>
      <c r="I602" s="70"/>
      <c r="J602" s="135"/>
      <c r="K602" s="136"/>
      <c r="L602" s="71"/>
      <c r="M602" s="72"/>
      <c r="N602" s="72"/>
      <c r="O602" s="264" t="str">
        <f t="shared" si="66"/>
        <v/>
      </c>
      <c r="P602" s="230">
        <f t="shared" si="67"/>
        <v>0</v>
      </c>
      <c r="Q602" s="231" t="str">
        <f t="shared" si="63"/>
        <v>×</v>
      </c>
      <c r="R602" s="231" t="str">
        <f t="shared" si="68"/>
        <v>×</v>
      </c>
      <c r="S602" s="232" t="str">
        <f t="shared" si="69"/>
        <v/>
      </c>
    </row>
    <row r="603" spans="2:19">
      <c r="B603" s="68"/>
      <c r="C603" s="57"/>
      <c r="D603" s="259" t="str">
        <f t="shared" si="64"/>
        <v/>
      </c>
      <c r="E603" s="260" t="str">
        <f t="shared" si="65"/>
        <v/>
      </c>
      <c r="F603" s="271" t="str">
        <f>IF(G603="","",VLOOKUP(G603,プルダウン用リスト!$K$1:$M$16,2,FALSE))</f>
        <v/>
      </c>
      <c r="G603" s="70"/>
      <c r="H603" s="70"/>
      <c r="I603" s="70"/>
      <c r="J603" s="135"/>
      <c r="K603" s="136"/>
      <c r="L603" s="71"/>
      <c r="M603" s="72"/>
      <c r="N603" s="72"/>
      <c r="O603" s="264" t="str">
        <f t="shared" si="66"/>
        <v/>
      </c>
      <c r="P603" s="230">
        <f t="shared" si="67"/>
        <v>0</v>
      </c>
      <c r="Q603" s="231" t="str">
        <f t="shared" si="63"/>
        <v>×</v>
      </c>
      <c r="R603" s="231" t="str">
        <f t="shared" si="68"/>
        <v>×</v>
      </c>
      <c r="S603" s="232" t="str">
        <f t="shared" si="69"/>
        <v/>
      </c>
    </row>
    <row r="604" spans="2:19">
      <c r="B604" s="68"/>
      <c r="C604" s="57"/>
      <c r="D604" s="259" t="str">
        <f t="shared" si="64"/>
        <v/>
      </c>
      <c r="E604" s="260" t="str">
        <f t="shared" si="65"/>
        <v/>
      </c>
      <c r="F604" s="271" t="str">
        <f>IF(G604="","",VLOOKUP(G604,プルダウン用リスト!$K$1:$M$16,2,FALSE))</f>
        <v/>
      </c>
      <c r="G604" s="70"/>
      <c r="H604" s="58"/>
      <c r="I604" s="70"/>
      <c r="J604" s="135"/>
      <c r="K604" s="136"/>
      <c r="L604" s="71"/>
      <c r="M604" s="72"/>
      <c r="N604" s="72"/>
      <c r="O604" s="264" t="str">
        <f t="shared" si="66"/>
        <v/>
      </c>
      <c r="P604" s="230">
        <f t="shared" si="67"/>
        <v>0</v>
      </c>
      <c r="Q604" s="231" t="str">
        <f t="shared" si="63"/>
        <v>×</v>
      </c>
      <c r="R604" s="231" t="str">
        <f t="shared" si="68"/>
        <v>×</v>
      </c>
      <c r="S604" s="232" t="str">
        <f t="shared" si="69"/>
        <v/>
      </c>
    </row>
    <row r="605" spans="2:19">
      <c r="B605" s="68"/>
      <c r="C605" s="57"/>
      <c r="D605" s="259" t="str">
        <f t="shared" si="64"/>
        <v/>
      </c>
      <c r="E605" s="260" t="str">
        <f t="shared" si="65"/>
        <v/>
      </c>
      <c r="F605" s="271" t="str">
        <f>IF(G605="","",VLOOKUP(G605,プルダウン用リスト!$K$1:$M$16,2,FALSE))</f>
        <v/>
      </c>
      <c r="G605" s="70"/>
      <c r="H605" s="58"/>
      <c r="I605" s="70"/>
      <c r="J605" s="135"/>
      <c r="K605" s="136"/>
      <c r="L605" s="71"/>
      <c r="M605" s="72"/>
      <c r="N605" s="72"/>
      <c r="O605" s="264" t="str">
        <f t="shared" si="66"/>
        <v/>
      </c>
      <c r="P605" s="230">
        <f t="shared" si="67"/>
        <v>0</v>
      </c>
      <c r="Q605" s="231" t="str">
        <f t="shared" si="63"/>
        <v>×</v>
      </c>
      <c r="R605" s="231" t="str">
        <f t="shared" si="68"/>
        <v>×</v>
      </c>
      <c r="S605" s="232" t="str">
        <f t="shared" si="69"/>
        <v/>
      </c>
    </row>
    <row r="606" spans="2:19">
      <c r="B606" s="68"/>
      <c r="C606" s="69"/>
      <c r="D606" s="259" t="str">
        <f t="shared" si="64"/>
        <v/>
      </c>
      <c r="E606" s="260" t="str">
        <f t="shared" si="65"/>
        <v/>
      </c>
      <c r="F606" s="271" t="str">
        <f>IF(G606="","",VLOOKUP(G606,プルダウン用リスト!$K$1:$M$16,2,FALSE))</f>
        <v/>
      </c>
      <c r="G606" s="70"/>
      <c r="H606" s="70"/>
      <c r="I606" s="70"/>
      <c r="J606" s="135"/>
      <c r="K606" s="136"/>
      <c r="L606" s="71"/>
      <c r="M606" s="72"/>
      <c r="N606" s="72"/>
      <c r="O606" s="264" t="str">
        <f t="shared" si="66"/>
        <v/>
      </c>
      <c r="P606" s="230">
        <f t="shared" si="67"/>
        <v>0</v>
      </c>
      <c r="Q606" s="231" t="str">
        <f t="shared" si="63"/>
        <v>×</v>
      </c>
      <c r="R606" s="231" t="str">
        <f t="shared" si="68"/>
        <v>×</v>
      </c>
      <c r="S606" s="232" t="str">
        <f t="shared" si="69"/>
        <v/>
      </c>
    </row>
    <row r="607" spans="2:19">
      <c r="B607" s="68"/>
      <c r="C607" s="57"/>
      <c r="D607" s="259" t="str">
        <f t="shared" si="64"/>
        <v/>
      </c>
      <c r="E607" s="260" t="str">
        <f t="shared" si="65"/>
        <v/>
      </c>
      <c r="F607" s="271" t="str">
        <f>IF(G607="","",VLOOKUP(G607,プルダウン用リスト!$K$1:$M$16,2,FALSE))</f>
        <v/>
      </c>
      <c r="G607" s="70"/>
      <c r="H607" s="58"/>
      <c r="I607" s="70"/>
      <c r="J607" s="135"/>
      <c r="K607" s="136"/>
      <c r="L607" s="71"/>
      <c r="M607" s="72"/>
      <c r="N607" s="72"/>
      <c r="O607" s="264" t="str">
        <f t="shared" si="66"/>
        <v/>
      </c>
      <c r="P607" s="230">
        <f t="shared" si="67"/>
        <v>0</v>
      </c>
      <c r="Q607" s="231" t="str">
        <f t="shared" si="63"/>
        <v>×</v>
      </c>
      <c r="R607" s="231" t="str">
        <f t="shared" si="68"/>
        <v>×</v>
      </c>
      <c r="S607" s="232" t="str">
        <f t="shared" si="69"/>
        <v/>
      </c>
    </row>
    <row r="608" spans="2:19">
      <c r="B608" s="68"/>
      <c r="C608" s="57"/>
      <c r="D608" s="259" t="str">
        <f t="shared" si="64"/>
        <v/>
      </c>
      <c r="E608" s="260" t="str">
        <f t="shared" si="65"/>
        <v/>
      </c>
      <c r="F608" s="271" t="str">
        <f>IF(G608="","",VLOOKUP(G608,プルダウン用リスト!$K$1:$M$16,2,FALSE))</f>
        <v/>
      </c>
      <c r="G608" s="70"/>
      <c r="H608" s="58"/>
      <c r="I608" s="70"/>
      <c r="J608" s="135"/>
      <c r="K608" s="136"/>
      <c r="L608" s="71"/>
      <c r="M608" s="72"/>
      <c r="N608" s="72"/>
      <c r="O608" s="264" t="str">
        <f t="shared" si="66"/>
        <v/>
      </c>
      <c r="P608" s="230">
        <f t="shared" si="67"/>
        <v>0</v>
      </c>
      <c r="Q608" s="231" t="str">
        <f t="shared" si="63"/>
        <v>×</v>
      </c>
      <c r="R608" s="231" t="str">
        <f t="shared" si="68"/>
        <v>×</v>
      </c>
      <c r="S608" s="232" t="str">
        <f t="shared" si="69"/>
        <v/>
      </c>
    </row>
    <row r="609" spans="2:19">
      <c r="B609" s="68"/>
      <c r="C609" s="57"/>
      <c r="D609" s="259" t="str">
        <f t="shared" si="64"/>
        <v/>
      </c>
      <c r="E609" s="260" t="str">
        <f t="shared" si="65"/>
        <v/>
      </c>
      <c r="F609" s="271" t="str">
        <f>IF(G609="","",VLOOKUP(G609,プルダウン用リスト!$K$1:$M$16,2,FALSE))</f>
        <v/>
      </c>
      <c r="G609" s="70"/>
      <c r="H609" s="70"/>
      <c r="I609" s="70"/>
      <c r="J609" s="135"/>
      <c r="K609" s="136"/>
      <c r="L609" s="71"/>
      <c r="M609" s="72"/>
      <c r="N609" s="72"/>
      <c r="O609" s="264" t="str">
        <f t="shared" si="66"/>
        <v/>
      </c>
      <c r="P609" s="230">
        <f t="shared" si="67"/>
        <v>0</v>
      </c>
      <c r="Q609" s="231" t="str">
        <f t="shared" si="63"/>
        <v>×</v>
      </c>
      <c r="R609" s="231" t="str">
        <f t="shared" si="68"/>
        <v>×</v>
      </c>
      <c r="S609" s="232" t="str">
        <f t="shared" si="69"/>
        <v/>
      </c>
    </row>
    <row r="610" spans="2:19">
      <c r="B610" s="68"/>
      <c r="C610" s="57"/>
      <c r="D610" s="259" t="str">
        <f t="shared" si="64"/>
        <v/>
      </c>
      <c r="E610" s="260" t="str">
        <f t="shared" si="65"/>
        <v/>
      </c>
      <c r="F610" s="271" t="str">
        <f>IF(G610="","",VLOOKUP(G610,プルダウン用リスト!$K$1:$M$16,2,FALSE))</f>
        <v/>
      </c>
      <c r="G610" s="70"/>
      <c r="H610" s="58"/>
      <c r="I610" s="70"/>
      <c r="J610" s="135"/>
      <c r="K610" s="136"/>
      <c r="L610" s="71"/>
      <c r="M610" s="72"/>
      <c r="N610" s="72"/>
      <c r="O610" s="264" t="str">
        <f t="shared" si="66"/>
        <v/>
      </c>
      <c r="P610" s="230">
        <f t="shared" si="67"/>
        <v>0</v>
      </c>
      <c r="Q610" s="231" t="str">
        <f t="shared" si="63"/>
        <v>×</v>
      </c>
      <c r="R610" s="231" t="str">
        <f t="shared" si="68"/>
        <v>×</v>
      </c>
      <c r="S610" s="232" t="str">
        <f t="shared" si="69"/>
        <v/>
      </c>
    </row>
    <row r="611" spans="2:19">
      <c r="B611" s="68"/>
      <c r="C611" s="57"/>
      <c r="D611" s="259" t="str">
        <f t="shared" si="64"/>
        <v/>
      </c>
      <c r="E611" s="260" t="str">
        <f t="shared" si="65"/>
        <v/>
      </c>
      <c r="F611" s="271" t="str">
        <f>IF(G611="","",VLOOKUP(G611,プルダウン用リスト!$K$1:$M$16,2,FALSE))</f>
        <v/>
      </c>
      <c r="G611" s="70"/>
      <c r="H611" s="58"/>
      <c r="I611" s="70"/>
      <c r="J611" s="135"/>
      <c r="K611" s="136"/>
      <c r="L611" s="71"/>
      <c r="M611" s="72"/>
      <c r="N611" s="72"/>
      <c r="O611" s="264" t="str">
        <f t="shared" si="66"/>
        <v/>
      </c>
      <c r="P611" s="230">
        <f t="shared" si="67"/>
        <v>0</v>
      </c>
      <c r="Q611" s="231" t="str">
        <f t="shared" si="63"/>
        <v>×</v>
      </c>
      <c r="R611" s="231" t="str">
        <f t="shared" si="68"/>
        <v>×</v>
      </c>
      <c r="S611" s="232" t="str">
        <f t="shared" si="69"/>
        <v/>
      </c>
    </row>
    <row r="612" spans="2:19">
      <c r="B612" s="68"/>
      <c r="C612" s="57"/>
      <c r="D612" s="259" t="str">
        <f t="shared" si="64"/>
        <v/>
      </c>
      <c r="E612" s="260" t="str">
        <f t="shared" si="65"/>
        <v/>
      </c>
      <c r="F612" s="271" t="str">
        <f>IF(G612="","",VLOOKUP(G612,プルダウン用リスト!$K$1:$M$16,2,FALSE))</f>
        <v/>
      </c>
      <c r="G612" s="70"/>
      <c r="H612" s="70"/>
      <c r="I612" s="70"/>
      <c r="J612" s="135"/>
      <c r="K612" s="136"/>
      <c r="L612" s="71"/>
      <c r="M612" s="72"/>
      <c r="N612" s="72"/>
      <c r="O612" s="264" t="str">
        <f t="shared" si="66"/>
        <v/>
      </c>
      <c r="P612" s="230">
        <f t="shared" si="67"/>
        <v>0</v>
      </c>
      <c r="Q612" s="231" t="str">
        <f t="shared" si="63"/>
        <v>×</v>
      </c>
      <c r="R612" s="231" t="str">
        <f t="shared" si="68"/>
        <v>×</v>
      </c>
      <c r="S612" s="232" t="str">
        <f t="shared" si="69"/>
        <v/>
      </c>
    </row>
    <row r="613" spans="2:19">
      <c r="B613" s="68"/>
      <c r="C613" s="57"/>
      <c r="D613" s="259" t="str">
        <f t="shared" si="64"/>
        <v/>
      </c>
      <c r="E613" s="260" t="str">
        <f t="shared" si="65"/>
        <v/>
      </c>
      <c r="F613" s="271" t="str">
        <f>IF(G613="","",VLOOKUP(G613,プルダウン用リスト!$K$1:$M$16,2,FALSE))</f>
        <v/>
      </c>
      <c r="G613" s="70"/>
      <c r="H613" s="58"/>
      <c r="I613" s="70"/>
      <c r="J613" s="135"/>
      <c r="K613" s="136"/>
      <c r="L613" s="71"/>
      <c r="M613" s="72"/>
      <c r="N613" s="72"/>
      <c r="O613" s="264" t="str">
        <f t="shared" si="66"/>
        <v/>
      </c>
      <c r="P613" s="230">
        <f t="shared" si="67"/>
        <v>0</v>
      </c>
      <c r="Q613" s="231" t="str">
        <f t="shared" si="63"/>
        <v>×</v>
      </c>
      <c r="R613" s="231" t="str">
        <f t="shared" si="68"/>
        <v>×</v>
      </c>
      <c r="S613" s="232" t="str">
        <f t="shared" si="69"/>
        <v/>
      </c>
    </row>
    <row r="614" spans="2:19">
      <c r="B614" s="68"/>
      <c r="C614" s="57"/>
      <c r="D614" s="259" t="str">
        <f t="shared" si="64"/>
        <v/>
      </c>
      <c r="E614" s="260" t="str">
        <f t="shared" si="65"/>
        <v/>
      </c>
      <c r="F614" s="271" t="str">
        <f>IF(G614="","",VLOOKUP(G614,プルダウン用リスト!$K$1:$M$16,2,FALSE))</f>
        <v/>
      </c>
      <c r="G614" s="70"/>
      <c r="H614" s="58"/>
      <c r="I614" s="70"/>
      <c r="J614" s="135"/>
      <c r="K614" s="136"/>
      <c r="L614" s="71"/>
      <c r="M614" s="72"/>
      <c r="N614" s="72"/>
      <c r="O614" s="264" t="str">
        <f t="shared" si="66"/>
        <v/>
      </c>
      <c r="P614" s="230">
        <f t="shared" si="67"/>
        <v>0</v>
      </c>
      <c r="Q614" s="231" t="str">
        <f t="shared" si="63"/>
        <v>×</v>
      </c>
      <c r="R614" s="231" t="str">
        <f t="shared" si="68"/>
        <v>×</v>
      </c>
      <c r="S614" s="232" t="str">
        <f t="shared" si="69"/>
        <v/>
      </c>
    </row>
    <row r="615" spans="2:19">
      <c r="B615" s="68"/>
      <c r="C615" s="57"/>
      <c r="D615" s="259" t="str">
        <f t="shared" si="64"/>
        <v/>
      </c>
      <c r="E615" s="260" t="str">
        <f t="shared" si="65"/>
        <v/>
      </c>
      <c r="F615" s="271" t="str">
        <f>IF(G615="","",VLOOKUP(G615,プルダウン用リスト!$K$1:$M$16,2,FALSE))</f>
        <v/>
      </c>
      <c r="G615" s="70"/>
      <c r="H615" s="70"/>
      <c r="I615" s="70"/>
      <c r="J615" s="135"/>
      <c r="K615" s="136"/>
      <c r="L615" s="71"/>
      <c r="M615" s="72"/>
      <c r="N615" s="72"/>
      <c r="O615" s="264" t="str">
        <f t="shared" si="66"/>
        <v/>
      </c>
      <c r="P615" s="230">
        <f t="shared" si="67"/>
        <v>0</v>
      </c>
      <c r="Q615" s="231" t="str">
        <f t="shared" si="63"/>
        <v>×</v>
      </c>
      <c r="R615" s="231" t="str">
        <f t="shared" si="68"/>
        <v>×</v>
      </c>
      <c r="S615" s="232" t="str">
        <f t="shared" si="69"/>
        <v/>
      </c>
    </row>
    <row r="616" spans="2:19">
      <c r="B616" s="68"/>
      <c r="C616" s="57"/>
      <c r="D616" s="259" t="str">
        <f t="shared" si="64"/>
        <v/>
      </c>
      <c r="E616" s="260" t="str">
        <f t="shared" si="65"/>
        <v/>
      </c>
      <c r="F616" s="271" t="str">
        <f>IF(G616="","",VLOOKUP(G616,プルダウン用リスト!$K$1:$M$16,2,FALSE))</f>
        <v/>
      </c>
      <c r="G616" s="70"/>
      <c r="H616" s="58"/>
      <c r="I616" s="70"/>
      <c r="J616" s="135"/>
      <c r="K616" s="136"/>
      <c r="L616" s="71"/>
      <c r="M616" s="72"/>
      <c r="N616" s="72"/>
      <c r="O616" s="264" t="str">
        <f t="shared" si="66"/>
        <v/>
      </c>
      <c r="P616" s="230">
        <f t="shared" si="67"/>
        <v>0</v>
      </c>
      <c r="Q616" s="231" t="str">
        <f t="shared" si="63"/>
        <v>×</v>
      </c>
      <c r="R616" s="231" t="str">
        <f t="shared" si="68"/>
        <v>×</v>
      </c>
      <c r="S616" s="232" t="str">
        <f t="shared" si="69"/>
        <v/>
      </c>
    </row>
    <row r="617" spans="2:19">
      <c r="B617" s="68"/>
      <c r="C617" s="57"/>
      <c r="D617" s="259" t="str">
        <f t="shared" si="64"/>
        <v/>
      </c>
      <c r="E617" s="260" t="str">
        <f t="shared" si="65"/>
        <v/>
      </c>
      <c r="F617" s="271" t="str">
        <f>IF(G617="","",VLOOKUP(G617,プルダウン用リスト!$K$1:$M$16,2,FALSE))</f>
        <v/>
      </c>
      <c r="G617" s="70"/>
      <c r="H617" s="58"/>
      <c r="I617" s="70"/>
      <c r="J617" s="135"/>
      <c r="K617" s="136"/>
      <c r="L617" s="71"/>
      <c r="M617" s="72"/>
      <c r="N617" s="72"/>
      <c r="O617" s="264" t="str">
        <f t="shared" si="66"/>
        <v/>
      </c>
      <c r="P617" s="230">
        <f t="shared" si="67"/>
        <v>0</v>
      </c>
      <c r="Q617" s="231" t="str">
        <f t="shared" si="63"/>
        <v>×</v>
      </c>
      <c r="R617" s="231" t="str">
        <f t="shared" si="68"/>
        <v>×</v>
      </c>
      <c r="S617" s="232" t="str">
        <f t="shared" si="69"/>
        <v/>
      </c>
    </row>
    <row r="618" spans="2:19">
      <c r="B618" s="68"/>
      <c r="C618" s="69"/>
      <c r="D618" s="259" t="str">
        <f t="shared" si="64"/>
        <v/>
      </c>
      <c r="E618" s="260" t="str">
        <f t="shared" si="65"/>
        <v/>
      </c>
      <c r="F618" s="271" t="str">
        <f>IF(G618="","",VLOOKUP(G618,プルダウン用リスト!$K$1:$M$16,2,FALSE))</f>
        <v/>
      </c>
      <c r="G618" s="70"/>
      <c r="H618" s="70"/>
      <c r="I618" s="70"/>
      <c r="J618" s="135"/>
      <c r="K618" s="136"/>
      <c r="L618" s="71"/>
      <c r="M618" s="72"/>
      <c r="N618" s="72"/>
      <c r="O618" s="264" t="str">
        <f t="shared" si="66"/>
        <v/>
      </c>
      <c r="P618" s="230">
        <f t="shared" si="67"/>
        <v>0</v>
      </c>
      <c r="Q618" s="231" t="str">
        <f t="shared" si="63"/>
        <v>×</v>
      </c>
      <c r="R618" s="231" t="str">
        <f t="shared" si="68"/>
        <v>×</v>
      </c>
      <c r="S618" s="232" t="str">
        <f t="shared" si="69"/>
        <v/>
      </c>
    </row>
    <row r="619" spans="2:19">
      <c r="B619" s="68"/>
      <c r="C619" s="57"/>
      <c r="D619" s="259" t="str">
        <f t="shared" si="64"/>
        <v/>
      </c>
      <c r="E619" s="260" t="str">
        <f t="shared" si="65"/>
        <v/>
      </c>
      <c r="F619" s="271" t="str">
        <f>IF(G619="","",VLOOKUP(G619,プルダウン用リスト!$K$1:$M$16,2,FALSE))</f>
        <v/>
      </c>
      <c r="G619" s="70"/>
      <c r="H619" s="58"/>
      <c r="I619" s="70"/>
      <c r="J619" s="135"/>
      <c r="K619" s="136"/>
      <c r="L619" s="71"/>
      <c r="M619" s="72"/>
      <c r="N619" s="72"/>
      <c r="O619" s="264" t="str">
        <f t="shared" si="66"/>
        <v/>
      </c>
      <c r="P619" s="230">
        <f t="shared" si="67"/>
        <v>0</v>
      </c>
      <c r="Q619" s="231" t="str">
        <f t="shared" si="63"/>
        <v>×</v>
      </c>
      <c r="R619" s="231" t="str">
        <f t="shared" si="68"/>
        <v>×</v>
      </c>
      <c r="S619" s="232" t="str">
        <f t="shared" si="69"/>
        <v/>
      </c>
    </row>
    <row r="620" spans="2:19">
      <c r="B620" s="68"/>
      <c r="C620" s="57"/>
      <c r="D620" s="259" t="str">
        <f t="shared" si="64"/>
        <v/>
      </c>
      <c r="E620" s="260" t="str">
        <f t="shared" si="65"/>
        <v/>
      </c>
      <c r="F620" s="271" t="str">
        <f>IF(G620="","",VLOOKUP(G620,プルダウン用リスト!$K$1:$M$16,2,FALSE))</f>
        <v/>
      </c>
      <c r="G620" s="70"/>
      <c r="H620" s="58"/>
      <c r="I620" s="70"/>
      <c r="J620" s="135"/>
      <c r="K620" s="136"/>
      <c r="L620" s="71"/>
      <c r="M620" s="72"/>
      <c r="N620" s="72"/>
      <c r="O620" s="264" t="str">
        <f t="shared" si="66"/>
        <v/>
      </c>
      <c r="P620" s="230">
        <f t="shared" si="67"/>
        <v>0</v>
      </c>
      <c r="Q620" s="231" t="str">
        <f t="shared" si="63"/>
        <v>×</v>
      </c>
      <c r="R620" s="231" t="str">
        <f t="shared" si="68"/>
        <v>×</v>
      </c>
      <c r="S620" s="232" t="str">
        <f t="shared" si="69"/>
        <v/>
      </c>
    </row>
    <row r="621" spans="2:19">
      <c r="B621" s="68"/>
      <c r="C621" s="57"/>
      <c r="D621" s="259" t="str">
        <f t="shared" si="64"/>
        <v/>
      </c>
      <c r="E621" s="260" t="str">
        <f t="shared" si="65"/>
        <v/>
      </c>
      <c r="F621" s="271" t="str">
        <f>IF(G621="","",VLOOKUP(G621,プルダウン用リスト!$K$1:$M$16,2,FALSE))</f>
        <v/>
      </c>
      <c r="G621" s="70"/>
      <c r="H621" s="70"/>
      <c r="I621" s="70"/>
      <c r="J621" s="135"/>
      <c r="K621" s="136"/>
      <c r="L621" s="71"/>
      <c r="M621" s="72"/>
      <c r="N621" s="72"/>
      <c r="O621" s="264" t="str">
        <f t="shared" si="66"/>
        <v/>
      </c>
      <c r="P621" s="230">
        <f t="shared" si="67"/>
        <v>0</v>
      </c>
      <c r="Q621" s="231" t="str">
        <f t="shared" si="63"/>
        <v>×</v>
      </c>
      <c r="R621" s="231" t="str">
        <f t="shared" si="68"/>
        <v>×</v>
      </c>
      <c r="S621" s="232" t="str">
        <f t="shared" si="69"/>
        <v/>
      </c>
    </row>
    <row r="622" spans="2:19">
      <c r="B622" s="68"/>
      <c r="C622" s="57"/>
      <c r="D622" s="259" t="str">
        <f t="shared" si="64"/>
        <v/>
      </c>
      <c r="E622" s="260" t="str">
        <f t="shared" si="65"/>
        <v/>
      </c>
      <c r="F622" s="271" t="str">
        <f>IF(G622="","",VLOOKUP(G622,プルダウン用リスト!$K$1:$M$16,2,FALSE))</f>
        <v/>
      </c>
      <c r="G622" s="70"/>
      <c r="H622" s="58"/>
      <c r="I622" s="70"/>
      <c r="J622" s="135"/>
      <c r="K622" s="136"/>
      <c r="L622" s="71"/>
      <c r="M622" s="72"/>
      <c r="N622" s="72"/>
      <c r="O622" s="264" t="str">
        <f t="shared" si="66"/>
        <v/>
      </c>
      <c r="P622" s="230">
        <f t="shared" si="67"/>
        <v>0</v>
      </c>
      <c r="Q622" s="231" t="str">
        <f t="shared" si="63"/>
        <v>×</v>
      </c>
      <c r="R622" s="231" t="str">
        <f t="shared" si="68"/>
        <v>×</v>
      </c>
      <c r="S622" s="232" t="str">
        <f t="shared" si="69"/>
        <v/>
      </c>
    </row>
    <row r="623" spans="2:19">
      <c r="B623" s="68"/>
      <c r="C623" s="57"/>
      <c r="D623" s="259" t="str">
        <f t="shared" si="64"/>
        <v/>
      </c>
      <c r="E623" s="260" t="str">
        <f t="shared" si="65"/>
        <v/>
      </c>
      <c r="F623" s="271" t="str">
        <f>IF(G623="","",VLOOKUP(G623,プルダウン用リスト!$K$1:$M$16,2,FALSE))</f>
        <v/>
      </c>
      <c r="G623" s="70"/>
      <c r="H623" s="58"/>
      <c r="I623" s="70"/>
      <c r="J623" s="135"/>
      <c r="K623" s="136"/>
      <c r="L623" s="71"/>
      <c r="M623" s="72"/>
      <c r="N623" s="72"/>
      <c r="O623" s="264" t="str">
        <f t="shared" si="66"/>
        <v/>
      </c>
      <c r="P623" s="230">
        <f t="shared" si="67"/>
        <v>0</v>
      </c>
      <c r="Q623" s="231" t="str">
        <f t="shared" si="63"/>
        <v>×</v>
      </c>
      <c r="R623" s="231" t="str">
        <f t="shared" si="68"/>
        <v>×</v>
      </c>
      <c r="S623" s="232" t="str">
        <f t="shared" si="69"/>
        <v/>
      </c>
    </row>
    <row r="624" spans="2:19">
      <c r="B624" s="68"/>
      <c r="C624" s="57"/>
      <c r="D624" s="259" t="str">
        <f t="shared" si="64"/>
        <v/>
      </c>
      <c r="E624" s="260" t="str">
        <f t="shared" si="65"/>
        <v/>
      </c>
      <c r="F624" s="271" t="str">
        <f>IF(G624="","",VLOOKUP(G624,プルダウン用リスト!$K$1:$M$16,2,FALSE))</f>
        <v/>
      </c>
      <c r="G624" s="70"/>
      <c r="H624" s="70"/>
      <c r="I624" s="70"/>
      <c r="J624" s="135"/>
      <c r="K624" s="136"/>
      <c r="L624" s="71"/>
      <c r="M624" s="72"/>
      <c r="N624" s="72"/>
      <c r="O624" s="264" t="str">
        <f t="shared" si="66"/>
        <v/>
      </c>
      <c r="P624" s="230">
        <f t="shared" si="67"/>
        <v>0</v>
      </c>
      <c r="Q624" s="231" t="str">
        <f t="shared" si="63"/>
        <v>×</v>
      </c>
      <c r="R624" s="231" t="str">
        <f t="shared" si="68"/>
        <v>×</v>
      </c>
      <c r="S624" s="232" t="str">
        <f t="shared" si="69"/>
        <v/>
      </c>
    </row>
    <row r="625" spans="2:19">
      <c r="B625" s="68"/>
      <c r="C625" s="57"/>
      <c r="D625" s="259" t="str">
        <f t="shared" si="64"/>
        <v/>
      </c>
      <c r="E625" s="260" t="str">
        <f t="shared" si="65"/>
        <v/>
      </c>
      <c r="F625" s="271" t="str">
        <f>IF(G625="","",VLOOKUP(G625,プルダウン用リスト!$K$1:$M$16,2,FALSE))</f>
        <v/>
      </c>
      <c r="G625" s="70"/>
      <c r="H625" s="58"/>
      <c r="I625" s="70"/>
      <c r="J625" s="135"/>
      <c r="K625" s="136"/>
      <c r="L625" s="71"/>
      <c r="M625" s="72"/>
      <c r="N625" s="72"/>
      <c r="O625" s="264" t="str">
        <f t="shared" si="66"/>
        <v/>
      </c>
      <c r="P625" s="230">
        <f t="shared" si="67"/>
        <v>0</v>
      </c>
      <c r="Q625" s="231" t="str">
        <f t="shared" si="63"/>
        <v>×</v>
      </c>
      <c r="R625" s="231" t="str">
        <f t="shared" si="68"/>
        <v>×</v>
      </c>
      <c r="S625" s="232" t="str">
        <f t="shared" si="69"/>
        <v/>
      </c>
    </row>
    <row r="626" spans="2:19">
      <c r="B626" s="68"/>
      <c r="C626" s="57"/>
      <c r="D626" s="259" t="str">
        <f t="shared" si="64"/>
        <v/>
      </c>
      <c r="E626" s="260" t="str">
        <f t="shared" si="65"/>
        <v/>
      </c>
      <c r="F626" s="271" t="str">
        <f>IF(G626="","",VLOOKUP(G626,プルダウン用リスト!$K$1:$M$16,2,FALSE))</f>
        <v/>
      </c>
      <c r="G626" s="70"/>
      <c r="H626" s="58"/>
      <c r="I626" s="70"/>
      <c r="J626" s="135"/>
      <c r="K626" s="136"/>
      <c r="L626" s="71"/>
      <c r="M626" s="72"/>
      <c r="N626" s="72"/>
      <c r="O626" s="264" t="str">
        <f t="shared" si="66"/>
        <v/>
      </c>
      <c r="P626" s="230">
        <f t="shared" si="67"/>
        <v>0</v>
      </c>
      <c r="Q626" s="231" t="str">
        <f t="shared" si="63"/>
        <v>×</v>
      </c>
      <c r="R626" s="231" t="str">
        <f t="shared" si="68"/>
        <v>×</v>
      </c>
      <c r="S626" s="232" t="str">
        <f t="shared" si="69"/>
        <v/>
      </c>
    </row>
    <row r="627" spans="2:19">
      <c r="B627" s="68"/>
      <c r="C627" s="57"/>
      <c r="D627" s="259" t="str">
        <f t="shared" si="64"/>
        <v/>
      </c>
      <c r="E627" s="260" t="str">
        <f t="shared" si="65"/>
        <v/>
      </c>
      <c r="F627" s="271" t="str">
        <f>IF(G627="","",VLOOKUP(G627,プルダウン用リスト!$K$1:$M$16,2,FALSE))</f>
        <v/>
      </c>
      <c r="G627" s="70"/>
      <c r="H627" s="70"/>
      <c r="I627" s="70"/>
      <c r="J627" s="135"/>
      <c r="K627" s="136"/>
      <c r="L627" s="71"/>
      <c r="M627" s="72"/>
      <c r="N627" s="72"/>
      <c r="O627" s="264" t="str">
        <f t="shared" si="66"/>
        <v/>
      </c>
      <c r="P627" s="230">
        <f t="shared" si="67"/>
        <v>0</v>
      </c>
      <c r="Q627" s="231" t="str">
        <f t="shared" si="63"/>
        <v>×</v>
      </c>
      <c r="R627" s="231" t="str">
        <f t="shared" si="68"/>
        <v>×</v>
      </c>
      <c r="S627" s="232" t="str">
        <f t="shared" si="69"/>
        <v/>
      </c>
    </row>
    <row r="628" spans="2:19">
      <c r="B628" s="68"/>
      <c r="C628" s="57"/>
      <c r="D628" s="259" t="str">
        <f t="shared" si="64"/>
        <v/>
      </c>
      <c r="E628" s="260" t="str">
        <f t="shared" si="65"/>
        <v/>
      </c>
      <c r="F628" s="271" t="str">
        <f>IF(G628="","",VLOOKUP(G628,プルダウン用リスト!$K$1:$M$16,2,FALSE))</f>
        <v/>
      </c>
      <c r="G628" s="70"/>
      <c r="H628" s="58"/>
      <c r="I628" s="70"/>
      <c r="J628" s="135"/>
      <c r="K628" s="136"/>
      <c r="L628" s="71"/>
      <c r="M628" s="72"/>
      <c r="N628" s="72"/>
      <c r="O628" s="264" t="str">
        <f t="shared" si="66"/>
        <v/>
      </c>
      <c r="P628" s="230">
        <f t="shared" si="67"/>
        <v>0</v>
      </c>
      <c r="Q628" s="231" t="str">
        <f t="shared" si="63"/>
        <v>×</v>
      </c>
      <c r="R628" s="231" t="str">
        <f t="shared" si="68"/>
        <v>×</v>
      </c>
      <c r="S628" s="232" t="str">
        <f t="shared" si="69"/>
        <v/>
      </c>
    </row>
    <row r="629" spans="2:19">
      <c r="B629" s="68"/>
      <c r="C629" s="57"/>
      <c r="D629" s="259" t="str">
        <f t="shared" si="64"/>
        <v/>
      </c>
      <c r="E629" s="260" t="str">
        <f t="shared" si="65"/>
        <v/>
      </c>
      <c r="F629" s="271" t="str">
        <f>IF(G629="","",VLOOKUP(G629,プルダウン用リスト!$K$1:$M$16,2,FALSE))</f>
        <v/>
      </c>
      <c r="G629" s="70"/>
      <c r="H629" s="58"/>
      <c r="I629" s="70"/>
      <c r="J629" s="135"/>
      <c r="K629" s="136"/>
      <c r="L629" s="71"/>
      <c r="M629" s="72"/>
      <c r="N629" s="72"/>
      <c r="O629" s="264" t="str">
        <f t="shared" si="66"/>
        <v/>
      </c>
      <c r="P629" s="230">
        <f t="shared" si="67"/>
        <v>0</v>
      </c>
      <c r="Q629" s="231" t="str">
        <f t="shared" si="63"/>
        <v>×</v>
      </c>
      <c r="R629" s="231" t="str">
        <f t="shared" si="68"/>
        <v>×</v>
      </c>
      <c r="S629" s="232" t="str">
        <f t="shared" si="69"/>
        <v/>
      </c>
    </row>
    <row r="630" spans="2:19">
      <c r="B630" s="68"/>
      <c r="C630" s="69"/>
      <c r="D630" s="259" t="str">
        <f t="shared" si="64"/>
        <v/>
      </c>
      <c r="E630" s="260" t="str">
        <f t="shared" si="65"/>
        <v/>
      </c>
      <c r="F630" s="271" t="str">
        <f>IF(G630="","",VLOOKUP(G630,プルダウン用リスト!$K$1:$M$16,2,FALSE))</f>
        <v/>
      </c>
      <c r="G630" s="70"/>
      <c r="H630" s="70"/>
      <c r="I630" s="70"/>
      <c r="J630" s="135"/>
      <c r="K630" s="136"/>
      <c r="L630" s="71"/>
      <c r="M630" s="72"/>
      <c r="N630" s="72"/>
      <c r="O630" s="264" t="str">
        <f t="shared" si="66"/>
        <v/>
      </c>
      <c r="P630" s="230">
        <f t="shared" si="67"/>
        <v>0</v>
      </c>
      <c r="Q630" s="231" t="str">
        <f t="shared" si="63"/>
        <v>×</v>
      </c>
      <c r="R630" s="231" t="str">
        <f t="shared" si="68"/>
        <v>×</v>
      </c>
      <c r="S630" s="232" t="str">
        <f t="shared" si="69"/>
        <v/>
      </c>
    </row>
    <row r="631" spans="2:19">
      <c r="B631" s="68"/>
      <c r="C631" s="57"/>
      <c r="D631" s="259" t="str">
        <f t="shared" si="64"/>
        <v/>
      </c>
      <c r="E631" s="260" t="str">
        <f t="shared" si="65"/>
        <v/>
      </c>
      <c r="F631" s="271" t="str">
        <f>IF(G631="","",VLOOKUP(G631,プルダウン用リスト!$K$1:$M$16,2,FALSE))</f>
        <v/>
      </c>
      <c r="G631" s="70"/>
      <c r="H631" s="58"/>
      <c r="I631" s="70"/>
      <c r="J631" s="135"/>
      <c r="K631" s="136"/>
      <c r="L631" s="71"/>
      <c r="M631" s="72"/>
      <c r="N631" s="72"/>
      <c r="O631" s="264" t="str">
        <f t="shared" si="66"/>
        <v/>
      </c>
      <c r="P631" s="230">
        <f t="shared" si="67"/>
        <v>0</v>
      </c>
      <c r="Q631" s="231" t="str">
        <f t="shared" si="63"/>
        <v>×</v>
      </c>
      <c r="R631" s="231" t="str">
        <f t="shared" si="68"/>
        <v>×</v>
      </c>
      <c r="S631" s="232" t="str">
        <f t="shared" si="69"/>
        <v/>
      </c>
    </row>
    <row r="632" spans="2:19">
      <c r="B632" s="68"/>
      <c r="C632" s="57"/>
      <c r="D632" s="259" t="str">
        <f t="shared" si="64"/>
        <v/>
      </c>
      <c r="E632" s="260" t="str">
        <f t="shared" si="65"/>
        <v/>
      </c>
      <c r="F632" s="271" t="str">
        <f>IF(G632="","",VLOOKUP(G632,プルダウン用リスト!$K$1:$M$16,2,FALSE))</f>
        <v/>
      </c>
      <c r="G632" s="70"/>
      <c r="H632" s="58"/>
      <c r="I632" s="70"/>
      <c r="J632" s="135"/>
      <c r="K632" s="136"/>
      <c r="L632" s="71"/>
      <c r="M632" s="72"/>
      <c r="N632" s="72"/>
      <c r="O632" s="264" t="str">
        <f t="shared" si="66"/>
        <v/>
      </c>
      <c r="P632" s="230">
        <f t="shared" si="67"/>
        <v>0</v>
      </c>
      <c r="Q632" s="231" t="str">
        <f t="shared" si="63"/>
        <v>×</v>
      </c>
      <c r="R632" s="231" t="str">
        <f t="shared" si="68"/>
        <v>×</v>
      </c>
      <c r="S632" s="232" t="str">
        <f t="shared" si="69"/>
        <v/>
      </c>
    </row>
    <row r="633" spans="2:19">
      <c r="B633" s="68"/>
      <c r="C633" s="57"/>
      <c r="D633" s="259" t="str">
        <f t="shared" si="64"/>
        <v/>
      </c>
      <c r="E633" s="260" t="str">
        <f t="shared" si="65"/>
        <v/>
      </c>
      <c r="F633" s="271" t="str">
        <f>IF(G633="","",VLOOKUP(G633,プルダウン用リスト!$K$1:$M$16,2,FALSE))</f>
        <v/>
      </c>
      <c r="G633" s="70"/>
      <c r="H633" s="70"/>
      <c r="I633" s="70"/>
      <c r="J633" s="135"/>
      <c r="K633" s="136"/>
      <c r="L633" s="71"/>
      <c r="M633" s="72"/>
      <c r="N633" s="72"/>
      <c r="O633" s="264" t="str">
        <f t="shared" si="66"/>
        <v/>
      </c>
      <c r="P633" s="230">
        <f t="shared" si="67"/>
        <v>0</v>
      </c>
      <c r="Q633" s="231" t="str">
        <f t="shared" si="63"/>
        <v>×</v>
      </c>
      <c r="R633" s="231" t="str">
        <f t="shared" si="68"/>
        <v>×</v>
      </c>
      <c r="S633" s="232" t="str">
        <f t="shared" si="69"/>
        <v/>
      </c>
    </row>
    <row r="634" spans="2:19">
      <c r="B634" s="68"/>
      <c r="C634" s="57"/>
      <c r="D634" s="259" t="str">
        <f t="shared" si="64"/>
        <v/>
      </c>
      <c r="E634" s="260" t="str">
        <f t="shared" si="65"/>
        <v/>
      </c>
      <c r="F634" s="271" t="str">
        <f>IF(G634="","",VLOOKUP(G634,プルダウン用リスト!$K$1:$M$16,2,FALSE))</f>
        <v/>
      </c>
      <c r="G634" s="70"/>
      <c r="H634" s="58"/>
      <c r="I634" s="70"/>
      <c r="J634" s="135"/>
      <c r="K634" s="136"/>
      <c r="L634" s="71"/>
      <c r="M634" s="72"/>
      <c r="N634" s="72"/>
      <c r="O634" s="264" t="str">
        <f t="shared" si="66"/>
        <v/>
      </c>
      <c r="P634" s="230">
        <f t="shared" si="67"/>
        <v>0</v>
      </c>
      <c r="Q634" s="231" t="str">
        <f t="shared" si="63"/>
        <v>×</v>
      </c>
      <c r="R634" s="231" t="str">
        <f t="shared" si="68"/>
        <v>×</v>
      </c>
      <c r="S634" s="232" t="str">
        <f t="shared" si="69"/>
        <v/>
      </c>
    </row>
    <row r="635" spans="2:19">
      <c r="B635" s="68"/>
      <c r="C635" s="57"/>
      <c r="D635" s="259" t="str">
        <f t="shared" si="64"/>
        <v/>
      </c>
      <c r="E635" s="260" t="str">
        <f t="shared" si="65"/>
        <v/>
      </c>
      <c r="F635" s="271" t="str">
        <f>IF(G635="","",VLOOKUP(G635,プルダウン用リスト!$K$1:$M$16,2,FALSE))</f>
        <v/>
      </c>
      <c r="G635" s="70"/>
      <c r="H635" s="58"/>
      <c r="I635" s="70"/>
      <c r="J635" s="135"/>
      <c r="K635" s="136"/>
      <c r="L635" s="71"/>
      <c r="M635" s="72"/>
      <c r="N635" s="72"/>
      <c r="O635" s="264" t="str">
        <f t="shared" si="66"/>
        <v/>
      </c>
      <c r="P635" s="230">
        <f t="shared" si="67"/>
        <v>0</v>
      </c>
      <c r="Q635" s="231" t="str">
        <f t="shared" si="63"/>
        <v>×</v>
      </c>
      <c r="R635" s="231" t="str">
        <f t="shared" si="68"/>
        <v>×</v>
      </c>
      <c r="S635" s="232" t="str">
        <f t="shared" si="69"/>
        <v/>
      </c>
    </row>
    <row r="636" spans="2:19">
      <c r="B636" s="68"/>
      <c r="C636" s="57"/>
      <c r="D636" s="259" t="str">
        <f t="shared" si="64"/>
        <v/>
      </c>
      <c r="E636" s="260" t="str">
        <f t="shared" si="65"/>
        <v/>
      </c>
      <c r="F636" s="271" t="str">
        <f>IF(G636="","",VLOOKUP(G636,プルダウン用リスト!$K$1:$M$16,2,FALSE))</f>
        <v/>
      </c>
      <c r="G636" s="70"/>
      <c r="H636" s="70"/>
      <c r="I636" s="70"/>
      <c r="J636" s="135"/>
      <c r="K636" s="136"/>
      <c r="L636" s="71"/>
      <c r="M636" s="72"/>
      <c r="N636" s="72"/>
      <c r="O636" s="264" t="str">
        <f t="shared" si="66"/>
        <v/>
      </c>
      <c r="P636" s="230">
        <f t="shared" si="67"/>
        <v>0</v>
      </c>
      <c r="Q636" s="231" t="str">
        <f t="shared" si="63"/>
        <v>×</v>
      </c>
      <c r="R636" s="231" t="str">
        <f t="shared" si="68"/>
        <v>×</v>
      </c>
      <c r="S636" s="232" t="str">
        <f t="shared" si="69"/>
        <v/>
      </c>
    </row>
    <row r="637" spans="2:19">
      <c r="B637" s="68"/>
      <c r="C637" s="57"/>
      <c r="D637" s="259" t="str">
        <f t="shared" si="64"/>
        <v/>
      </c>
      <c r="E637" s="260" t="str">
        <f t="shared" si="65"/>
        <v/>
      </c>
      <c r="F637" s="271" t="str">
        <f>IF(G637="","",VLOOKUP(G637,プルダウン用リスト!$K$1:$M$16,2,FALSE))</f>
        <v/>
      </c>
      <c r="G637" s="70"/>
      <c r="H637" s="58"/>
      <c r="I637" s="70"/>
      <c r="J637" s="135"/>
      <c r="K637" s="136"/>
      <c r="L637" s="71"/>
      <c r="M637" s="72"/>
      <c r="N637" s="72"/>
      <c r="O637" s="264" t="str">
        <f t="shared" si="66"/>
        <v/>
      </c>
      <c r="P637" s="230">
        <f t="shared" si="67"/>
        <v>0</v>
      </c>
      <c r="Q637" s="231" t="str">
        <f t="shared" si="63"/>
        <v>×</v>
      </c>
      <c r="R637" s="231" t="str">
        <f t="shared" si="68"/>
        <v>×</v>
      </c>
      <c r="S637" s="232" t="str">
        <f t="shared" si="69"/>
        <v/>
      </c>
    </row>
    <row r="638" spans="2:19">
      <c r="B638" s="68"/>
      <c r="C638" s="57"/>
      <c r="D638" s="259" t="str">
        <f t="shared" si="64"/>
        <v/>
      </c>
      <c r="E638" s="260" t="str">
        <f t="shared" si="65"/>
        <v/>
      </c>
      <c r="F638" s="271" t="str">
        <f>IF(G638="","",VLOOKUP(G638,プルダウン用リスト!$K$1:$M$16,2,FALSE))</f>
        <v/>
      </c>
      <c r="G638" s="70"/>
      <c r="H638" s="58"/>
      <c r="I638" s="70"/>
      <c r="J638" s="135"/>
      <c r="K638" s="136"/>
      <c r="L638" s="71"/>
      <c r="M638" s="72"/>
      <c r="N638" s="72"/>
      <c r="O638" s="264" t="str">
        <f t="shared" si="66"/>
        <v/>
      </c>
      <c r="P638" s="230">
        <f t="shared" si="67"/>
        <v>0</v>
      </c>
      <c r="Q638" s="231" t="str">
        <f t="shared" si="63"/>
        <v>×</v>
      </c>
      <c r="R638" s="231" t="str">
        <f t="shared" si="68"/>
        <v>×</v>
      </c>
      <c r="S638" s="232" t="str">
        <f t="shared" si="69"/>
        <v/>
      </c>
    </row>
    <row r="639" spans="2:19">
      <c r="B639" s="68"/>
      <c r="C639" s="57"/>
      <c r="D639" s="259" t="str">
        <f t="shared" si="64"/>
        <v/>
      </c>
      <c r="E639" s="260" t="str">
        <f t="shared" si="65"/>
        <v/>
      </c>
      <c r="F639" s="271" t="str">
        <f>IF(G639="","",VLOOKUP(G639,プルダウン用リスト!$K$1:$M$16,2,FALSE))</f>
        <v/>
      </c>
      <c r="G639" s="70"/>
      <c r="H639" s="70"/>
      <c r="I639" s="70"/>
      <c r="J639" s="135"/>
      <c r="K639" s="136"/>
      <c r="L639" s="71"/>
      <c r="M639" s="72"/>
      <c r="N639" s="72"/>
      <c r="O639" s="264" t="str">
        <f t="shared" si="66"/>
        <v/>
      </c>
      <c r="P639" s="230">
        <f t="shared" si="67"/>
        <v>0</v>
      </c>
      <c r="Q639" s="231" t="str">
        <f t="shared" si="63"/>
        <v>×</v>
      </c>
      <c r="R639" s="231" t="str">
        <f t="shared" si="68"/>
        <v>×</v>
      </c>
      <c r="S639" s="232" t="str">
        <f t="shared" si="69"/>
        <v/>
      </c>
    </row>
    <row r="640" spans="2:19">
      <c r="B640" s="68"/>
      <c r="C640" s="57"/>
      <c r="D640" s="259" t="str">
        <f t="shared" si="64"/>
        <v/>
      </c>
      <c r="E640" s="260" t="str">
        <f t="shared" si="65"/>
        <v/>
      </c>
      <c r="F640" s="271" t="str">
        <f>IF(G640="","",VLOOKUP(G640,プルダウン用リスト!$K$1:$M$16,2,FALSE))</f>
        <v/>
      </c>
      <c r="G640" s="70"/>
      <c r="H640" s="58"/>
      <c r="I640" s="70"/>
      <c r="J640" s="135"/>
      <c r="K640" s="136"/>
      <c r="L640" s="71"/>
      <c r="M640" s="72"/>
      <c r="N640" s="72"/>
      <c r="O640" s="264" t="str">
        <f t="shared" si="66"/>
        <v/>
      </c>
      <c r="P640" s="230">
        <f t="shared" si="67"/>
        <v>0</v>
      </c>
      <c r="Q640" s="231" t="str">
        <f t="shared" si="63"/>
        <v>×</v>
      </c>
      <c r="R640" s="231" t="str">
        <f t="shared" si="68"/>
        <v>×</v>
      </c>
      <c r="S640" s="232" t="str">
        <f t="shared" si="69"/>
        <v/>
      </c>
    </row>
    <row r="641" spans="2:19">
      <c r="B641" s="68"/>
      <c r="C641" s="57"/>
      <c r="D641" s="259" t="str">
        <f t="shared" si="64"/>
        <v/>
      </c>
      <c r="E641" s="260" t="str">
        <f t="shared" si="65"/>
        <v/>
      </c>
      <c r="F641" s="271" t="str">
        <f>IF(G641="","",VLOOKUP(G641,プルダウン用リスト!$K$1:$M$16,2,FALSE))</f>
        <v/>
      </c>
      <c r="G641" s="70"/>
      <c r="H641" s="58"/>
      <c r="I641" s="70"/>
      <c r="J641" s="135"/>
      <c r="K641" s="136"/>
      <c r="L641" s="71"/>
      <c r="M641" s="72"/>
      <c r="N641" s="72"/>
      <c r="O641" s="264" t="str">
        <f t="shared" si="66"/>
        <v/>
      </c>
      <c r="P641" s="230">
        <f t="shared" si="67"/>
        <v>0</v>
      </c>
      <c r="Q641" s="231" t="str">
        <f t="shared" si="63"/>
        <v>×</v>
      </c>
      <c r="R641" s="231" t="str">
        <f t="shared" si="68"/>
        <v>×</v>
      </c>
      <c r="S641" s="232" t="str">
        <f t="shared" si="69"/>
        <v/>
      </c>
    </row>
    <row r="642" spans="2:19">
      <c r="B642" s="68"/>
      <c r="C642" s="69"/>
      <c r="D642" s="259" t="str">
        <f t="shared" si="64"/>
        <v/>
      </c>
      <c r="E642" s="260" t="str">
        <f t="shared" si="65"/>
        <v/>
      </c>
      <c r="F642" s="271" t="str">
        <f>IF(G642="","",VLOOKUP(G642,プルダウン用リスト!$K$1:$M$16,2,FALSE))</f>
        <v/>
      </c>
      <c r="G642" s="70"/>
      <c r="H642" s="70"/>
      <c r="I642" s="70"/>
      <c r="J642" s="135"/>
      <c r="K642" s="136"/>
      <c r="L642" s="71"/>
      <c r="M642" s="72"/>
      <c r="N642" s="72"/>
      <c r="O642" s="264" t="str">
        <f t="shared" si="66"/>
        <v/>
      </c>
      <c r="P642" s="230">
        <f t="shared" si="67"/>
        <v>0</v>
      </c>
      <c r="Q642" s="231" t="str">
        <f t="shared" si="63"/>
        <v>×</v>
      </c>
      <c r="R642" s="231" t="str">
        <f t="shared" si="68"/>
        <v>×</v>
      </c>
      <c r="S642" s="232" t="str">
        <f t="shared" si="69"/>
        <v/>
      </c>
    </row>
    <row r="643" spans="2:19">
      <c r="B643" s="68"/>
      <c r="C643" s="57"/>
      <c r="D643" s="259" t="str">
        <f t="shared" si="64"/>
        <v/>
      </c>
      <c r="E643" s="260" t="str">
        <f t="shared" si="65"/>
        <v/>
      </c>
      <c r="F643" s="271" t="str">
        <f>IF(G643="","",VLOOKUP(G643,プルダウン用リスト!$K$1:$M$16,2,FALSE))</f>
        <v/>
      </c>
      <c r="G643" s="70"/>
      <c r="H643" s="58"/>
      <c r="I643" s="70"/>
      <c r="J643" s="135"/>
      <c r="K643" s="136"/>
      <c r="L643" s="71"/>
      <c r="M643" s="72"/>
      <c r="N643" s="72"/>
      <c r="O643" s="264" t="str">
        <f t="shared" si="66"/>
        <v/>
      </c>
      <c r="P643" s="230">
        <f t="shared" si="67"/>
        <v>0</v>
      </c>
      <c r="Q643" s="231" t="str">
        <f t="shared" si="63"/>
        <v>×</v>
      </c>
      <c r="R643" s="231" t="str">
        <f t="shared" si="68"/>
        <v>×</v>
      </c>
      <c r="S643" s="232" t="str">
        <f t="shared" si="69"/>
        <v/>
      </c>
    </row>
    <row r="644" spans="2:19">
      <c r="B644" s="68"/>
      <c r="C644" s="57"/>
      <c r="D644" s="259" t="str">
        <f t="shared" si="64"/>
        <v/>
      </c>
      <c r="E644" s="260" t="str">
        <f t="shared" si="65"/>
        <v/>
      </c>
      <c r="F644" s="271" t="str">
        <f>IF(G644="","",VLOOKUP(G644,プルダウン用リスト!$K$1:$M$16,2,FALSE))</f>
        <v/>
      </c>
      <c r="G644" s="70"/>
      <c r="H644" s="58"/>
      <c r="I644" s="70"/>
      <c r="J644" s="135"/>
      <c r="K644" s="136"/>
      <c r="L644" s="71"/>
      <c r="M644" s="72"/>
      <c r="N644" s="72"/>
      <c r="O644" s="264" t="str">
        <f t="shared" si="66"/>
        <v/>
      </c>
      <c r="P644" s="230">
        <f t="shared" si="67"/>
        <v>0</v>
      </c>
      <c r="Q644" s="231" t="str">
        <f t="shared" si="63"/>
        <v>×</v>
      </c>
      <c r="R644" s="231" t="str">
        <f t="shared" si="68"/>
        <v>×</v>
      </c>
      <c r="S644" s="232" t="str">
        <f t="shared" si="69"/>
        <v/>
      </c>
    </row>
    <row r="645" spans="2:19">
      <c r="B645" s="68"/>
      <c r="C645" s="57"/>
      <c r="D645" s="259" t="str">
        <f t="shared" si="64"/>
        <v/>
      </c>
      <c r="E645" s="260" t="str">
        <f t="shared" si="65"/>
        <v/>
      </c>
      <c r="F645" s="271" t="str">
        <f>IF(G645="","",VLOOKUP(G645,プルダウン用リスト!$K$1:$M$16,2,FALSE))</f>
        <v/>
      </c>
      <c r="G645" s="70"/>
      <c r="H645" s="70"/>
      <c r="I645" s="70"/>
      <c r="J645" s="135"/>
      <c r="K645" s="136"/>
      <c r="L645" s="71"/>
      <c r="M645" s="72"/>
      <c r="N645" s="72"/>
      <c r="O645" s="264" t="str">
        <f t="shared" si="66"/>
        <v/>
      </c>
      <c r="P645" s="230">
        <f t="shared" si="67"/>
        <v>0</v>
      </c>
      <c r="Q645" s="231" t="str">
        <f t="shared" si="63"/>
        <v>×</v>
      </c>
      <c r="R645" s="231" t="str">
        <f t="shared" si="68"/>
        <v>×</v>
      </c>
      <c r="S645" s="232" t="str">
        <f t="shared" si="69"/>
        <v/>
      </c>
    </row>
    <row r="646" spans="2:19">
      <c r="B646" s="68"/>
      <c r="C646" s="57"/>
      <c r="D646" s="259" t="str">
        <f t="shared" si="64"/>
        <v/>
      </c>
      <c r="E646" s="260" t="str">
        <f t="shared" si="65"/>
        <v/>
      </c>
      <c r="F646" s="271" t="str">
        <f>IF(G646="","",VLOOKUP(G646,プルダウン用リスト!$K$1:$M$16,2,FALSE))</f>
        <v/>
      </c>
      <c r="G646" s="70"/>
      <c r="H646" s="58"/>
      <c r="I646" s="70"/>
      <c r="J646" s="135"/>
      <c r="K646" s="136"/>
      <c r="L646" s="71"/>
      <c r="M646" s="72"/>
      <c r="N646" s="72"/>
      <c r="O646" s="264" t="str">
        <f t="shared" si="66"/>
        <v/>
      </c>
      <c r="P646" s="230">
        <f t="shared" si="67"/>
        <v>0</v>
      </c>
      <c r="Q646" s="231" t="str">
        <f t="shared" ref="Q646:Q709" si="70">IF(G646="旅費","〇","×")</f>
        <v>×</v>
      </c>
      <c r="R646" s="231" t="str">
        <f t="shared" si="68"/>
        <v>×</v>
      </c>
      <c r="S646" s="232" t="str">
        <f t="shared" si="69"/>
        <v/>
      </c>
    </row>
    <row r="647" spans="2:19">
      <c r="B647" s="68"/>
      <c r="C647" s="57"/>
      <c r="D647" s="259" t="str">
        <f t="shared" ref="D647:D710" si="71">IF(E647="","",IF(E647="謝金","01.",IF(E647="旅費","02.",IF(E647="その他","04.","03."))))</f>
        <v/>
      </c>
      <c r="E647" s="260" t="str">
        <f t="shared" ref="E647:E710" si="72">IF(G647="","",IF(OR(G647="謝金（内部）",G647="謝金（外部）"),"謝金",IF(G647="旅費","旅費",IF(G647="対象外経費","その他","所費"))))</f>
        <v/>
      </c>
      <c r="F647" s="271" t="str">
        <f>IF(G647="","",VLOOKUP(G647,プルダウン用リスト!$K$1:$M$16,2,FALSE))</f>
        <v/>
      </c>
      <c r="G647" s="70"/>
      <c r="H647" s="58"/>
      <c r="I647" s="70"/>
      <c r="J647" s="135"/>
      <c r="K647" s="136"/>
      <c r="L647" s="71"/>
      <c r="M647" s="72"/>
      <c r="N647" s="72"/>
      <c r="O647" s="264" t="str">
        <f t="shared" ref="O647:O710" si="73">IF(G647="対象外経費",M647,IF(N647="","",M647-N647))</f>
        <v/>
      </c>
      <c r="P647" s="230">
        <f t="shared" si="67"/>
        <v>0</v>
      </c>
      <c r="Q647" s="231" t="str">
        <f t="shared" si="70"/>
        <v>×</v>
      </c>
      <c r="R647" s="231" t="str">
        <f t="shared" si="68"/>
        <v>×</v>
      </c>
      <c r="S647" s="232" t="str">
        <f t="shared" si="69"/>
        <v/>
      </c>
    </row>
    <row r="648" spans="2:19">
      <c r="B648" s="68"/>
      <c r="C648" s="57"/>
      <c r="D648" s="259" t="str">
        <f t="shared" si="71"/>
        <v/>
      </c>
      <c r="E648" s="260" t="str">
        <f t="shared" si="72"/>
        <v/>
      </c>
      <c r="F648" s="271" t="str">
        <f>IF(G648="","",VLOOKUP(G648,プルダウン用リスト!$K$1:$M$16,2,FALSE))</f>
        <v/>
      </c>
      <c r="G648" s="70"/>
      <c r="H648" s="70"/>
      <c r="I648" s="70"/>
      <c r="J648" s="135"/>
      <c r="K648" s="136"/>
      <c r="L648" s="71"/>
      <c r="M648" s="72"/>
      <c r="N648" s="72"/>
      <c r="O648" s="264" t="str">
        <f t="shared" si="73"/>
        <v/>
      </c>
      <c r="P648" s="230">
        <f t="shared" ref="P648:P711" si="74">COUNTA(B648,C648,G648,H648,I648,L648,M648,J648,K648,N648)</f>
        <v>0</v>
      </c>
      <c r="Q648" s="231" t="str">
        <f t="shared" si="70"/>
        <v>×</v>
      </c>
      <c r="R648" s="231" t="str">
        <f t="shared" si="68"/>
        <v>×</v>
      </c>
      <c r="S648" s="232" t="str">
        <f t="shared" si="69"/>
        <v/>
      </c>
    </row>
    <row r="649" spans="2:19">
      <c r="B649" s="68"/>
      <c r="C649" s="57"/>
      <c r="D649" s="259" t="str">
        <f t="shared" si="71"/>
        <v/>
      </c>
      <c r="E649" s="260" t="str">
        <f t="shared" si="72"/>
        <v/>
      </c>
      <c r="F649" s="271" t="str">
        <f>IF(G649="","",VLOOKUP(G649,プルダウン用リスト!$K$1:$M$16,2,FALSE))</f>
        <v/>
      </c>
      <c r="G649" s="70"/>
      <c r="H649" s="58"/>
      <c r="I649" s="70"/>
      <c r="J649" s="135"/>
      <c r="K649" s="136"/>
      <c r="L649" s="71"/>
      <c r="M649" s="72"/>
      <c r="N649" s="72"/>
      <c r="O649" s="264" t="str">
        <f t="shared" si="73"/>
        <v/>
      </c>
      <c r="P649" s="230">
        <f t="shared" si="74"/>
        <v>0</v>
      </c>
      <c r="Q649" s="231" t="str">
        <f t="shared" si="70"/>
        <v>×</v>
      </c>
      <c r="R649" s="231" t="str">
        <f t="shared" ref="R649:R712" si="75">IF(E649="謝金","〇","×")</f>
        <v>×</v>
      </c>
      <c r="S649" s="232" t="str">
        <f t="shared" ref="S649:S712" si="76">_xlfn.IFS(P649=0,"",AND(G649="対象外経費",P649=7),"OK",P649&lt;=7,"ピンク色のセルを全て入力してください",P649=9,"OK",Q649="〇","ピンク色のセルを全て入力してください",R649="〇","ピンク色のセルを全て入力してください",P649=8,"OK")</f>
        <v/>
      </c>
    </row>
    <row r="650" spans="2:19">
      <c r="B650" s="68"/>
      <c r="C650" s="57"/>
      <c r="D650" s="259" t="str">
        <f t="shared" si="71"/>
        <v/>
      </c>
      <c r="E650" s="260" t="str">
        <f t="shared" si="72"/>
        <v/>
      </c>
      <c r="F650" s="271" t="str">
        <f>IF(G650="","",VLOOKUP(G650,プルダウン用リスト!$K$1:$M$16,2,FALSE))</f>
        <v/>
      </c>
      <c r="G650" s="70"/>
      <c r="H650" s="58"/>
      <c r="I650" s="70"/>
      <c r="J650" s="135"/>
      <c r="K650" s="136"/>
      <c r="L650" s="71"/>
      <c r="M650" s="72"/>
      <c r="N650" s="72"/>
      <c r="O650" s="264" t="str">
        <f t="shared" si="73"/>
        <v/>
      </c>
      <c r="P650" s="230">
        <f t="shared" si="74"/>
        <v>0</v>
      </c>
      <c r="Q650" s="231" t="str">
        <f t="shared" si="70"/>
        <v>×</v>
      </c>
      <c r="R650" s="231" t="str">
        <f t="shared" si="75"/>
        <v>×</v>
      </c>
      <c r="S650" s="232" t="str">
        <f t="shared" si="76"/>
        <v/>
      </c>
    </row>
    <row r="651" spans="2:19">
      <c r="B651" s="68"/>
      <c r="C651" s="57"/>
      <c r="D651" s="259" t="str">
        <f t="shared" si="71"/>
        <v/>
      </c>
      <c r="E651" s="260" t="str">
        <f t="shared" si="72"/>
        <v/>
      </c>
      <c r="F651" s="271" t="str">
        <f>IF(G651="","",VLOOKUP(G651,プルダウン用リスト!$K$1:$M$16,2,FALSE))</f>
        <v/>
      </c>
      <c r="G651" s="70"/>
      <c r="H651" s="70"/>
      <c r="I651" s="70"/>
      <c r="J651" s="135"/>
      <c r="K651" s="136"/>
      <c r="L651" s="71"/>
      <c r="M651" s="72"/>
      <c r="N651" s="72"/>
      <c r="O651" s="264" t="str">
        <f t="shared" si="73"/>
        <v/>
      </c>
      <c r="P651" s="230">
        <f t="shared" si="74"/>
        <v>0</v>
      </c>
      <c r="Q651" s="231" t="str">
        <f t="shared" si="70"/>
        <v>×</v>
      </c>
      <c r="R651" s="231" t="str">
        <f t="shared" si="75"/>
        <v>×</v>
      </c>
      <c r="S651" s="232" t="str">
        <f t="shared" si="76"/>
        <v/>
      </c>
    </row>
    <row r="652" spans="2:19">
      <c r="B652" s="68"/>
      <c r="C652" s="57"/>
      <c r="D652" s="259" t="str">
        <f t="shared" si="71"/>
        <v/>
      </c>
      <c r="E652" s="260" t="str">
        <f t="shared" si="72"/>
        <v/>
      </c>
      <c r="F652" s="271" t="str">
        <f>IF(G652="","",VLOOKUP(G652,プルダウン用リスト!$K$1:$M$16,2,FALSE))</f>
        <v/>
      </c>
      <c r="G652" s="70"/>
      <c r="H652" s="58"/>
      <c r="I652" s="70"/>
      <c r="J652" s="135"/>
      <c r="K652" s="136"/>
      <c r="L652" s="71"/>
      <c r="M652" s="72"/>
      <c r="N652" s="72"/>
      <c r="O652" s="264" t="str">
        <f t="shared" si="73"/>
        <v/>
      </c>
      <c r="P652" s="230">
        <f t="shared" si="74"/>
        <v>0</v>
      </c>
      <c r="Q652" s="231" t="str">
        <f t="shared" si="70"/>
        <v>×</v>
      </c>
      <c r="R652" s="231" t="str">
        <f t="shared" si="75"/>
        <v>×</v>
      </c>
      <c r="S652" s="232" t="str">
        <f t="shared" si="76"/>
        <v/>
      </c>
    </row>
    <row r="653" spans="2:19">
      <c r="B653" s="68"/>
      <c r="C653" s="57"/>
      <c r="D653" s="259" t="str">
        <f t="shared" si="71"/>
        <v/>
      </c>
      <c r="E653" s="260" t="str">
        <f t="shared" si="72"/>
        <v/>
      </c>
      <c r="F653" s="271" t="str">
        <f>IF(G653="","",VLOOKUP(G653,プルダウン用リスト!$K$1:$M$16,2,FALSE))</f>
        <v/>
      </c>
      <c r="G653" s="70"/>
      <c r="H653" s="58"/>
      <c r="I653" s="70"/>
      <c r="J653" s="135"/>
      <c r="K653" s="136"/>
      <c r="L653" s="71"/>
      <c r="M653" s="72"/>
      <c r="N653" s="72"/>
      <c r="O653" s="264" t="str">
        <f t="shared" si="73"/>
        <v/>
      </c>
      <c r="P653" s="230">
        <f t="shared" si="74"/>
        <v>0</v>
      </c>
      <c r="Q653" s="231" t="str">
        <f t="shared" si="70"/>
        <v>×</v>
      </c>
      <c r="R653" s="231" t="str">
        <f t="shared" si="75"/>
        <v>×</v>
      </c>
      <c r="S653" s="232" t="str">
        <f t="shared" si="76"/>
        <v/>
      </c>
    </row>
    <row r="654" spans="2:19">
      <c r="B654" s="68"/>
      <c r="C654" s="69"/>
      <c r="D654" s="259" t="str">
        <f t="shared" si="71"/>
        <v/>
      </c>
      <c r="E654" s="260" t="str">
        <f t="shared" si="72"/>
        <v/>
      </c>
      <c r="F654" s="271" t="str">
        <f>IF(G654="","",VLOOKUP(G654,プルダウン用リスト!$K$1:$M$16,2,FALSE))</f>
        <v/>
      </c>
      <c r="G654" s="70"/>
      <c r="H654" s="70"/>
      <c r="I654" s="70"/>
      <c r="J654" s="135"/>
      <c r="K654" s="136"/>
      <c r="L654" s="71"/>
      <c r="M654" s="72"/>
      <c r="N654" s="72"/>
      <c r="O654" s="264" t="str">
        <f t="shared" si="73"/>
        <v/>
      </c>
      <c r="P654" s="230">
        <f t="shared" si="74"/>
        <v>0</v>
      </c>
      <c r="Q654" s="231" t="str">
        <f t="shared" si="70"/>
        <v>×</v>
      </c>
      <c r="R654" s="231" t="str">
        <f t="shared" si="75"/>
        <v>×</v>
      </c>
      <c r="S654" s="232" t="str">
        <f t="shared" si="76"/>
        <v/>
      </c>
    </row>
    <row r="655" spans="2:19">
      <c r="B655" s="68"/>
      <c r="C655" s="57"/>
      <c r="D655" s="259" t="str">
        <f t="shared" si="71"/>
        <v/>
      </c>
      <c r="E655" s="260" t="str">
        <f t="shared" si="72"/>
        <v/>
      </c>
      <c r="F655" s="271" t="str">
        <f>IF(G655="","",VLOOKUP(G655,プルダウン用リスト!$K$1:$M$16,2,FALSE))</f>
        <v/>
      </c>
      <c r="G655" s="70"/>
      <c r="H655" s="58"/>
      <c r="I655" s="70"/>
      <c r="J655" s="135"/>
      <c r="K655" s="136"/>
      <c r="L655" s="71"/>
      <c r="M655" s="72"/>
      <c r="N655" s="72"/>
      <c r="O655" s="264" t="str">
        <f t="shared" si="73"/>
        <v/>
      </c>
      <c r="P655" s="230">
        <f t="shared" si="74"/>
        <v>0</v>
      </c>
      <c r="Q655" s="231" t="str">
        <f t="shared" si="70"/>
        <v>×</v>
      </c>
      <c r="R655" s="231" t="str">
        <f t="shared" si="75"/>
        <v>×</v>
      </c>
      <c r="S655" s="232" t="str">
        <f t="shared" si="76"/>
        <v/>
      </c>
    </row>
    <row r="656" spans="2:19">
      <c r="B656" s="68"/>
      <c r="C656" s="57"/>
      <c r="D656" s="259" t="str">
        <f t="shared" si="71"/>
        <v/>
      </c>
      <c r="E656" s="260" t="str">
        <f t="shared" si="72"/>
        <v/>
      </c>
      <c r="F656" s="271" t="str">
        <f>IF(G656="","",VLOOKUP(G656,プルダウン用リスト!$K$1:$M$16,2,FALSE))</f>
        <v/>
      </c>
      <c r="G656" s="70"/>
      <c r="H656" s="58"/>
      <c r="I656" s="70"/>
      <c r="J656" s="135"/>
      <c r="K656" s="136"/>
      <c r="L656" s="71"/>
      <c r="M656" s="72"/>
      <c r="N656" s="72"/>
      <c r="O656" s="264" t="str">
        <f t="shared" si="73"/>
        <v/>
      </c>
      <c r="P656" s="230">
        <f t="shared" si="74"/>
        <v>0</v>
      </c>
      <c r="Q656" s="231" t="str">
        <f t="shared" si="70"/>
        <v>×</v>
      </c>
      <c r="R656" s="231" t="str">
        <f t="shared" si="75"/>
        <v>×</v>
      </c>
      <c r="S656" s="232" t="str">
        <f t="shared" si="76"/>
        <v/>
      </c>
    </row>
    <row r="657" spans="2:19">
      <c r="B657" s="68"/>
      <c r="C657" s="57"/>
      <c r="D657" s="259" t="str">
        <f t="shared" si="71"/>
        <v/>
      </c>
      <c r="E657" s="260" t="str">
        <f t="shared" si="72"/>
        <v/>
      </c>
      <c r="F657" s="271" t="str">
        <f>IF(G657="","",VLOOKUP(G657,プルダウン用リスト!$K$1:$M$16,2,FALSE))</f>
        <v/>
      </c>
      <c r="G657" s="70"/>
      <c r="H657" s="70"/>
      <c r="I657" s="70"/>
      <c r="J657" s="135"/>
      <c r="K657" s="136"/>
      <c r="L657" s="71"/>
      <c r="M657" s="72"/>
      <c r="N657" s="72"/>
      <c r="O657" s="264" t="str">
        <f t="shared" si="73"/>
        <v/>
      </c>
      <c r="P657" s="230">
        <f t="shared" si="74"/>
        <v>0</v>
      </c>
      <c r="Q657" s="231" t="str">
        <f t="shared" si="70"/>
        <v>×</v>
      </c>
      <c r="R657" s="231" t="str">
        <f t="shared" si="75"/>
        <v>×</v>
      </c>
      <c r="S657" s="232" t="str">
        <f t="shared" si="76"/>
        <v/>
      </c>
    </row>
    <row r="658" spans="2:19">
      <c r="B658" s="68"/>
      <c r="C658" s="57"/>
      <c r="D658" s="259" t="str">
        <f t="shared" si="71"/>
        <v/>
      </c>
      <c r="E658" s="260" t="str">
        <f t="shared" si="72"/>
        <v/>
      </c>
      <c r="F658" s="271" t="str">
        <f>IF(G658="","",VLOOKUP(G658,プルダウン用リスト!$K$1:$M$16,2,FALSE))</f>
        <v/>
      </c>
      <c r="G658" s="70"/>
      <c r="H658" s="58"/>
      <c r="I658" s="70"/>
      <c r="J658" s="135"/>
      <c r="K658" s="136"/>
      <c r="L658" s="71"/>
      <c r="M658" s="72"/>
      <c r="N658" s="72"/>
      <c r="O658" s="264" t="str">
        <f t="shared" si="73"/>
        <v/>
      </c>
      <c r="P658" s="230">
        <f t="shared" si="74"/>
        <v>0</v>
      </c>
      <c r="Q658" s="231" t="str">
        <f t="shared" si="70"/>
        <v>×</v>
      </c>
      <c r="R658" s="231" t="str">
        <f t="shared" si="75"/>
        <v>×</v>
      </c>
      <c r="S658" s="232" t="str">
        <f t="shared" si="76"/>
        <v/>
      </c>
    </row>
    <row r="659" spans="2:19">
      <c r="B659" s="68"/>
      <c r="C659" s="57"/>
      <c r="D659" s="259" t="str">
        <f t="shared" si="71"/>
        <v/>
      </c>
      <c r="E659" s="260" t="str">
        <f t="shared" si="72"/>
        <v/>
      </c>
      <c r="F659" s="271" t="str">
        <f>IF(G659="","",VLOOKUP(G659,プルダウン用リスト!$K$1:$M$16,2,FALSE))</f>
        <v/>
      </c>
      <c r="G659" s="70"/>
      <c r="H659" s="58"/>
      <c r="I659" s="70"/>
      <c r="J659" s="135"/>
      <c r="K659" s="136"/>
      <c r="L659" s="71"/>
      <c r="M659" s="72"/>
      <c r="N659" s="72"/>
      <c r="O659" s="264" t="str">
        <f t="shared" si="73"/>
        <v/>
      </c>
      <c r="P659" s="230">
        <f t="shared" si="74"/>
        <v>0</v>
      </c>
      <c r="Q659" s="231" t="str">
        <f t="shared" si="70"/>
        <v>×</v>
      </c>
      <c r="R659" s="231" t="str">
        <f t="shared" si="75"/>
        <v>×</v>
      </c>
      <c r="S659" s="232" t="str">
        <f t="shared" si="76"/>
        <v/>
      </c>
    </row>
    <row r="660" spans="2:19">
      <c r="B660" s="68"/>
      <c r="C660" s="57"/>
      <c r="D660" s="259" t="str">
        <f t="shared" si="71"/>
        <v/>
      </c>
      <c r="E660" s="260" t="str">
        <f t="shared" si="72"/>
        <v/>
      </c>
      <c r="F660" s="271" t="str">
        <f>IF(G660="","",VLOOKUP(G660,プルダウン用リスト!$K$1:$M$16,2,FALSE))</f>
        <v/>
      </c>
      <c r="G660" s="70"/>
      <c r="H660" s="70"/>
      <c r="I660" s="70"/>
      <c r="J660" s="135"/>
      <c r="K660" s="136"/>
      <c r="L660" s="71"/>
      <c r="M660" s="72"/>
      <c r="N660" s="72"/>
      <c r="O660" s="264" t="str">
        <f t="shared" si="73"/>
        <v/>
      </c>
      <c r="P660" s="230">
        <f t="shared" si="74"/>
        <v>0</v>
      </c>
      <c r="Q660" s="231" t="str">
        <f t="shared" si="70"/>
        <v>×</v>
      </c>
      <c r="R660" s="231" t="str">
        <f t="shared" si="75"/>
        <v>×</v>
      </c>
      <c r="S660" s="232" t="str">
        <f t="shared" si="76"/>
        <v/>
      </c>
    </row>
    <row r="661" spans="2:19">
      <c r="B661" s="68"/>
      <c r="C661" s="57"/>
      <c r="D661" s="259" t="str">
        <f t="shared" si="71"/>
        <v/>
      </c>
      <c r="E661" s="260" t="str">
        <f t="shared" si="72"/>
        <v/>
      </c>
      <c r="F661" s="271" t="str">
        <f>IF(G661="","",VLOOKUP(G661,プルダウン用リスト!$K$1:$M$16,2,FALSE))</f>
        <v/>
      </c>
      <c r="G661" s="70"/>
      <c r="H661" s="58"/>
      <c r="I661" s="70"/>
      <c r="J661" s="135"/>
      <c r="K661" s="136"/>
      <c r="L661" s="71"/>
      <c r="M661" s="72"/>
      <c r="N661" s="72"/>
      <c r="O661" s="264" t="str">
        <f t="shared" si="73"/>
        <v/>
      </c>
      <c r="P661" s="230">
        <f t="shared" si="74"/>
        <v>0</v>
      </c>
      <c r="Q661" s="231" t="str">
        <f t="shared" si="70"/>
        <v>×</v>
      </c>
      <c r="R661" s="231" t="str">
        <f t="shared" si="75"/>
        <v>×</v>
      </c>
      <c r="S661" s="232" t="str">
        <f t="shared" si="76"/>
        <v/>
      </c>
    </row>
    <row r="662" spans="2:19">
      <c r="B662" s="68"/>
      <c r="C662" s="57"/>
      <c r="D662" s="259" t="str">
        <f t="shared" si="71"/>
        <v/>
      </c>
      <c r="E662" s="260" t="str">
        <f t="shared" si="72"/>
        <v/>
      </c>
      <c r="F662" s="271" t="str">
        <f>IF(G662="","",VLOOKUP(G662,プルダウン用リスト!$K$1:$M$16,2,FALSE))</f>
        <v/>
      </c>
      <c r="G662" s="70"/>
      <c r="H662" s="58"/>
      <c r="I662" s="70"/>
      <c r="J662" s="135"/>
      <c r="K662" s="136"/>
      <c r="L662" s="71"/>
      <c r="M662" s="72"/>
      <c r="N662" s="72"/>
      <c r="O662" s="264" t="str">
        <f t="shared" si="73"/>
        <v/>
      </c>
      <c r="P662" s="230">
        <f t="shared" si="74"/>
        <v>0</v>
      </c>
      <c r="Q662" s="231" t="str">
        <f t="shared" si="70"/>
        <v>×</v>
      </c>
      <c r="R662" s="231" t="str">
        <f t="shared" si="75"/>
        <v>×</v>
      </c>
      <c r="S662" s="232" t="str">
        <f t="shared" si="76"/>
        <v/>
      </c>
    </row>
    <row r="663" spans="2:19">
      <c r="B663" s="68"/>
      <c r="C663" s="57"/>
      <c r="D663" s="259" t="str">
        <f t="shared" si="71"/>
        <v/>
      </c>
      <c r="E663" s="260" t="str">
        <f t="shared" si="72"/>
        <v/>
      </c>
      <c r="F663" s="271" t="str">
        <f>IF(G663="","",VLOOKUP(G663,プルダウン用リスト!$K$1:$M$16,2,FALSE))</f>
        <v/>
      </c>
      <c r="G663" s="70"/>
      <c r="H663" s="70"/>
      <c r="I663" s="70"/>
      <c r="J663" s="135"/>
      <c r="K663" s="136"/>
      <c r="L663" s="71"/>
      <c r="M663" s="72"/>
      <c r="N663" s="72"/>
      <c r="O663" s="264" t="str">
        <f t="shared" si="73"/>
        <v/>
      </c>
      <c r="P663" s="230">
        <f t="shared" si="74"/>
        <v>0</v>
      </c>
      <c r="Q663" s="231" t="str">
        <f t="shared" si="70"/>
        <v>×</v>
      </c>
      <c r="R663" s="231" t="str">
        <f t="shared" si="75"/>
        <v>×</v>
      </c>
      <c r="S663" s="232" t="str">
        <f t="shared" si="76"/>
        <v/>
      </c>
    </row>
    <row r="664" spans="2:19">
      <c r="B664" s="68"/>
      <c r="C664" s="57"/>
      <c r="D664" s="259" t="str">
        <f t="shared" si="71"/>
        <v/>
      </c>
      <c r="E664" s="260" t="str">
        <f t="shared" si="72"/>
        <v/>
      </c>
      <c r="F664" s="271" t="str">
        <f>IF(G664="","",VLOOKUP(G664,プルダウン用リスト!$K$1:$M$16,2,FALSE))</f>
        <v/>
      </c>
      <c r="G664" s="70"/>
      <c r="H664" s="58"/>
      <c r="I664" s="70"/>
      <c r="J664" s="135"/>
      <c r="K664" s="136"/>
      <c r="L664" s="71"/>
      <c r="M664" s="72"/>
      <c r="N664" s="72"/>
      <c r="O664" s="264" t="str">
        <f t="shared" si="73"/>
        <v/>
      </c>
      <c r="P664" s="230">
        <f t="shared" si="74"/>
        <v>0</v>
      </c>
      <c r="Q664" s="231" t="str">
        <f t="shared" si="70"/>
        <v>×</v>
      </c>
      <c r="R664" s="231" t="str">
        <f t="shared" si="75"/>
        <v>×</v>
      </c>
      <c r="S664" s="232" t="str">
        <f t="shared" si="76"/>
        <v/>
      </c>
    </row>
    <row r="665" spans="2:19">
      <c r="B665" s="68"/>
      <c r="C665" s="57"/>
      <c r="D665" s="259" t="str">
        <f t="shared" si="71"/>
        <v/>
      </c>
      <c r="E665" s="260" t="str">
        <f t="shared" si="72"/>
        <v/>
      </c>
      <c r="F665" s="271" t="str">
        <f>IF(G665="","",VLOOKUP(G665,プルダウン用リスト!$K$1:$M$16,2,FALSE))</f>
        <v/>
      </c>
      <c r="G665" s="70"/>
      <c r="H665" s="58"/>
      <c r="I665" s="70"/>
      <c r="J665" s="135"/>
      <c r="K665" s="136"/>
      <c r="L665" s="71"/>
      <c r="M665" s="72"/>
      <c r="N665" s="72"/>
      <c r="O665" s="264" t="str">
        <f t="shared" si="73"/>
        <v/>
      </c>
      <c r="P665" s="230">
        <f t="shared" si="74"/>
        <v>0</v>
      </c>
      <c r="Q665" s="231" t="str">
        <f t="shared" si="70"/>
        <v>×</v>
      </c>
      <c r="R665" s="231" t="str">
        <f t="shared" si="75"/>
        <v>×</v>
      </c>
      <c r="S665" s="232" t="str">
        <f t="shared" si="76"/>
        <v/>
      </c>
    </row>
    <row r="666" spans="2:19">
      <c r="B666" s="68"/>
      <c r="C666" s="69"/>
      <c r="D666" s="259" t="str">
        <f t="shared" si="71"/>
        <v/>
      </c>
      <c r="E666" s="260" t="str">
        <f t="shared" si="72"/>
        <v/>
      </c>
      <c r="F666" s="271" t="str">
        <f>IF(G666="","",VLOOKUP(G666,プルダウン用リスト!$K$1:$M$16,2,FALSE))</f>
        <v/>
      </c>
      <c r="G666" s="70"/>
      <c r="H666" s="70"/>
      <c r="I666" s="70"/>
      <c r="J666" s="135"/>
      <c r="K666" s="136"/>
      <c r="L666" s="71"/>
      <c r="M666" s="72"/>
      <c r="N666" s="72"/>
      <c r="O666" s="264" t="str">
        <f t="shared" si="73"/>
        <v/>
      </c>
      <c r="P666" s="230">
        <f t="shared" si="74"/>
        <v>0</v>
      </c>
      <c r="Q666" s="231" t="str">
        <f t="shared" si="70"/>
        <v>×</v>
      </c>
      <c r="R666" s="231" t="str">
        <f t="shared" si="75"/>
        <v>×</v>
      </c>
      <c r="S666" s="232" t="str">
        <f t="shared" si="76"/>
        <v/>
      </c>
    </row>
    <row r="667" spans="2:19">
      <c r="B667" s="68"/>
      <c r="C667" s="57"/>
      <c r="D667" s="259" t="str">
        <f t="shared" si="71"/>
        <v/>
      </c>
      <c r="E667" s="260" t="str">
        <f t="shared" si="72"/>
        <v/>
      </c>
      <c r="F667" s="271" t="str">
        <f>IF(G667="","",VLOOKUP(G667,プルダウン用リスト!$K$1:$M$16,2,FALSE))</f>
        <v/>
      </c>
      <c r="G667" s="70"/>
      <c r="H667" s="58"/>
      <c r="I667" s="70"/>
      <c r="J667" s="135"/>
      <c r="K667" s="136"/>
      <c r="L667" s="71"/>
      <c r="M667" s="72"/>
      <c r="N667" s="72"/>
      <c r="O667" s="264" t="str">
        <f t="shared" si="73"/>
        <v/>
      </c>
      <c r="P667" s="230">
        <f t="shared" si="74"/>
        <v>0</v>
      </c>
      <c r="Q667" s="231" t="str">
        <f t="shared" si="70"/>
        <v>×</v>
      </c>
      <c r="R667" s="231" t="str">
        <f t="shared" si="75"/>
        <v>×</v>
      </c>
      <c r="S667" s="232" t="str">
        <f t="shared" si="76"/>
        <v/>
      </c>
    </row>
    <row r="668" spans="2:19">
      <c r="B668" s="68"/>
      <c r="C668" s="57"/>
      <c r="D668" s="259" t="str">
        <f t="shared" si="71"/>
        <v/>
      </c>
      <c r="E668" s="260" t="str">
        <f t="shared" si="72"/>
        <v/>
      </c>
      <c r="F668" s="271" t="str">
        <f>IF(G668="","",VLOOKUP(G668,プルダウン用リスト!$K$1:$M$16,2,FALSE))</f>
        <v/>
      </c>
      <c r="G668" s="70"/>
      <c r="H668" s="58"/>
      <c r="I668" s="70"/>
      <c r="J668" s="135"/>
      <c r="K668" s="136"/>
      <c r="L668" s="71"/>
      <c r="M668" s="72"/>
      <c r="N668" s="72"/>
      <c r="O668" s="264" t="str">
        <f t="shared" si="73"/>
        <v/>
      </c>
      <c r="P668" s="230">
        <f t="shared" si="74"/>
        <v>0</v>
      </c>
      <c r="Q668" s="231" t="str">
        <f t="shared" si="70"/>
        <v>×</v>
      </c>
      <c r="R668" s="231" t="str">
        <f t="shared" si="75"/>
        <v>×</v>
      </c>
      <c r="S668" s="232" t="str">
        <f t="shared" si="76"/>
        <v/>
      </c>
    </row>
    <row r="669" spans="2:19">
      <c r="B669" s="68"/>
      <c r="C669" s="57"/>
      <c r="D669" s="259" t="str">
        <f t="shared" si="71"/>
        <v/>
      </c>
      <c r="E669" s="260" t="str">
        <f t="shared" si="72"/>
        <v/>
      </c>
      <c r="F669" s="271" t="str">
        <f>IF(G669="","",VLOOKUP(G669,プルダウン用リスト!$K$1:$M$16,2,FALSE))</f>
        <v/>
      </c>
      <c r="G669" s="70"/>
      <c r="H669" s="70"/>
      <c r="I669" s="70"/>
      <c r="J669" s="135"/>
      <c r="K669" s="136"/>
      <c r="L669" s="71"/>
      <c r="M669" s="72"/>
      <c r="N669" s="72"/>
      <c r="O669" s="264" t="str">
        <f t="shared" si="73"/>
        <v/>
      </c>
      <c r="P669" s="230">
        <f t="shared" si="74"/>
        <v>0</v>
      </c>
      <c r="Q669" s="231" t="str">
        <f t="shared" si="70"/>
        <v>×</v>
      </c>
      <c r="R669" s="231" t="str">
        <f t="shared" si="75"/>
        <v>×</v>
      </c>
      <c r="S669" s="232" t="str">
        <f t="shared" si="76"/>
        <v/>
      </c>
    </row>
    <row r="670" spans="2:19">
      <c r="B670" s="68"/>
      <c r="C670" s="57"/>
      <c r="D670" s="259" t="str">
        <f t="shared" si="71"/>
        <v/>
      </c>
      <c r="E670" s="260" t="str">
        <f t="shared" si="72"/>
        <v/>
      </c>
      <c r="F670" s="271" t="str">
        <f>IF(G670="","",VLOOKUP(G670,プルダウン用リスト!$K$1:$M$16,2,FALSE))</f>
        <v/>
      </c>
      <c r="G670" s="70"/>
      <c r="H670" s="58"/>
      <c r="I670" s="70"/>
      <c r="J670" s="135"/>
      <c r="K670" s="136"/>
      <c r="L670" s="71"/>
      <c r="M670" s="72"/>
      <c r="N670" s="72"/>
      <c r="O670" s="264" t="str">
        <f t="shared" si="73"/>
        <v/>
      </c>
      <c r="P670" s="230">
        <f t="shared" si="74"/>
        <v>0</v>
      </c>
      <c r="Q670" s="231" t="str">
        <f t="shared" si="70"/>
        <v>×</v>
      </c>
      <c r="R670" s="231" t="str">
        <f t="shared" si="75"/>
        <v>×</v>
      </c>
      <c r="S670" s="232" t="str">
        <f t="shared" si="76"/>
        <v/>
      </c>
    </row>
    <row r="671" spans="2:19">
      <c r="B671" s="68"/>
      <c r="C671" s="57"/>
      <c r="D671" s="259" t="str">
        <f t="shared" si="71"/>
        <v/>
      </c>
      <c r="E671" s="260" t="str">
        <f t="shared" si="72"/>
        <v/>
      </c>
      <c r="F671" s="271" t="str">
        <f>IF(G671="","",VLOOKUP(G671,プルダウン用リスト!$K$1:$M$16,2,FALSE))</f>
        <v/>
      </c>
      <c r="G671" s="70"/>
      <c r="H671" s="58"/>
      <c r="I671" s="70"/>
      <c r="J671" s="135"/>
      <c r="K671" s="136"/>
      <c r="L671" s="71"/>
      <c r="M671" s="72"/>
      <c r="N671" s="72"/>
      <c r="O671" s="264" t="str">
        <f t="shared" si="73"/>
        <v/>
      </c>
      <c r="P671" s="230">
        <f t="shared" si="74"/>
        <v>0</v>
      </c>
      <c r="Q671" s="231" t="str">
        <f t="shared" si="70"/>
        <v>×</v>
      </c>
      <c r="R671" s="231" t="str">
        <f t="shared" si="75"/>
        <v>×</v>
      </c>
      <c r="S671" s="232" t="str">
        <f t="shared" si="76"/>
        <v/>
      </c>
    </row>
    <row r="672" spans="2:19">
      <c r="B672" s="68"/>
      <c r="C672" s="57"/>
      <c r="D672" s="259" t="str">
        <f t="shared" si="71"/>
        <v/>
      </c>
      <c r="E672" s="260" t="str">
        <f t="shared" si="72"/>
        <v/>
      </c>
      <c r="F672" s="271" t="str">
        <f>IF(G672="","",VLOOKUP(G672,プルダウン用リスト!$K$1:$M$16,2,FALSE))</f>
        <v/>
      </c>
      <c r="G672" s="70"/>
      <c r="H672" s="70"/>
      <c r="I672" s="70"/>
      <c r="J672" s="135"/>
      <c r="K672" s="136"/>
      <c r="L672" s="71"/>
      <c r="M672" s="72"/>
      <c r="N672" s="72"/>
      <c r="O672" s="264" t="str">
        <f t="shared" si="73"/>
        <v/>
      </c>
      <c r="P672" s="230">
        <f t="shared" si="74"/>
        <v>0</v>
      </c>
      <c r="Q672" s="231" t="str">
        <f t="shared" si="70"/>
        <v>×</v>
      </c>
      <c r="R672" s="231" t="str">
        <f t="shared" si="75"/>
        <v>×</v>
      </c>
      <c r="S672" s="232" t="str">
        <f t="shared" si="76"/>
        <v/>
      </c>
    </row>
    <row r="673" spans="2:19">
      <c r="B673" s="68"/>
      <c r="C673" s="57"/>
      <c r="D673" s="259" t="str">
        <f t="shared" si="71"/>
        <v/>
      </c>
      <c r="E673" s="260" t="str">
        <f t="shared" si="72"/>
        <v/>
      </c>
      <c r="F673" s="271" t="str">
        <f>IF(G673="","",VLOOKUP(G673,プルダウン用リスト!$K$1:$M$16,2,FALSE))</f>
        <v/>
      </c>
      <c r="G673" s="70"/>
      <c r="H673" s="58"/>
      <c r="I673" s="70"/>
      <c r="J673" s="135"/>
      <c r="K673" s="136"/>
      <c r="L673" s="71"/>
      <c r="M673" s="72"/>
      <c r="N673" s="72"/>
      <c r="O673" s="264" t="str">
        <f t="shared" si="73"/>
        <v/>
      </c>
      <c r="P673" s="230">
        <f t="shared" si="74"/>
        <v>0</v>
      </c>
      <c r="Q673" s="231" t="str">
        <f t="shared" si="70"/>
        <v>×</v>
      </c>
      <c r="R673" s="231" t="str">
        <f t="shared" si="75"/>
        <v>×</v>
      </c>
      <c r="S673" s="232" t="str">
        <f t="shared" si="76"/>
        <v/>
      </c>
    </row>
    <row r="674" spans="2:19">
      <c r="B674" s="68"/>
      <c r="C674" s="57"/>
      <c r="D674" s="259" t="str">
        <f t="shared" si="71"/>
        <v/>
      </c>
      <c r="E674" s="260" t="str">
        <f t="shared" si="72"/>
        <v/>
      </c>
      <c r="F674" s="271" t="str">
        <f>IF(G674="","",VLOOKUP(G674,プルダウン用リスト!$K$1:$M$16,2,FALSE))</f>
        <v/>
      </c>
      <c r="G674" s="70"/>
      <c r="H674" s="58"/>
      <c r="I674" s="70"/>
      <c r="J674" s="135"/>
      <c r="K674" s="136"/>
      <c r="L674" s="71"/>
      <c r="M674" s="72"/>
      <c r="N674" s="72"/>
      <c r="O674" s="264" t="str">
        <f t="shared" si="73"/>
        <v/>
      </c>
      <c r="P674" s="230">
        <f t="shared" si="74"/>
        <v>0</v>
      </c>
      <c r="Q674" s="231" t="str">
        <f t="shared" si="70"/>
        <v>×</v>
      </c>
      <c r="R674" s="231" t="str">
        <f t="shared" si="75"/>
        <v>×</v>
      </c>
      <c r="S674" s="232" t="str">
        <f t="shared" si="76"/>
        <v/>
      </c>
    </row>
    <row r="675" spans="2:19">
      <c r="B675" s="68"/>
      <c r="C675" s="57"/>
      <c r="D675" s="259" t="str">
        <f t="shared" si="71"/>
        <v/>
      </c>
      <c r="E675" s="260" t="str">
        <f t="shared" si="72"/>
        <v/>
      </c>
      <c r="F675" s="271" t="str">
        <f>IF(G675="","",VLOOKUP(G675,プルダウン用リスト!$K$1:$M$16,2,FALSE))</f>
        <v/>
      </c>
      <c r="G675" s="70"/>
      <c r="H675" s="70"/>
      <c r="I675" s="70"/>
      <c r="J675" s="135"/>
      <c r="K675" s="136"/>
      <c r="L675" s="71"/>
      <c r="M675" s="72"/>
      <c r="N675" s="72"/>
      <c r="O675" s="264" t="str">
        <f t="shared" si="73"/>
        <v/>
      </c>
      <c r="P675" s="230">
        <f t="shared" si="74"/>
        <v>0</v>
      </c>
      <c r="Q675" s="231" t="str">
        <f t="shared" si="70"/>
        <v>×</v>
      </c>
      <c r="R675" s="231" t="str">
        <f t="shared" si="75"/>
        <v>×</v>
      </c>
      <c r="S675" s="232" t="str">
        <f t="shared" si="76"/>
        <v/>
      </c>
    </row>
    <row r="676" spans="2:19">
      <c r="B676" s="68"/>
      <c r="C676" s="57"/>
      <c r="D676" s="259" t="str">
        <f t="shared" si="71"/>
        <v/>
      </c>
      <c r="E676" s="260" t="str">
        <f t="shared" si="72"/>
        <v/>
      </c>
      <c r="F676" s="271" t="str">
        <f>IF(G676="","",VLOOKUP(G676,プルダウン用リスト!$K$1:$M$16,2,FALSE))</f>
        <v/>
      </c>
      <c r="G676" s="70"/>
      <c r="H676" s="58"/>
      <c r="I676" s="70"/>
      <c r="J676" s="135"/>
      <c r="K676" s="136"/>
      <c r="L676" s="71"/>
      <c r="M676" s="72"/>
      <c r="N676" s="72"/>
      <c r="O676" s="264" t="str">
        <f t="shared" si="73"/>
        <v/>
      </c>
      <c r="P676" s="230">
        <f t="shared" si="74"/>
        <v>0</v>
      </c>
      <c r="Q676" s="231" t="str">
        <f t="shared" si="70"/>
        <v>×</v>
      </c>
      <c r="R676" s="231" t="str">
        <f t="shared" si="75"/>
        <v>×</v>
      </c>
      <c r="S676" s="232" t="str">
        <f t="shared" si="76"/>
        <v/>
      </c>
    </row>
    <row r="677" spans="2:19">
      <c r="B677" s="68"/>
      <c r="C677" s="57"/>
      <c r="D677" s="259" t="str">
        <f t="shared" si="71"/>
        <v/>
      </c>
      <c r="E677" s="260" t="str">
        <f t="shared" si="72"/>
        <v/>
      </c>
      <c r="F677" s="271" t="str">
        <f>IF(G677="","",VLOOKUP(G677,プルダウン用リスト!$K$1:$M$16,2,FALSE))</f>
        <v/>
      </c>
      <c r="G677" s="70"/>
      <c r="H677" s="58"/>
      <c r="I677" s="70"/>
      <c r="J677" s="135"/>
      <c r="K677" s="136"/>
      <c r="L677" s="71"/>
      <c r="M677" s="72"/>
      <c r="N677" s="72"/>
      <c r="O677" s="264" t="str">
        <f t="shared" si="73"/>
        <v/>
      </c>
      <c r="P677" s="230">
        <f t="shared" si="74"/>
        <v>0</v>
      </c>
      <c r="Q677" s="231" t="str">
        <f t="shared" si="70"/>
        <v>×</v>
      </c>
      <c r="R677" s="231" t="str">
        <f t="shared" si="75"/>
        <v>×</v>
      </c>
      <c r="S677" s="232" t="str">
        <f t="shared" si="76"/>
        <v/>
      </c>
    </row>
    <row r="678" spans="2:19">
      <c r="B678" s="68"/>
      <c r="C678" s="69"/>
      <c r="D678" s="259" t="str">
        <f t="shared" si="71"/>
        <v/>
      </c>
      <c r="E678" s="260" t="str">
        <f t="shared" si="72"/>
        <v/>
      </c>
      <c r="F678" s="271" t="str">
        <f>IF(G678="","",VLOOKUP(G678,プルダウン用リスト!$K$1:$M$16,2,FALSE))</f>
        <v/>
      </c>
      <c r="G678" s="70"/>
      <c r="H678" s="70"/>
      <c r="I678" s="70"/>
      <c r="J678" s="135"/>
      <c r="K678" s="136"/>
      <c r="L678" s="71"/>
      <c r="M678" s="72"/>
      <c r="N678" s="72"/>
      <c r="O678" s="264" t="str">
        <f t="shared" si="73"/>
        <v/>
      </c>
      <c r="P678" s="230">
        <f t="shared" si="74"/>
        <v>0</v>
      </c>
      <c r="Q678" s="231" t="str">
        <f t="shared" si="70"/>
        <v>×</v>
      </c>
      <c r="R678" s="231" t="str">
        <f t="shared" si="75"/>
        <v>×</v>
      </c>
      <c r="S678" s="232" t="str">
        <f t="shared" si="76"/>
        <v/>
      </c>
    </row>
    <row r="679" spans="2:19">
      <c r="B679" s="68"/>
      <c r="C679" s="57"/>
      <c r="D679" s="259" t="str">
        <f t="shared" si="71"/>
        <v/>
      </c>
      <c r="E679" s="260" t="str">
        <f t="shared" si="72"/>
        <v/>
      </c>
      <c r="F679" s="271" t="str">
        <f>IF(G679="","",VLOOKUP(G679,プルダウン用リスト!$K$1:$M$16,2,FALSE))</f>
        <v/>
      </c>
      <c r="G679" s="70"/>
      <c r="H679" s="58"/>
      <c r="I679" s="70"/>
      <c r="J679" s="135"/>
      <c r="K679" s="136"/>
      <c r="L679" s="71"/>
      <c r="M679" s="72"/>
      <c r="N679" s="72"/>
      <c r="O679" s="264" t="str">
        <f t="shared" si="73"/>
        <v/>
      </c>
      <c r="P679" s="230">
        <f t="shared" si="74"/>
        <v>0</v>
      </c>
      <c r="Q679" s="231" t="str">
        <f t="shared" si="70"/>
        <v>×</v>
      </c>
      <c r="R679" s="231" t="str">
        <f t="shared" si="75"/>
        <v>×</v>
      </c>
      <c r="S679" s="232" t="str">
        <f t="shared" si="76"/>
        <v/>
      </c>
    </row>
    <row r="680" spans="2:19">
      <c r="B680" s="68"/>
      <c r="C680" s="57"/>
      <c r="D680" s="259" t="str">
        <f t="shared" si="71"/>
        <v/>
      </c>
      <c r="E680" s="260" t="str">
        <f t="shared" si="72"/>
        <v/>
      </c>
      <c r="F680" s="271" t="str">
        <f>IF(G680="","",VLOOKUP(G680,プルダウン用リスト!$K$1:$M$16,2,FALSE))</f>
        <v/>
      </c>
      <c r="G680" s="70"/>
      <c r="H680" s="58"/>
      <c r="I680" s="70"/>
      <c r="J680" s="135"/>
      <c r="K680" s="136"/>
      <c r="L680" s="71"/>
      <c r="M680" s="72"/>
      <c r="N680" s="72"/>
      <c r="O680" s="264" t="str">
        <f t="shared" si="73"/>
        <v/>
      </c>
      <c r="P680" s="230">
        <f t="shared" si="74"/>
        <v>0</v>
      </c>
      <c r="Q680" s="231" t="str">
        <f t="shared" si="70"/>
        <v>×</v>
      </c>
      <c r="R680" s="231" t="str">
        <f t="shared" si="75"/>
        <v>×</v>
      </c>
      <c r="S680" s="232" t="str">
        <f t="shared" si="76"/>
        <v/>
      </c>
    </row>
    <row r="681" spans="2:19">
      <c r="B681" s="68"/>
      <c r="C681" s="57"/>
      <c r="D681" s="259" t="str">
        <f t="shared" si="71"/>
        <v/>
      </c>
      <c r="E681" s="260" t="str">
        <f t="shared" si="72"/>
        <v/>
      </c>
      <c r="F681" s="271" t="str">
        <f>IF(G681="","",VLOOKUP(G681,プルダウン用リスト!$K$1:$M$16,2,FALSE))</f>
        <v/>
      </c>
      <c r="G681" s="70"/>
      <c r="H681" s="70"/>
      <c r="I681" s="70"/>
      <c r="J681" s="135"/>
      <c r="K681" s="136"/>
      <c r="L681" s="71"/>
      <c r="M681" s="72"/>
      <c r="N681" s="72"/>
      <c r="O681" s="264" t="str">
        <f t="shared" si="73"/>
        <v/>
      </c>
      <c r="P681" s="230">
        <f t="shared" si="74"/>
        <v>0</v>
      </c>
      <c r="Q681" s="231" t="str">
        <f t="shared" si="70"/>
        <v>×</v>
      </c>
      <c r="R681" s="231" t="str">
        <f t="shared" si="75"/>
        <v>×</v>
      </c>
      <c r="S681" s="232" t="str">
        <f t="shared" si="76"/>
        <v/>
      </c>
    </row>
    <row r="682" spans="2:19">
      <c r="B682" s="68"/>
      <c r="C682" s="57"/>
      <c r="D682" s="259" t="str">
        <f t="shared" si="71"/>
        <v/>
      </c>
      <c r="E682" s="260" t="str">
        <f t="shared" si="72"/>
        <v/>
      </c>
      <c r="F682" s="271" t="str">
        <f>IF(G682="","",VLOOKUP(G682,プルダウン用リスト!$K$1:$M$16,2,FALSE))</f>
        <v/>
      </c>
      <c r="G682" s="70"/>
      <c r="H682" s="58"/>
      <c r="I682" s="70"/>
      <c r="J682" s="135"/>
      <c r="K682" s="136"/>
      <c r="L682" s="71"/>
      <c r="M682" s="72"/>
      <c r="N682" s="72"/>
      <c r="O682" s="264" t="str">
        <f t="shared" si="73"/>
        <v/>
      </c>
      <c r="P682" s="230">
        <f t="shared" si="74"/>
        <v>0</v>
      </c>
      <c r="Q682" s="231" t="str">
        <f t="shared" si="70"/>
        <v>×</v>
      </c>
      <c r="R682" s="231" t="str">
        <f t="shared" si="75"/>
        <v>×</v>
      </c>
      <c r="S682" s="232" t="str">
        <f t="shared" si="76"/>
        <v/>
      </c>
    </row>
    <row r="683" spans="2:19">
      <c r="B683" s="68"/>
      <c r="C683" s="57"/>
      <c r="D683" s="259" t="str">
        <f t="shared" si="71"/>
        <v/>
      </c>
      <c r="E683" s="260" t="str">
        <f t="shared" si="72"/>
        <v/>
      </c>
      <c r="F683" s="271" t="str">
        <f>IF(G683="","",VLOOKUP(G683,プルダウン用リスト!$K$1:$M$16,2,FALSE))</f>
        <v/>
      </c>
      <c r="G683" s="70"/>
      <c r="H683" s="58"/>
      <c r="I683" s="70"/>
      <c r="J683" s="135"/>
      <c r="K683" s="136"/>
      <c r="L683" s="71"/>
      <c r="M683" s="72"/>
      <c r="N683" s="72"/>
      <c r="O683" s="264" t="str">
        <f t="shared" si="73"/>
        <v/>
      </c>
      <c r="P683" s="230">
        <f t="shared" si="74"/>
        <v>0</v>
      </c>
      <c r="Q683" s="231" t="str">
        <f t="shared" si="70"/>
        <v>×</v>
      </c>
      <c r="R683" s="231" t="str">
        <f t="shared" si="75"/>
        <v>×</v>
      </c>
      <c r="S683" s="232" t="str">
        <f t="shared" si="76"/>
        <v/>
      </c>
    </row>
    <row r="684" spans="2:19">
      <c r="B684" s="68"/>
      <c r="C684" s="57"/>
      <c r="D684" s="259" t="str">
        <f t="shared" si="71"/>
        <v/>
      </c>
      <c r="E684" s="260" t="str">
        <f t="shared" si="72"/>
        <v/>
      </c>
      <c r="F684" s="271" t="str">
        <f>IF(G684="","",VLOOKUP(G684,プルダウン用リスト!$K$1:$M$16,2,FALSE))</f>
        <v/>
      </c>
      <c r="G684" s="70"/>
      <c r="H684" s="70"/>
      <c r="I684" s="70"/>
      <c r="J684" s="135"/>
      <c r="K684" s="136"/>
      <c r="L684" s="71"/>
      <c r="M684" s="72"/>
      <c r="N684" s="72"/>
      <c r="O684" s="264" t="str">
        <f t="shared" si="73"/>
        <v/>
      </c>
      <c r="P684" s="230">
        <f t="shared" si="74"/>
        <v>0</v>
      </c>
      <c r="Q684" s="231" t="str">
        <f t="shared" si="70"/>
        <v>×</v>
      </c>
      <c r="R684" s="231" t="str">
        <f t="shared" si="75"/>
        <v>×</v>
      </c>
      <c r="S684" s="232" t="str">
        <f t="shared" si="76"/>
        <v/>
      </c>
    </row>
    <row r="685" spans="2:19">
      <c r="B685" s="68"/>
      <c r="C685" s="57"/>
      <c r="D685" s="259" t="str">
        <f t="shared" si="71"/>
        <v/>
      </c>
      <c r="E685" s="260" t="str">
        <f t="shared" si="72"/>
        <v/>
      </c>
      <c r="F685" s="271" t="str">
        <f>IF(G685="","",VLOOKUP(G685,プルダウン用リスト!$K$1:$M$16,2,FALSE))</f>
        <v/>
      </c>
      <c r="G685" s="70"/>
      <c r="H685" s="58"/>
      <c r="I685" s="70"/>
      <c r="J685" s="135"/>
      <c r="K685" s="136"/>
      <c r="L685" s="71"/>
      <c r="M685" s="72"/>
      <c r="N685" s="72"/>
      <c r="O685" s="264" t="str">
        <f t="shared" si="73"/>
        <v/>
      </c>
      <c r="P685" s="230">
        <f t="shared" si="74"/>
        <v>0</v>
      </c>
      <c r="Q685" s="231" t="str">
        <f t="shared" si="70"/>
        <v>×</v>
      </c>
      <c r="R685" s="231" t="str">
        <f t="shared" si="75"/>
        <v>×</v>
      </c>
      <c r="S685" s="232" t="str">
        <f t="shared" si="76"/>
        <v/>
      </c>
    </row>
    <row r="686" spans="2:19">
      <c r="B686" s="68"/>
      <c r="C686" s="57"/>
      <c r="D686" s="259" t="str">
        <f t="shared" si="71"/>
        <v/>
      </c>
      <c r="E686" s="260" t="str">
        <f t="shared" si="72"/>
        <v/>
      </c>
      <c r="F686" s="271" t="str">
        <f>IF(G686="","",VLOOKUP(G686,プルダウン用リスト!$K$1:$M$16,2,FALSE))</f>
        <v/>
      </c>
      <c r="G686" s="70"/>
      <c r="H686" s="58"/>
      <c r="I686" s="70"/>
      <c r="J686" s="135"/>
      <c r="K686" s="136"/>
      <c r="L686" s="71"/>
      <c r="M686" s="72"/>
      <c r="N686" s="72"/>
      <c r="O686" s="264" t="str">
        <f t="shared" si="73"/>
        <v/>
      </c>
      <c r="P686" s="230">
        <f t="shared" si="74"/>
        <v>0</v>
      </c>
      <c r="Q686" s="231" t="str">
        <f t="shared" si="70"/>
        <v>×</v>
      </c>
      <c r="R686" s="231" t="str">
        <f t="shared" si="75"/>
        <v>×</v>
      </c>
      <c r="S686" s="232" t="str">
        <f t="shared" si="76"/>
        <v/>
      </c>
    </row>
    <row r="687" spans="2:19">
      <c r="B687" s="68"/>
      <c r="C687" s="57"/>
      <c r="D687" s="259" t="str">
        <f t="shared" si="71"/>
        <v/>
      </c>
      <c r="E687" s="260" t="str">
        <f t="shared" si="72"/>
        <v/>
      </c>
      <c r="F687" s="271" t="str">
        <f>IF(G687="","",VLOOKUP(G687,プルダウン用リスト!$K$1:$M$16,2,FALSE))</f>
        <v/>
      </c>
      <c r="G687" s="70"/>
      <c r="H687" s="70"/>
      <c r="I687" s="70"/>
      <c r="J687" s="135"/>
      <c r="K687" s="136"/>
      <c r="L687" s="71"/>
      <c r="M687" s="72"/>
      <c r="N687" s="72"/>
      <c r="O687" s="264" t="str">
        <f t="shared" si="73"/>
        <v/>
      </c>
      <c r="P687" s="230">
        <f t="shared" si="74"/>
        <v>0</v>
      </c>
      <c r="Q687" s="231" t="str">
        <f t="shared" si="70"/>
        <v>×</v>
      </c>
      <c r="R687" s="231" t="str">
        <f t="shared" si="75"/>
        <v>×</v>
      </c>
      <c r="S687" s="232" t="str">
        <f t="shared" si="76"/>
        <v/>
      </c>
    </row>
    <row r="688" spans="2:19">
      <c r="B688" s="68"/>
      <c r="C688" s="57"/>
      <c r="D688" s="259" t="str">
        <f t="shared" si="71"/>
        <v/>
      </c>
      <c r="E688" s="260" t="str">
        <f t="shared" si="72"/>
        <v/>
      </c>
      <c r="F688" s="271" t="str">
        <f>IF(G688="","",VLOOKUP(G688,プルダウン用リスト!$K$1:$M$16,2,FALSE))</f>
        <v/>
      </c>
      <c r="G688" s="70"/>
      <c r="H688" s="58"/>
      <c r="I688" s="70"/>
      <c r="J688" s="135"/>
      <c r="K688" s="136"/>
      <c r="L688" s="71"/>
      <c r="M688" s="72"/>
      <c r="N688" s="72"/>
      <c r="O688" s="264" t="str">
        <f t="shared" si="73"/>
        <v/>
      </c>
      <c r="P688" s="230">
        <f t="shared" si="74"/>
        <v>0</v>
      </c>
      <c r="Q688" s="231" t="str">
        <f t="shared" si="70"/>
        <v>×</v>
      </c>
      <c r="R688" s="231" t="str">
        <f t="shared" si="75"/>
        <v>×</v>
      </c>
      <c r="S688" s="232" t="str">
        <f t="shared" si="76"/>
        <v/>
      </c>
    </row>
    <row r="689" spans="2:19">
      <c r="B689" s="68"/>
      <c r="C689" s="57"/>
      <c r="D689" s="259" t="str">
        <f t="shared" si="71"/>
        <v/>
      </c>
      <c r="E689" s="260" t="str">
        <f t="shared" si="72"/>
        <v/>
      </c>
      <c r="F689" s="271" t="str">
        <f>IF(G689="","",VLOOKUP(G689,プルダウン用リスト!$K$1:$M$16,2,FALSE))</f>
        <v/>
      </c>
      <c r="G689" s="70"/>
      <c r="H689" s="58"/>
      <c r="I689" s="70"/>
      <c r="J689" s="135"/>
      <c r="K689" s="136"/>
      <c r="L689" s="71"/>
      <c r="M689" s="72"/>
      <c r="N689" s="72"/>
      <c r="O689" s="264" t="str">
        <f t="shared" si="73"/>
        <v/>
      </c>
      <c r="P689" s="230">
        <f t="shared" si="74"/>
        <v>0</v>
      </c>
      <c r="Q689" s="231" t="str">
        <f t="shared" si="70"/>
        <v>×</v>
      </c>
      <c r="R689" s="231" t="str">
        <f t="shared" si="75"/>
        <v>×</v>
      </c>
      <c r="S689" s="232" t="str">
        <f t="shared" si="76"/>
        <v/>
      </c>
    </row>
    <row r="690" spans="2:19">
      <c r="B690" s="68"/>
      <c r="C690" s="69"/>
      <c r="D690" s="259" t="str">
        <f t="shared" si="71"/>
        <v/>
      </c>
      <c r="E690" s="260" t="str">
        <f t="shared" si="72"/>
        <v/>
      </c>
      <c r="F690" s="271" t="str">
        <f>IF(G690="","",VLOOKUP(G690,プルダウン用リスト!$K$1:$M$16,2,FALSE))</f>
        <v/>
      </c>
      <c r="G690" s="70"/>
      <c r="H690" s="70"/>
      <c r="I690" s="70"/>
      <c r="J690" s="135"/>
      <c r="K690" s="136"/>
      <c r="L690" s="71"/>
      <c r="M690" s="72"/>
      <c r="N690" s="72"/>
      <c r="O690" s="264" t="str">
        <f t="shared" si="73"/>
        <v/>
      </c>
      <c r="P690" s="230">
        <f t="shared" si="74"/>
        <v>0</v>
      </c>
      <c r="Q690" s="231" t="str">
        <f t="shared" si="70"/>
        <v>×</v>
      </c>
      <c r="R690" s="231" t="str">
        <f t="shared" si="75"/>
        <v>×</v>
      </c>
      <c r="S690" s="232" t="str">
        <f t="shared" si="76"/>
        <v/>
      </c>
    </row>
    <row r="691" spans="2:19">
      <c r="B691" s="68"/>
      <c r="C691" s="57"/>
      <c r="D691" s="259" t="str">
        <f t="shared" si="71"/>
        <v/>
      </c>
      <c r="E691" s="260" t="str">
        <f t="shared" si="72"/>
        <v/>
      </c>
      <c r="F691" s="271" t="str">
        <f>IF(G691="","",VLOOKUP(G691,プルダウン用リスト!$K$1:$M$16,2,FALSE))</f>
        <v/>
      </c>
      <c r="G691" s="70"/>
      <c r="H691" s="58"/>
      <c r="I691" s="70"/>
      <c r="J691" s="135"/>
      <c r="K691" s="136"/>
      <c r="L691" s="71"/>
      <c r="M691" s="72"/>
      <c r="N691" s="72"/>
      <c r="O691" s="264" t="str">
        <f t="shared" si="73"/>
        <v/>
      </c>
      <c r="P691" s="230">
        <f t="shared" si="74"/>
        <v>0</v>
      </c>
      <c r="Q691" s="231" t="str">
        <f t="shared" si="70"/>
        <v>×</v>
      </c>
      <c r="R691" s="231" t="str">
        <f t="shared" si="75"/>
        <v>×</v>
      </c>
      <c r="S691" s="232" t="str">
        <f t="shared" si="76"/>
        <v/>
      </c>
    </row>
    <row r="692" spans="2:19">
      <c r="B692" s="68"/>
      <c r="C692" s="57"/>
      <c r="D692" s="259" t="str">
        <f t="shared" si="71"/>
        <v/>
      </c>
      <c r="E692" s="260" t="str">
        <f t="shared" si="72"/>
        <v/>
      </c>
      <c r="F692" s="271" t="str">
        <f>IF(G692="","",VLOOKUP(G692,プルダウン用リスト!$K$1:$M$16,2,FALSE))</f>
        <v/>
      </c>
      <c r="G692" s="70"/>
      <c r="H692" s="58"/>
      <c r="I692" s="70"/>
      <c r="J692" s="135"/>
      <c r="K692" s="136"/>
      <c r="L692" s="71"/>
      <c r="M692" s="72"/>
      <c r="N692" s="72"/>
      <c r="O692" s="264" t="str">
        <f t="shared" si="73"/>
        <v/>
      </c>
      <c r="P692" s="230">
        <f t="shared" si="74"/>
        <v>0</v>
      </c>
      <c r="Q692" s="231" t="str">
        <f t="shared" si="70"/>
        <v>×</v>
      </c>
      <c r="R692" s="231" t="str">
        <f t="shared" si="75"/>
        <v>×</v>
      </c>
      <c r="S692" s="232" t="str">
        <f t="shared" si="76"/>
        <v/>
      </c>
    </row>
    <row r="693" spans="2:19">
      <c r="B693" s="68"/>
      <c r="C693" s="57"/>
      <c r="D693" s="259" t="str">
        <f t="shared" si="71"/>
        <v/>
      </c>
      <c r="E693" s="260" t="str">
        <f t="shared" si="72"/>
        <v/>
      </c>
      <c r="F693" s="271" t="str">
        <f>IF(G693="","",VLOOKUP(G693,プルダウン用リスト!$K$1:$M$16,2,FALSE))</f>
        <v/>
      </c>
      <c r="G693" s="70"/>
      <c r="H693" s="70"/>
      <c r="I693" s="70"/>
      <c r="J693" s="135"/>
      <c r="K693" s="136"/>
      <c r="L693" s="71"/>
      <c r="M693" s="72"/>
      <c r="N693" s="72"/>
      <c r="O693" s="264" t="str">
        <f t="shared" si="73"/>
        <v/>
      </c>
      <c r="P693" s="230">
        <f t="shared" si="74"/>
        <v>0</v>
      </c>
      <c r="Q693" s="231" t="str">
        <f t="shared" si="70"/>
        <v>×</v>
      </c>
      <c r="R693" s="231" t="str">
        <f t="shared" si="75"/>
        <v>×</v>
      </c>
      <c r="S693" s="232" t="str">
        <f t="shared" si="76"/>
        <v/>
      </c>
    </row>
    <row r="694" spans="2:19">
      <c r="B694" s="68"/>
      <c r="C694" s="57"/>
      <c r="D694" s="259" t="str">
        <f t="shared" si="71"/>
        <v/>
      </c>
      <c r="E694" s="260" t="str">
        <f t="shared" si="72"/>
        <v/>
      </c>
      <c r="F694" s="271" t="str">
        <f>IF(G694="","",VLOOKUP(G694,プルダウン用リスト!$K$1:$M$16,2,FALSE))</f>
        <v/>
      </c>
      <c r="G694" s="70"/>
      <c r="H694" s="58"/>
      <c r="I694" s="70"/>
      <c r="J694" s="135"/>
      <c r="K694" s="136"/>
      <c r="L694" s="71"/>
      <c r="M694" s="72"/>
      <c r="N694" s="72"/>
      <c r="O694" s="264" t="str">
        <f t="shared" si="73"/>
        <v/>
      </c>
      <c r="P694" s="230">
        <f t="shared" si="74"/>
        <v>0</v>
      </c>
      <c r="Q694" s="231" t="str">
        <f t="shared" si="70"/>
        <v>×</v>
      </c>
      <c r="R694" s="231" t="str">
        <f t="shared" si="75"/>
        <v>×</v>
      </c>
      <c r="S694" s="232" t="str">
        <f t="shared" si="76"/>
        <v/>
      </c>
    </row>
    <row r="695" spans="2:19">
      <c r="B695" s="68"/>
      <c r="C695" s="57"/>
      <c r="D695" s="259" t="str">
        <f t="shared" si="71"/>
        <v/>
      </c>
      <c r="E695" s="260" t="str">
        <f t="shared" si="72"/>
        <v/>
      </c>
      <c r="F695" s="271" t="str">
        <f>IF(G695="","",VLOOKUP(G695,プルダウン用リスト!$K$1:$M$16,2,FALSE))</f>
        <v/>
      </c>
      <c r="G695" s="70"/>
      <c r="H695" s="58"/>
      <c r="I695" s="70"/>
      <c r="J695" s="135"/>
      <c r="K695" s="136"/>
      <c r="L695" s="71"/>
      <c r="M695" s="72"/>
      <c r="N695" s="72"/>
      <c r="O695" s="264" t="str">
        <f t="shared" si="73"/>
        <v/>
      </c>
      <c r="P695" s="230">
        <f t="shared" si="74"/>
        <v>0</v>
      </c>
      <c r="Q695" s="231" t="str">
        <f t="shared" si="70"/>
        <v>×</v>
      </c>
      <c r="R695" s="231" t="str">
        <f t="shared" si="75"/>
        <v>×</v>
      </c>
      <c r="S695" s="232" t="str">
        <f t="shared" si="76"/>
        <v/>
      </c>
    </row>
    <row r="696" spans="2:19">
      <c r="B696" s="68"/>
      <c r="C696" s="57"/>
      <c r="D696" s="259" t="str">
        <f t="shared" si="71"/>
        <v/>
      </c>
      <c r="E696" s="260" t="str">
        <f t="shared" si="72"/>
        <v/>
      </c>
      <c r="F696" s="271" t="str">
        <f>IF(G696="","",VLOOKUP(G696,プルダウン用リスト!$K$1:$M$16,2,FALSE))</f>
        <v/>
      </c>
      <c r="G696" s="70"/>
      <c r="H696" s="70"/>
      <c r="I696" s="70"/>
      <c r="J696" s="135"/>
      <c r="K696" s="136"/>
      <c r="L696" s="71"/>
      <c r="M696" s="72"/>
      <c r="N696" s="72"/>
      <c r="O696" s="264" t="str">
        <f t="shared" si="73"/>
        <v/>
      </c>
      <c r="P696" s="230">
        <f t="shared" si="74"/>
        <v>0</v>
      </c>
      <c r="Q696" s="231" t="str">
        <f t="shared" si="70"/>
        <v>×</v>
      </c>
      <c r="R696" s="231" t="str">
        <f t="shared" si="75"/>
        <v>×</v>
      </c>
      <c r="S696" s="232" t="str">
        <f t="shared" si="76"/>
        <v/>
      </c>
    </row>
    <row r="697" spans="2:19">
      <c r="B697" s="68"/>
      <c r="C697" s="57"/>
      <c r="D697" s="259" t="str">
        <f t="shared" si="71"/>
        <v/>
      </c>
      <c r="E697" s="260" t="str">
        <f t="shared" si="72"/>
        <v/>
      </c>
      <c r="F697" s="271" t="str">
        <f>IF(G697="","",VLOOKUP(G697,プルダウン用リスト!$K$1:$M$16,2,FALSE))</f>
        <v/>
      </c>
      <c r="G697" s="70"/>
      <c r="H697" s="58"/>
      <c r="I697" s="70"/>
      <c r="J697" s="135"/>
      <c r="K697" s="136"/>
      <c r="L697" s="71"/>
      <c r="M697" s="72"/>
      <c r="N697" s="72"/>
      <c r="O697" s="264" t="str">
        <f t="shared" si="73"/>
        <v/>
      </c>
      <c r="P697" s="230">
        <f t="shared" si="74"/>
        <v>0</v>
      </c>
      <c r="Q697" s="231" t="str">
        <f t="shared" si="70"/>
        <v>×</v>
      </c>
      <c r="R697" s="231" t="str">
        <f t="shared" si="75"/>
        <v>×</v>
      </c>
      <c r="S697" s="232" t="str">
        <f t="shared" si="76"/>
        <v/>
      </c>
    </row>
    <row r="698" spans="2:19">
      <c r="B698" s="68"/>
      <c r="C698" s="57"/>
      <c r="D698" s="259" t="str">
        <f t="shared" si="71"/>
        <v/>
      </c>
      <c r="E698" s="260" t="str">
        <f t="shared" si="72"/>
        <v/>
      </c>
      <c r="F698" s="271" t="str">
        <f>IF(G698="","",VLOOKUP(G698,プルダウン用リスト!$K$1:$M$16,2,FALSE))</f>
        <v/>
      </c>
      <c r="G698" s="70"/>
      <c r="H698" s="58"/>
      <c r="I698" s="70"/>
      <c r="J698" s="135"/>
      <c r="K698" s="136"/>
      <c r="L698" s="71"/>
      <c r="M698" s="72"/>
      <c r="N698" s="72"/>
      <c r="O698" s="264" t="str">
        <f t="shared" si="73"/>
        <v/>
      </c>
      <c r="P698" s="230">
        <f t="shared" si="74"/>
        <v>0</v>
      </c>
      <c r="Q698" s="231" t="str">
        <f t="shared" si="70"/>
        <v>×</v>
      </c>
      <c r="R698" s="231" t="str">
        <f t="shared" si="75"/>
        <v>×</v>
      </c>
      <c r="S698" s="232" t="str">
        <f t="shared" si="76"/>
        <v/>
      </c>
    </row>
    <row r="699" spans="2:19">
      <c r="B699" s="68"/>
      <c r="C699" s="57"/>
      <c r="D699" s="259" t="str">
        <f t="shared" si="71"/>
        <v/>
      </c>
      <c r="E699" s="260" t="str">
        <f t="shared" si="72"/>
        <v/>
      </c>
      <c r="F699" s="271" t="str">
        <f>IF(G699="","",VLOOKUP(G699,プルダウン用リスト!$K$1:$M$16,2,FALSE))</f>
        <v/>
      </c>
      <c r="G699" s="70"/>
      <c r="H699" s="70"/>
      <c r="I699" s="70"/>
      <c r="J699" s="135"/>
      <c r="K699" s="136"/>
      <c r="L699" s="71"/>
      <c r="M699" s="72"/>
      <c r="N699" s="72"/>
      <c r="O699" s="264" t="str">
        <f t="shared" si="73"/>
        <v/>
      </c>
      <c r="P699" s="230">
        <f t="shared" si="74"/>
        <v>0</v>
      </c>
      <c r="Q699" s="231" t="str">
        <f t="shared" si="70"/>
        <v>×</v>
      </c>
      <c r="R699" s="231" t="str">
        <f t="shared" si="75"/>
        <v>×</v>
      </c>
      <c r="S699" s="232" t="str">
        <f t="shared" si="76"/>
        <v/>
      </c>
    </row>
    <row r="700" spans="2:19">
      <c r="B700" s="68"/>
      <c r="C700" s="57"/>
      <c r="D700" s="259" t="str">
        <f t="shared" si="71"/>
        <v/>
      </c>
      <c r="E700" s="260" t="str">
        <f t="shared" si="72"/>
        <v/>
      </c>
      <c r="F700" s="271" t="str">
        <f>IF(G700="","",VLOOKUP(G700,プルダウン用リスト!$K$1:$M$16,2,FALSE))</f>
        <v/>
      </c>
      <c r="G700" s="70"/>
      <c r="H700" s="58"/>
      <c r="I700" s="70"/>
      <c r="J700" s="135"/>
      <c r="K700" s="136"/>
      <c r="L700" s="71"/>
      <c r="M700" s="72"/>
      <c r="N700" s="72"/>
      <c r="O700" s="264" t="str">
        <f t="shared" si="73"/>
        <v/>
      </c>
      <c r="P700" s="230">
        <f t="shared" si="74"/>
        <v>0</v>
      </c>
      <c r="Q700" s="231" t="str">
        <f t="shared" si="70"/>
        <v>×</v>
      </c>
      <c r="R700" s="231" t="str">
        <f t="shared" si="75"/>
        <v>×</v>
      </c>
      <c r="S700" s="232" t="str">
        <f t="shared" si="76"/>
        <v/>
      </c>
    </row>
    <row r="701" spans="2:19">
      <c r="B701" s="68"/>
      <c r="C701" s="57"/>
      <c r="D701" s="259" t="str">
        <f t="shared" si="71"/>
        <v/>
      </c>
      <c r="E701" s="260" t="str">
        <f t="shared" si="72"/>
        <v/>
      </c>
      <c r="F701" s="271" t="str">
        <f>IF(G701="","",VLOOKUP(G701,プルダウン用リスト!$K$1:$M$16,2,FALSE))</f>
        <v/>
      </c>
      <c r="G701" s="70"/>
      <c r="H701" s="58"/>
      <c r="I701" s="70"/>
      <c r="J701" s="135"/>
      <c r="K701" s="136"/>
      <c r="L701" s="71"/>
      <c r="M701" s="72"/>
      <c r="N701" s="72"/>
      <c r="O701" s="264" t="str">
        <f t="shared" si="73"/>
        <v/>
      </c>
      <c r="P701" s="230">
        <f t="shared" si="74"/>
        <v>0</v>
      </c>
      <c r="Q701" s="231" t="str">
        <f t="shared" si="70"/>
        <v>×</v>
      </c>
      <c r="R701" s="231" t="str">
        <f t="shared" si="75"/>
        <v>×</v>
      </c>
      <c r="S701" s="232" t="str">
        <f t="shared" si="76"/>
        <v/>
      </c>
    </row>
    <row r="702" spans="2:19">
      <c r="B702" s="68"/>
      <c r="C702" s="69"/>
      <c r="D702" s="259" t="str">
        <f t="shared" si="71"/>
        <v/>
      </c>
      <c r="E702" s="260" t="str">
        <f t="shared" si="72"/>
        <v/>
      </c>
      <c r="F702" s="271" t="str">
        <f>IF(G702="","",VLOOKUP(G702,プルダウン用リスト!$K$1:$M$16,2,FALSE))</f>
        <v/>
      </c>
      <c r="G702" s="70"/>
      <c r="H702" s="70"/>
      <c r="I702" s="70"/>
      <c r="J702" s="135"/>
      <c r="K702" s="136"/>
      <c r="L702" s="71"/>
      <c r="M702" s="72"/>
      <c r="N702" s="72"/>
      <c r="O702" s="264" t="str">
        <f t="shared" si="73"/>
        <v/>
      </c>
      <c r="P702" s="230">
        <f t="shared" si="74"/>
        <v>0</v>
      </c>
      <c r="Q702" s="231" t="str">
        <f t="shared" si="70"/>
        <v>×</v>
      </c>
      <c r="R702" s="231" t="str">
        <f t="shared" si="75"/>
        <v>×</v>
      </c>
      <c r="S702" s="232" t="str">
        <f t="shared" si="76"/>
        <v/>
      </c>
    </row>
    <row r="703" spans="2:19">
      <c r="B703" s="68"/>
      <c r="C703" s="57"/>
      <c r="D703" s="259" t="str">
        <f t="shared" si="71"/>
        <v/>
      </c>
      <c r="E703" s="260" t="str">
        <f t="shared" si="72"/>
        <v/>
      </c>
      <c r="F703" s="271" t="str">
        <f>IF(G703="","",VLOOKUP(G703,プルダウン用リスト!$K$1:$M$16,2,FALSE))</f>
        <v/>
      </c>
      <c r="G703" s="70"/>
      <c r="H703" s="58"/>
      <c r="I703" s="70"/>
      <c r="J703" s="135"/>
      <c r="K703" s="136"/>
      <c r="L703" s="71"/>
      <c r="M703" s="72"/>
      <c r="N703" s="72"/>
      <c r="O703" s="264" t="str">
        <f t="shared" si="73"/>
        <v/>
      </c>
      <c r="P703" s="230">
        <f t="shared" si="74"/>
        <v>0</v>
      </c>
      <c r="Q703" s="231" t="str">
        <f t="shared" si="70"/>
        <v>×</v>
      </c>
      <c r="R703" s="231" t="str">
        <f t="shared" si="75"/>
        <v>×</v>
      </c>
      <c r="S703" s="232" t="str">
        <f t="shared" si="76"/>
        <v/>
      </c>
    </row>
    <row r="704" spans="2:19">
      <c r="B704" s="68"/>
      <c r="C704" s="57"/>
      <c r="D704" s="259" t="str">
        <f t="shared" si="71"/>
        <v/>
      </c>
      <c r="E704" s="260" t="str">
        <f t="shared" si="72"/>
        <v/>
      </c>
      <c r="F704" s="271" t="str">
        <f>IF(G704="","",VLOOKUP(G704,プルダウン用リスト!$K$1:$M$16,2,FALSE))</f>
        <v/>
      </c>
      <c r="G704" s="70"/>
      <c r="H704" s="58"/>
      <c r="I704" s="70"/>
      <c r="J704" s="135"/>
      <c r="K704" s="136"/>
      <c r="L704" s="71"/>
      <c r="M704" s="72"/>
      <c r="N704" s="72"/>
      <c r="O704" s="264" t="str">
        <f t="shared" si="73"/>
        <v/>
      </c>
      <c r="P704" s="230">
        <f t="shared" si="74"/>
        <v>0</v>
      </c>
      <c r="Q704" s="231" t="str">
        <f t="shared" si="70"/>
        <v>×</v>
      </c>
      <c r="R704" s="231" t="str">
        <f t="shared" si="75"/>
        <v>×</v>
      </c>
      <c r="S704" s="232" t="str">
        <f t="shared" si="76"/>
        <v/>
      </c>
    </row>
    <row r="705" spans="2:19">
      <c r="B705" s="68"/>
      <c r="C705" s="57"/>
      <c r="D705" s="259" t="str">
        <f t="shared" si="71"/>
        <v/>
      </c>
      <c r="E705" s="260" t="str">
        <f t="shared" si="72"/>
        <v/>
      </c>
      <c r="F705" s="271" t="str">
        <f>IF(G705="","",VLOOKUP(G705,プルダウン用リスト!$K$1:$M$16,2,FALSE))</f>
        <v/>
      </c>
      <c r="G705" s="70"/>
      <c r="H705" s="70"/>
      <c r="I705" s="70"/>
      <c r="J705" s="135"/>
      <c r="K705" s="136"/>
      <c r="L705" s="71"/>
      <c r="M705" s="72"/>
      <c r="N705" s="72"/>
      <c r="O705" s="264" t="str">
        <f t="shared" si="73"/>
        <v/>
      </c>
      <c r="P705" s="230">
        <f t="shared" si="74"/>
        <v>0</v>
      </c>
      <c r="Q705" s="231" t="str">
        <f t="shared" si="70"/>
        <v>×</v>
      </c>
      <c r="R705" s="231" t="str">
        <f t="shared" si="75"/>
        <v>×</v>
      </c>
      <c r="S705" s="232" t="str">
        <f t="shared" si="76"/>
        <v/>
      </c>
    </row>
    <row r="706" spans="2:19">
      <c r="B706" s="68"/>
      <c r="C706" s="57"/>
      <c r="D706" s="259" t="str">
        <f t="shared" si="71"/>
        <v/>
      </c>
      <c r="E706" s="260" t="str">
        <f t="shared" si="72"/>
        <v/>
      </c>
      <c r="F706" s="271" t="str">
        <f>IF(G706="","",VLOOKUP(G706,プルダウン用リスト!$K$1:$M$16,2,FALSE))</f>
        <v/>
      </c>
      <c r="G706" s="70"/>
      <c r="H706" s="58"/>
      <c r="I706" s="70"/>
      <c r="J706" s="135"/>
      <c r="K706" s="136"/>
      <c r="L706" s="71"/>
      <c r="M706" s="72"/>
      <c r="N706" s="72"/>
      <c r="O706" s="264" t="str">
        <f t="shared" si="73"/>
        <v/>
      </c>
      <c r="P706" s="230">
        <f t="shared" si="74"/>
        <v>0</v>
      </c>
      <c r="Q706" s="231" t="str">
        <f t="shared" si="70"/>
        <v>×</v>
      </c>
      <c r="R706" s="231" t="str">
        <f t="shared" si="75"/>
        <v>×</v>
      </c>
      <c r="S706" s="232" t="str">
        <f t="shared" si="76"/>
        <v/>
      </c>
    </row>
    <row r="707" spans="2:19">
      <c r="B707" s="68"/>
      <c r="C707" s="57"/>
      <c r="D707" s="259" t="str">
        <f t="shared" si="71"/>
        <v/>
      </c>
      <c r="E707" s="260" t="str">
        <f t="shared" si="72"/>
        <v/>
      </c>
      <c r="F707" s="271" t="str">
        <f>IF(G707="","",VLOOKUP(G707,プルダウン用リスト!$K$1:$M$16,2,FALSE))</f>
        <v/>
      </c>
      <c r="G707" s="70"/>
      <c r="H707" s="58"/>
      <c r="I707" s="70"/>
      <c r="J707" s="135"/>
      <c r="K707" s="136"/>
      <c r="L707" s="71"/>
      <c r="M707" s="72"/>
      <c r="N707" s="72"/>
      <c r="O707" s="264" t="str">
        <f t="shared" si="73"/>
        <v/>
      </c>
      <c r="P707" s="230">
        <f t="shared" si="74"/>
        <v>0</v>
      </c>
      <c r="Q707" s="231" t="str">
        <f t="shared" si="70"/>
        <v>×</v>
      </c>
      <c r="R707" s="231" t="str">
        <f t="shared" si="75"/>
        <v>×</v>
      </c>
      <c r="S707" s="232" t="str">
        <f t="shared" si="76"/>
        <v/>
      </c>
    </row>
    <row r="708" spans="2:19">
      <c r="B708" s="68"/>
      <c r="C708" s="57"/>
      <c r="D708" s="259" t="str">
        <f t="shared" si="71"/>
        <v/>
      </c>
      <c r="E708" s="260" t="str">
        <f t="shared" si="72"/>
        <v/>
      </c>
      <c r="F708" s="271" t="str">
        <f>IF(G708="","",VLOOKUP(G708,プルダウン用リスト!$K$1:$M$16,2,FALSE))</f>
        <v/>
      </c>
      <c r="G708" s="70"/>
      <c r="H708" s="70"/>
      <c r="I708" s="70"/>
      <c r="J708" s="135"/>
      <c r="K708" s="136"/>
      <c r="L708" s="71"/>
      <c r="M708" s="72"/>
      <c r="N708" s="72"/>
      <c r="O708" s="264" t="str">
        <f t="shared" si="73"/>
        <v/>
      </c>
      <c r="P708" s="230">
        <f t="shared" si="74"/>
        <v>0</v>
      </c>
      <c r="Q708" s="231" t="str">
        <f t="shared" si="70"/>
        <v>×</v>
      </c>
      <c r="R708" s="231" t="str">
        <f t="shared" si="75"/>
        <v>×</v>
      </c>
      <c r="S708" s="232" t="str">
        <f t="shared" si="76"/>
        <v/>
      </c>
    </row>
    <row r="709" spans="2:19">
      <c r="B709" s="68"/>
      <c r="C709" s="57"/>
      <c r="D709" s="259" t="str">
        <f t="shared" si="71"/>
        <v/>
      </c>
      <c r="E709" s="260" t="str">
        <f t="shared" si="72"/>
        <v/>
      </c>
      <c r="F709" s="271" t="str">
        <f>IF(G709="","",VLOOKUP(G709,プルダウン用リスト!$K$1:$M$16,2,FALSE))</f>
        <v/>
      </c>
      <c r="G709" s="70"/>
      <c r="H709" s="58"/>
      <c r="I709" s="70"/>
      <c r="J709" s="135"/>
      <c r="K709" s="136"/>
      <c r="L709" s="71"/>
      <c r="M709" s="72"/>
      <c r="N709" s="72"/>
      <c r="O709" s="264" t="str">
        <f t="shared" si="73"/>
        <v/>
      </c>
      <c r="P709" s="230">
        <f t="shared" si="74"/>
        <v>0</v>
      </c>
      <c r="Q709" s="231" t="str">
        <f t="shared" si="70"/>
        <v>×</v>
      </c>
      <c r="R709" s="231" t="str">
        <f t="shared" si="75"/>
        <v>×</v>
      </c>
      <c r="S709" s="232" t="str">
        <f t="shared" si="76"/>
        <v/>
      </c>
    </row>
    <row r="710" spans="2:19">
      <c r="B710" s="68"/>
      <c r="C710" s="57"/>
      <c r="D710" s="259" t="str">
        <f t="shared" si="71"/>
        <v/>
      </c>
      <c r="E710" s="260" t="str">
        <f t="shared" si="72"/>
        <v/>
      </c>
      <c r="F710" s="271" t="str">
        <f>IF(G710="","",VLOOKUP(G710,プルダウン用リスト!$K$1:$M$16,2,FALSE))</f>
        <v/>
      </c>
      <c r="G710" s="70"/>
      <c r="H710" s="58"/>
      <c r="I710" s="70"/>
      <c r="J710" s="135"/>
      <c r="K710" s="136"/>
      <c r="L710" s="71"/>
      <c r="M710" s="72"/>
      <c r="N710" s="72"/>
      <c r="O710" s="264" t="str">
        <f t="shared" si="73"/>
        <v/>
      </c>
      <c r="P710" s="230">
        <f t="shared" si="74"/>
        <v>0</v>
      </c>
      <c r="Q710" s="231" t="str">
        <f t="shared" ref="Q710:Q773" si="77">IF(G710="旅費","〇","×")</f>
        <v>×</v>
      </c>
      <c r="R710" s="231" t="str">
        <f t="shared" si="75"/>
        <v>×</v>
      </c>
      <c r="S710" s="232" t="str">
        <f t="shared" si="76"/>
        <v/>
      </c>
    </row>
    <row r="711" spans="2:19">
      <c r="B711" s="68"/>
      <c r="C711" s="57"/>
      <c r="D711" s="259" t="str">
        <f t="shared" ref="D711:D774" si="78">IF(E711="","",IF(E711="謝金","01.",IF(E711="旅費","02.",IF(E711="その他","04.","03."))))</f>
        <v/>
      </c>
      <c r="E711" s="260" t="str">
        <f t="shared" ref="E711:E774" si="79">IF(G711="","",IF(OR(G711="謝金（内部）",G711="謝金（外部）"),"謝金",IF(G711="旅費","旅費",IF(G711="対象外経費","その他","所費"))))</f>
        <v/>
      </c>
      <c r="F711" s="271" t="str">
        <f>IF(G711="","",VLOOKUP(G711,プルダウン用リスト!$K$1:$M$16,2,FALSE))</f>
        <v/>
      </c>
      <c r="G711" s="70"/>
      <c r="H711" s="70"/>
      <c r="I711" s="70"/>
      <c r="J711" s="135"/>
      <c r="K711" s="136"/>
      <c r="L711" s="71"/>
      <c r="M711" s="72"/>
      <c r="N711" s="72"/>
      <c r="O711" s="264" t="str">
        <f t="shared" ref="O711:O774" si="80">IF(G711="対象外経費",M711,IF(N711="","",M711-N711))</f>
        <v/>
      </c>
      <c r="P711" s="230">
        <f t="shared" si="74"/>
        <v>0</v>
      </c>
      <c r="Q711" s="231" t="str">
        <f t="shared" si="77"/>
        <v>×</v>
      </c>
      <c r="R711" s="231" t="str">
        <f t="shared" si="75"/>
        <v>×</v>
      </c>
      <c r="S711" s="232" t="str">
        <f t="shared" si="76"/>
        <v/>
      </c>
    </row>
    <row r="712" spans="2:19">
      <c r="B712" s="68"/>
      <c r="C712" s="57"/>
      <c r="D712" s="259" t="str">
        <f t="shared" si="78"/>
        <v/>
      </c>
      <c r="E712" s="260" t="str">
        <f t="shared" si="79"/>
        <v/>
      </c>
      <c r="F712" s="271" t="str">
        <f>IF(G712="","",VLOOKUP(G712,プルダウン用リスト!$K$1:$M$16,2,FALSE))</f>
        <v/>
      </c>
      <c r="G712" s="70"/>
      <c r="H712" s="58"/>
      <c r="I712" s="70"/>
      <c r="J712" s="135"/>
      <c r="K712" s="136"/>
      <c r="L712" s="71"/>
      <c r="M712" s="72"/>
      <c r="N712" s="72"/>
      <c r="O712" s="264" t="str">
        <f t="shared" si="80"/>
        <v/>
      </c>
      <c r="P712" s="230">
        <f t="shared" ref="P712:P775" si="81">COUNTA(B712,C712,G712,H712,I712,L712,M712,J712,K712,N712)</f>
        <v>0</v>
      </c>
      <c r="Q712" s="231" t="str">
        <f t="shared" si="77"/>
        <v>×</v>
      </c>
      <c r="R712" s="231" t="str">
        <f t="shared" si="75"/>
        <v>×</v>
      </c>
      <c r="S712" s="232" t="str">
        <f t="shared" si="76"/>
        <v/>
      </c>
    </row>
    <row r="713" spans="2:19">
      <c r="B713" s="68"/>
      <c r="C713" s="57"/>
      <c r="D713" s="259" t="str">
        <f t="shared" si="78"/>
        <v/>
      </c>
      <c r="E713" s="260" t="str">
        <f t="shared" si="79"/>
        <v/>
      </c>
      <c r="F713" s="271" t="str">
        <f>IF(G713="","",VLOOKUP(G713,プルダウン用リスト!$K$1:$M$16,2,FALSE))</f>
        <v/>
      </c>
      <c r="G713" s="70"/>
      <c r="H713" s="58"/>
      <c r="I713" s="70"/>
      <c r="J713" s="135"/>
      <c r="K713" s="136"/>
      <c r="L713" s="71"/>
      <c r="M713" s="72"/>
      <c r="N713" s="72"/>
      <c r="O713" s="264" t="str">
        <f t="shared" si="80"/>
        <v/>
      </c>
      <c r="P713" s="230">
        <f t="shared" si="81"/>
        <v>0</v>
      </c>
      <c r="Q713" s="231" t="str">
        <f t="shared" si="77"/>
        <v>×</v>
      </c>
      <c r="R713" s="231" t="str">
        <f t="shared" ref="R713:R776" si="82">IF(E713="謝金","〇","×")</f>
        <v>×</v>
      </c>
      <c r="S713" s="232" t="str">
        <f t="shared" ref="S713:S776" si="83">_xlfn.IFS(P713=0,"",AND(G713="対象外経費",P713=7),"OK",P713&lt;=7,"ピンク色のセルを全て入力してください",P713=9,"OK",Q713="〇","ピンク色のセルを全て入力してください",R713="〇","ピンク色のセルを全て入力してください",P713=8,"OK")</f>
        <v/>
      </c>
    </row>
    <row r="714" spans="2:19">
      <c r="B714" s="68"/>
      <c r="C714" s="69"/>
      <c r="D714" s="259" t="str">
        <f t="shared" si="78"/>
        <v/>
      </c>
      <c r="E714" s="260" t="str">
        <f t="shared" si="79"/>
        <v/>
      </c>
      <c r="F714" s="271" t="str">
        <f>IF(G714="","",VLOOKUP(G714,プルダウン用リスト!$K$1:$M$16,2,FALSE))</f>
        <v/>
      </c>
      <c r="G714" s="70"/>
      <c r="H714" s="70"/>
      <c r="I714" s="70"/>
      <c r="J714" s="135"/>
      <c r="K714" s="136"/>
      <c r="L714" s="71"/>
      <c r="M714" s="72"/>
      <c r="N714" s="72"/>
      <c r="O714" s="264" t="str">
        <f t="shared" si="80"/>
        <v/>
      </c>
      <c r="P714" s="230">
        <f t="shared" si="81"/>
        <v>0</v>
      </c>
      <c r="Q714" s="231" t="str">
        <f t="shared" si="77"/>
        <v>×</v>
      </c>
      <c r="R714" s="231" t="str">
        <f t="shared" si="82"/>
        <v>×</v>
      </c>
      <c r="S714" s="232" t="str">
        <f t="shared" si="83"/>
        <v/>
      </c>
    </row>
    <row r="715" spans="2:19">
      <c r="B715" s="68"/>
      <c r="C715" s="57"/>
      <c r="D715" s="259" t="str">
        <f t="shared" si="78"/>
        <v/>
      </c>
      <c r="E715" s="260" t="str">
        <f t="shared" si="79"/>
        <v/>
      </c>
      <c r="F715" s="271" t="str">
        <f>IF(G715="","",VLOOKUP(G715,プルダウン用リスト!$K$1:$M$16,2,FALSE))</f>
        <v/>
      </c>
      <c r="G715" s="70"/>
      <c r="H715" s="58"/>
      <c r="I715" s="70"/>
      <c r="J715" s="135"/>
      <c r="K715" s="136"/>
      <c r="L715" s="71"/>
      <c r="M715" s="72"/>
      <c r="N715" s="72"/>
      <c r="O715" s="264" t="str">
        <f t="shared" si="80"/>
        <v/>
      </c>
      <c r="P715" s="230">
        <f t="shared" si="81"/>
        <v>0</v>
      </c>
      <c r="Q715" s="231" t="str">
        <f t="shared" si="77"/>
        <v>×</v>
      </c>
      <c r="R715" s="231" t="str">
        <f t="shared" si="82"/>
        <v>×</v>
      </c>
      <c r="S715" s="232" t="str">
        <f t="shared" si="83"/>
        <v/>
      </c>
    </row>
    <row r="716" spans="2:19">
      <c r="B716" s="68"/>
      <c r="C716" s="57"/>
      <c r="D716" s="259" t="str">
        <f t="shared" si="78"/>
        <v/>
      </c>
      <c r="E716" s="260" t="str">
        <f t="shared" si="79"/>
        <v/>
      </c>
      <c r="F716" s="271" t="str">
        <f>IF(G716="","",VLOOKUP(G716,プルダウン用リスト!$K$1:$M$16,2,FALSE))</f>
        <v/>
      </c>
      <c r="G716" s="70"/>
      <c r="H716" s="58"/>
      <c r="I716" s="70"/>
      <c r="J716" s="135"/>
      <c r="K716" s="136"/>
      <c r="L716" s="71"/>
      <c r="M716" s="72"/>
      <c r="N716" s="72"/>
      <c r="O716" s="264" t="str">
        <f t="shared" si="80"/>
        <v/>
      </c>
      <c r="P716" s="230">
        <f t="shared" si="81"/>
        <v>0</v>
      </c>
      <c r="Q716" s="231" t="str">
        <f t="shared" si="77"/>
        <v>×</v>
      </c>
      <c r="R716" s="231" t="str">
        <f t="shared" si="82"/>
        <v>×</v>
      </c>
      <c r="S716" s="232" t="str">
        <f t="shared" si="83"/>
        <v/>
      </c>
    </row>
    <row r="717" spans="2:19">
      <c r="B717" s="68"/>
      <c r="C717" s="57"/>
      <c r="D717" s="259" t="str">
        <f t="shared" si="78"/>
        <v/>
      </c>
      <c r="E717" s="260" t="str">
        <f t="shared" si="79"/>
        <v/>
      </c>
      <c r="F717" s="271" t="str">
        <f>IF(G717="","",VLOOKUP(G717,プルダウン用リスト!$K$1:$M$16,2,FALSE))</f>
        <v/>
      </c>
      <c r="G717" s="70"/>
      <c r="H717" s="70"/>
      <c r="I717" s="70"/>
      <c r="J717" s="135"/>
      <c r="K717" s="136"/>
      <c r="L717" s="71"/>
      <c r="M717" s="72"/>
      <c r="N717" s="72"/>
      <c r="O717" s="264" t="str">
        <f t="shared" si="80"/>
        <v/>
      </c>
      <c r="P717" s="230">
        <f t="shared" si="81"/>
        <v>0</v>
      </c>
      <c r="Q717" s="231" t="str">
        <f t="shared" si="77"/>
        <v>×</v>
      </c>
      <c r="R717" s="231" t="str">
        <f t="shared" si="82"/>
        <v>×</v>
      </c>
      <c r="S717" s="232" t="str">
        <f t="shared" si="83"/>
        <v/>
      </c>
    </row>
    <row r="718" spans="2:19">
      <c r="B718" s="68"/>
      <c r="C718" s="57"/>
      <c r="D718" s="259" t="str">
        <f t="shared" si="78"/>
        <v/>
      </c>
      <c r="E718" s="260" t="str">
        <f t="shared" si="79"/>
        <v/>
      </c>
      <c r="F718" s="271" t="str">
        <f>IF(G718="","",VLOOKUP(G718,プルダウン用リスト!$K$1:$M$16,2,FALSE))</f>
        <v/>
      </c>
      <c r="G718" s="70"/>
      <c r="H718" s="58"/>
      <c r="I718" s="70"/>
      <c r="J718" s="135"/>
      <c r="K718" s="136"/>
      <c r="L718" s="71"/>
      <c r="M718" s="72"/>
      <c r="N718" s="72"/>
      <c r="O718" s="264" t="str">
        <f t="shared" si="80"/>
        <v/>
      </c>
      <c r="P718" s="230">
        <f t="shared" si="81"/>
        <v>0</v>
      </c>
      <c r="Q718" s="231" t="str">
        <f t="shared" si="77"/>
        <v>×</v>
      </c>
      <c r="R718" s="231" t="str">
        <f t="shared" si="82"/>
        <v>×</v>
      </c>
      <c r="S718" s="232" t="str">
        <f t="shared" si="83"/>
        <v/>
      </c>
    </row>
    <row r="719" spans="2:19">
      <c r="B719" s="68"/>
      <c r="C719" s="57"/>
      <c r="D719" s="259" t="str">
        <f t="shared" si="78"/>
        <v/>
      </c>
      <c r="E719" s="260" t="str">
        <f t="shared" si="79"/>
        <v/>
      </c>
      <c r="F719" s="271" t="str">
        <f>IF(G719="","",VLOOKUP(G719,プルダウン用リスト!$K$1:$M$16,2,FALSE))</f>
        <v/>
      </c>
      <c r="G719" s="70"/>
      <c r="H719" s="58"/>
      <c r="I719" s="70"/>
      <c r="J719" s="135"/>
      <c r="K719" s="136"/>
      <c r="L719" s="71"/>
      <c r="M719" s="72"/>
      <c r="N719" s="72"/>
      <c r="O719" s="264" t="str">
        <f t="shared" si="80"/>
        <v/>
      </c>
      <c r="P719" s="230">
        <f t="shared" si="81"/>
        <v>0</v>
      </c>
      <c r="Q719" s="231" t="str">
        <f t="shared" si="77"/>
        <v>×</v>
      </c>
      <c r="R719" s="231" t="str">
        <f t="shared" si="82"/>
        <v>×</v>
      </c>
      <c r="S719" s="232" t="str">
        <f t="shared" si="83"/>
        <v/>
      </c>
    </row>
    <row r="720" spans="2:19">
      <c r="B720" s="68"/>
      <c r="C720" s="57"/>
      <c r="D720" s="259" t="str">
        <f t="shared" si="78"/>
        <v/>
      </c>
      <c r="E720" s="260" t="str">
        <f t="shared" si="79"/>
        <v/>
      </c>
      <c r="F720" s="271" t="str">
        <f>IF(G720="","",VLOOKUP(G720,プルダウン用リスト!$K$1:$M$16,2,FALSE))</f>
        <v/>
      </c>
      <c r="G720" s="70"/>
      <c r="H720" s="70"/>
      <c r="I720" s="70"/>
      <c r="J720" s="135"/>
      <c r="K720" s="136"/>
      <c r="L720" s="71"/>
      <c r="M720" s="72"/>
      <c r="N720" s="72"/>
      <c r="O720" s="264" t="str">
        <f t="shared" si="80"/>
        <v/>
      </c>
      <c r="P720" s="230">
        <f t="shared" si="81"/>
        <v>0</v>
      </c>
      <c r="Q720" s="231" t="str">
        <f t="shared" si="77"/>
        <v>×</v>
      </c>
      <c r="R720" s="231" t="str">
        <f t="shared" si="82"/>
        <v>×</v>
      </c>
      <c r="S720" s="232" t="str">
        <f t="shared" si="83"/>
        <v/>
      </c>
    </row>
    <row r="721" spans="2:19">
      <c r="B721" s="68"/>
      <c r="C721" s="57"/>
      <c r="D721" s="259" t="str">
        <f t="shared" si="78"/>
        <v/>
      </c>
      <c r="E721" s="260" t="str">
        <f t="shared" si="79"/>
        <v/>
      </c>
      <c r="F721" s="271" t="str">
        <f>IF(G721="","",VLOOKUP(G721,プルダウン用リスト!$K$1:$M$16,2,FALSE))</f>
        <v/>
      </c>
      <c r="G721" s="70"/>
      <c r="H721" s="58"/>
      <c r="I721" s="70"/>
      <c r="J721" s="135"/>
      <c r="K721" s="136"/>
      <c r="L721" s="71"/>
      <c r="M721" s="72"/>
      <c r="N721" s="72"/>
      <c r="O721" s="264" t="str">
        <f t="shared" si="80"/>
        <v/>
      </c>
      <c r="P721" s="230">
        <f t="shared" si="81"/>
        <v>0</v>
      </c>
      <c r="Q721" s="231" t="str">
        <f t="shared" si="77"/>
        <v>×</v>
      </c>
      <c r="R721" s="231" t="str">
        <f t="shared" si="82"/>
        <v>×</v>
      </c>
      <c r="S721" s="232" t="str">
        <f t="shared" si="83"/>
        <v/>
      </c>
    </row>
    <row r="722" spans="2:19">
      <c r="B722" s="68"/>
      <c r="C722" s="57"/>
      <c r="D722" s="259" t="str">
        <f t="shared" si="78"/>
        <v/>
      </c>
      <c r="E722" s="260" t="str">
        <f t="shared" si="79"/>
        <v/>
      </c>
      <c r="F722" s="271" t="str">
        <f>IF(G722="","",VLOOKUP(G722,プルダウン用リスト!$K$1:$M$16,2,FALSE))</f>
        <v/>
      </c>
      <c r="G722" s="70"/>
      <c r="H722" s="58"/>
      <c r="I722" s="70"/>
      <c r="J722" s="135"/>
      <c r="K722" s="136"/>
      <c r="L722" s="71"/>
      <c r="M722" s="72"/>
      <c r="N722" s="72"/>
      <c r="O722" s="264" t="str">
        <f t="shared" si="80"/>
        <v/>
      </c>
      <c r="P722" s="230">
        <f t="shared" si="81"/>
        <v>0</v>
      </c>
      <c r="Q722" s="231" t="str">
        <f t="shared" si="77"/>
        <v>×</v>
      </c>
      <c r="R722" s="231" t="str">
        <f t="shared" si="82"/>
        <v>×</v>
      </c>
      <c r="S722" s="232" t="str">
        <f t="shared" si="83"/>
        <v/>
      </c>
    </row>
    <row r="723" spans="2:19">
      <c r="B723" s="68"/>
      <c r="C723" s="57"/>
      <c r="D723" s="259" t="str">
        <f t="shared" si="78"/>
        <v/>
      </c>
      <c r="E723" s="260" t="str">
        <f t="shared" si="79"/>
        <v/>
      </c>
      <c r="F723" s="271" t="str">
        <f>IF(G723="","",VLOOKUP(G723,プルダウン用リスト!$K$1:$M$16,2,FALSE))</f>
        <v/>
      </c>
      <c r="G723" s="70"/>
      <c r="H723" s="70"/>
      <c r="I723" s="70"/>
      <c r="J723" s="135"/>
      <c r="K723" s="136"/>
      <c r="L723" s="71"/>
      <c r="M723" s="72"/>
      <c r="N723" s="72"/>
      <c r="O723" s="264" t="str">
        <f t="shared" si="80"/>
        <v/>
      </c>
      <c r="P723" s="230">
        <f t="shared" si="81"/>
        <v>0</v>
      </c>
      <c r="Q723" s="231" t="str">
        <f t="shared" si="77"/>
        <v>×</v>
      </c>
      <c r="R723" s="231" t="str">
        <f t="shared" si="82"/>
        <v>×</v>
      </c>
      <c r="S723" s="232" t="str">
        <f t="shared" si="83"/>
        <v/>
      </c>
    </row>
    <row r="724" spans="2:19">
      <c r="B724" s="68"/>
      <c r="C724" s="57"/>
      <c r="D724" s="259" t="str">
        <f t="shared" si="78"/>
        <v/>
      </c>
      <c r="E724" s="260" t="str">
        <f t="shared" si="79"/>
        <v/>
      </c>
      <c r="F724" s="271" t="str">
        <f>IF(G724="","",VLOOKUP(G724,プルダウン用リスト!$K$1:$M$16,2,FALSE))</f>
        <v/>
      </c>
      <c r="G724" s="70"/>
      <c r="H724" s="58"/>
      <c r="I724" s="70"/>
      <c r="J724" s="135"/>
      <c r="K724" s="136"/>
      <c r="L724" s="71"/>
      <c r="M724" s="72"/>
      <c r="N724" s="72"/>
      <c r="O724" s="264" t="str">
        <f t="shared" si="80"/>
        <v/>
      </c>
      <c r="P724" s="230">
        <f t="shared" si="81"/>
        <v>0</v>
      </c>
      <c r="Q724" s="231" t="str">
        <f t="shared" si="77"/>
        <v>×</v>
      </c>
      <c r="R724" s="231" t="str">
        <f t="shared" si="82"/>
        <v>×</v>
      </c>
      <c r="S724" s="232" t="str">
        <f t="shared" si="83"/>
        <v/>
      </c>
    </row>
    <row r="725" spans="2:19">
      <c r="B725" s="68"/>
      <c r="C725" s="57"/>
      <c r="D725" s="259" t="str">
        <f t="shared" si="78"/>
        <v/>
      </c>
      <c r="E725" s="260" t="str">
        <f t="shared" si="79"/>
        <v/>
      </c>
      <c r="F725" s="271" t="str">
        <f>IF(G725="","",VLOOKUP(G725,プルダウン用リスト!$K$1:$M$16,2,FALSE))</f>
        <v/>
      </c>
      <c r="G725" s="70"/>
      <c r="H725" s="58"/>
      <c r="I725" s="70"/>
      <c r="J725" s="135"/>
      <c r="K725" s="136"/>
      <c r="L725" s="71"/>
      <c r="M725" s="72"/>
      <c r="N725" s="72"/>
      <c r="O725" s="264" t="str">
        <f t="shared" si="80"/>
        <v/>
      </c>
      <c r="P725" s="230">
        <f t="shared" si="81"/>
        <v>0</v>
      </c>
      <c r="Q725" s="231" t="str">
        <f t="shared" si="77"/>
        <v>×</v>
      </c>
      <c r="R725" s="231" t="str">
        <f t="shared" si="82"/>
        <v>×</v>
      </c>
      <c r="S725" s="232" t="str">
        <f t="shared" si="83"/>
        <v/>
      </c>
    </row>
    <row r="726" spans="2:19">
      <c r="B726" s="68"/>
      <c r="C726" s="69"/>
      <c r="D726" s="259" t="str">
        <f t="shared" si="78"/>
        <v/>
      </c>
      <c r="E726" s="260" t="str">
        <f t="shared" si="79"/>
        <v/>
      </c>
      <c r="F726" s="271" t="str">
        <f>IF(G726="","",VLOOKUP(G726,プルダウン用リスト!$K$1:$M$16,2,FALSE))</f>
        <v/>
      </c>
      <c r="G726" s="70"/>
      <c r="H726" s="70"/>
      <c r="I726" s="70"/>
      <c r="J726" s="135"/>
      <c r="K726" s="136"/>
      <c r="L726" s="71"/>
      <c r="M726" s="72"/>
      <c r="N726" s="72"/>
      <c r="O726" s="264" t="str">
        <f t="shared" si="80"/>
        <v/>
      </c>
      <c r="P726" s="230">
        <f t="shared" si="81"/>
        <v>0</v>
      </c>
      <c r="Q726" s="231" t="str">
        <f t="shared" si="77"/>
        <v>×</v>
      </c>
      <c r="R726" s="231" t="str">
        <f t="shared" si="82"/>
        <v>×</v>
      </c>
      <c r="S726" s="232" t="str">
        <f t="shared" si="83"/>
        <v/>
      </c>
    </row>
    <row r="727" spans="2:19">
      <c r="B727" s="68"/>
      <c r="C727" s="57"/>
      <c r="D727" s="259" t="str">
        <f t="shared" si="78"/>
        <v/>
      </c>
      <c r="E727" s="260" t="str">
        <f t="shared" si="79"/>
        <v/>
      </c>
      <c r="F727" s="271" t="str">
        <f>IF(G727="","",VLOOKUP(G727,プルダウン用リスト!$K$1:$M$16,2,FALSE))</f>
        <v/>
      </c>
      <c r="G727" s="70"/>
      <c r="H727" s="58"/>
      <c r="I727" s="70"/>
      <c r="J727" s="135"/>
      <c r="K727" s="136"/>
      <c r="L727" s="71"/>
      <c r="M727" s="72"/>
      <c r="N727" s="72"/>
      <c r="O727" s="264" t="str">
        <f t="shared" si="80"/>
        <v/>
      </c>
      <c r="P727" s="230">
        <f t="shared" si="81"/>
        <v>0</v>
      </c>
      <c r="Q727" s="231" t="str">
        <f t="shared" si="77"/>
        <v>×</v>
      </c>
      <c r="R727" s="231" t="str">
        <f t="shared" si="82"/>
        <v>×</v>
      </c>
      <c r="S727" s="232" t="str">
        <f t="shared" si="83"/>
        <v/>
      </c>
    </row>
    <row r="728" spans="2:19">
      <c r="B728" s="68"/>
      <c r="C728" s="57"/>
      <c r="D728" s="259" t="str">
        <f t="shared" si="78"/>
        <v/>
      </c>
      <c r="E728" s="260" t="str">
        <f t="shared" si="79"/>
        <v/>
      </c>
      <c r="F728" s="271" t="str">
        <f>IF(G728="","",VLOOKUP(G728,プルダウン用リスト!$K$1:$M$16,2,FALSE))</f>
        <v/>
      </c>
      <c r="G728" s="70"/>
      <c r="H728" s="58"/>
      <c r="I728" s="70"/>
      <c r="J728" s="135"/>
      <c r="K728" s="136"/>
      <c r="L728" s="71"/>
      <c r="M728" s="72"/>
      <c r="N728" s="72"/>
      <c r="O728" s="264" t="str">
        <f t="shared" si="80"/>
        <v/>
      </c>
      <c r="P728" s="230">
        <f t="shared" si="81"/>
        <v>0</v>
      </c>
      <c r="Q728" s="231" t="str">
        <f t="shared" si="77"/>
        <v>×</v>
      </c>
      <c r="R728" s="231" t="str">
        <f t="shared" si="82"/>
        <v>×</v>
      </c>
      <c r="S728" s="232" t="str">
        <f t="shared" si="83"/>
        <v/>
      </c>
    </row>
    <row r="729" spans="2:19">
      <c r="B729" s="68"/>
      <c r="C729" s="57"/>
      <c r="D729" s="259" t="str">
        <f t="shared" si="78"/>
        <v/>
      </c>
      <c r="E729" s="260" t="str">
        <f t="shared" si="79"/>
        <v/>
      </c>
      <c r="F729" s="271" t="str">
        <f>IF(G729="","",VLOOKUP(G729,プルダウン用リスト!$K$1:$M$16,2,FALSE))</f>
        <v/>
      </c>
      <c r="G729" s="70"/>
      <c r="H729" s="70"/>
      <c r="I729" s="70"/>
      <c r="J729" s="135"/>
      <c r="K729" s="136"/>
      <c r="L729" s="71"/>
      <c r="M729" s="72"/>
      <c r="N729" s="72"/>
      <c r="O729" s="264" t="str">
        <f t="shared" si="80"/>
        <v/>
      </c>
      <c r="P729" s="230">
        <f t="shared" si="81"/>
        <v>0</v>
      </c>
      <c r="Q729" s="231" t="str">
        <f t="shared" si="77"/>
        <v>×</v>
      </c>
      <c r="R729" s="231" t="str">
        <f t="shared" si="82"/>
        <v>×</v>
      </c>
      <c r="S729" s="232" t="str">
        <f t="shared" si="83"/>
        <v/>
      </c>
    </row>
    <row r="730" spans="2:19">
      <c r="B730" s="68"/>
      <c r="C730" s="57"/>
      <c r="D730" s="259" t="str">
        <f t="shared" si="78"/>
        <v/>
      </c>
      <c r="E730" s="260" t="str">
        <f t="shared" si="79"/>
        <v/>
      </c>
      <c r="F730" s="271" t="str">
        <f>IF(G730="","",VLOOKUP(G730,プルダウン用リスト!$K$1:$M$16,2,FALSE))</f>
        <v/>
      </c>
      <c r="G730" s="70"/>
      <c r="H730" s="58"/>
      <c r="I730" s="70"/>
      <c r="J730" s="135"/>
      <c r="K730" s="136"/>
      <c r="L730" s="71"/>
      <c r="M730" s="72"/>
      <c r="N730" s="72"/>
      <c r="O730" s="264" t="str">
        <f t="shared" si="80"/>
        <v/>
      </c>
      <c r="P730" s="230">
        <f t="shared" si="81"/>
        <v>0</v>
      </c>
      <c r="Q730" s="231" t="str">
        <f t="shared" si="77"/>
        <v>×</v>
      </c>
      <c r="R730" s="231" t="str">
        <f t="shared" si="82"/>
        <v>×</v>
      </c>
      <c r="S730" s="232" t="str">
        <f t="shared" si="83"/>
        <v/>
      </c>
    </row>
    <row r="731" spans="2:19">
      <c r="B731" s="68"/>
      <c r="C731" s="57"/>
      <c r="D731" s="259" t="str">
        <f t="shared" si="78"/>
        <v/>
      </c>
      <c r="E731" s="260" t="str">
        <f t="shared" si="79"/>
        <v/>
      </c>
      <c r="F731" s="271" t="str">
        <f>IF(G731="","",VLOOKUP(G731,プルダウン用リスト!$K$1:$M$16,2,FALSE))</f>
        <v/>
      </c>
      <c r="G731" s="70"/>
      <c r="H731" s="58"/>
      <c r="I731" s="70"/>
      <c r="J731" s="135"/>
      <c r="K731" s="136"/>
      <c r="L731" s="71"/>
      <c r="M731" s="72"/>
      <c r="N731" s="72"/>
      <c r="O731" s="264" t="str">
        <f t="shared" si="80"/>
        <v/>
      </c>
      <c r="P731" s="230">
        <f t="shared" si="81"/>
        <v>0</v>
      </c>
      <c r="Q731" s="231" t="str">
        <f t="shared" si="77"/>
        <v>×</v>
      </c>
      <c r="R731" s="231" t="str">
        <f t="shared" si="82"/>
        <v>×</v>
      </c>
      <c r="S731" s="232" t="str">
        <f t="shared" si="83"/>
        <v/>
      </c>
    </row>
    <row r="732" spans="2:19">
      <c r="B732" s="68"/>
      <c r="C732" s="57"/>
      <c r="D732" s="259" t="str">
        <f t="shared" si="78"/>
        <v/>
      </c>
      <c r="E732" s="260" t="str">
        <f t="shared" si="79"/>
        <v/>
      </c>
      <c r="F732" s="271" t="str">
        <f>IF(G732="","",VLOOKUP(G732,プルダウン用リスト!$K$1:$M$16,2,FALSE))</f>
        <v/>
      </c>
      <c r="G732" s="70"/>
      <c r="H732" s="70"/>
      <c r="I732" s="70"/>
      <c r="J732" s="135"/>
      <c r="K732" s="136"/>
      <c r="L732" s="71"/>
      <c r="M732" s="72"/>
      <c r="N732" s="72"/>
      <c r="O732" s="264" t="str">
        <f t="shared" si="80"/>
        <v/>
      </c>
      <c r="P732" s="230">
        <f t="shared" si="81"/>
        <v>0</v>
      </c>
      <c r="Q732" s="231" t="str">
        <f t="shared" si="77"/>
        <v>×</v>
      </c>
      <c r="R732" s="231" t="str">
        <f t="shared" si="82"/>
        <v>×</v>
      </c>
      <c r="S732" s="232" t="str">
        <f t="shared" si="83"/>
        <v/>
      </c>
    </row>
    <row r="733" spans="2:19">
      <c r="B733" s="68"/>
      <c r="C733" s="57"/>
      <c r="D733" s="259" t="str">
        <f t="shared" si="78"/>
        <v/>
      </c>
      <c r="E733" s="260" t="str">
        <f t="shared" si="79"/>
        <v/>
      </c>
      <c r="F733" s="271" t="str">
        <f>IF(G733="","",VLOOKUP(G733,プルダウン用リスト!$K$1:$M$16,2,FALSE))</f>
        <v/>
      </c>
      <c r="G733" s="70"/>
      <c r="H733" s="58"/>
      <c r="I733" s="70"/>
      <c r="J733" s="135"/>
      <c r="K733" s="136"/>
      <c r="L733" s="71"/>
      <c r="M733" s="72"/>
      <c r="N733" s="72"/>
      <c r="O733" s="264" t="str">
        <f t="shared" si="80"/>
        <v/>
      </c>
      <c r="P733" s="230">
        <f t="shared" si="81"/>
        <v>0</v>
      </c>
      <c r="Q733" s="231" t="str">
        <f t="shared" si="77"/>
        <v>×</v>
      </c>
      <c r="R733" s="231" t="str">
        <f t="shared" si="82"/>
        <v>×</v>
      </c>
      <c r="S733" s="232" t="str">
        <f t="shared" si="83"/>
        <v/>
      </c>
    </row>
    <row r="734" spans="2:19">
      <c r="B734" s="68"/>
      <c r="C734" s="57"/>
      <c r="D734" s="259" t="str">
        <f t="shared" si="78"/>
        <v/>
      </c>
      <c r="E734" s="260" t="str">
        <f t="shared" si="79"/>
        <v/>
      </c>
      <c r="F734" s="271" t="str">
        <f>IF(G734="","",VLOOKUP(G734,プルダウン用リスト!$K$1:$M$16,2,FALSE))</f>
        <v/>
      </c>
      <c r="G734" s="70"/>
      <c r="H734" s="58"/>
      <c r="I734" s="70"/>
      <c r="J734" s="135"/>
      <c r="K734" s="136"/>
      <c r="L734" s="71"/>
      <c r="M734" s="72"/>
      <c r="N734" s="72"/>
      <c r="O734" s="264" t="str">
        <f t="shared" si="80"/>
        <v/>
      </c>
      <c r="P734" s="230">
        <f t="shared" si="81"/>
        <v>0</v>
      </c>
      <c r="Q734" s="231" t="str">
        <f t="shared" si="77"/>
        <v>×</v>
      </c>
      <c r="R734" s="231" t="str">
        <f t="shared" si="82"/>
        <v>×</v>
      </c>
      <c r="S734" s="232" t="str">
        <f t="shared" si="83"/>
        <v/>
      </c>
    </row>
    <row r="735" spans="2:19">
      <c r="B735" s="68"/>
      <c r="C735" s="57"/>
      <c r="D735" s="259" t="str">
        <f t="shared" si="78"/>
        <v/>
      </c>
      <c r="E735" s="260" t="str">
        <f t="shared" si="79"/>
        <v/>
      </c>
      <c r="F735" s="271" t="str">
        <f>IF(G735="","",VLOOKUP(G735,プルダウン用リスト!$K$1:$M$16,2,FALSE))</f>
        <v/>
      </c>
      <c r="G735" s="70"/>
      <c r="H735" s="70"/>
      <c r="I735" s="70"/>
      <c r="J735" s="135"/>
      <c r="K735" s="136"/>
      <c r="L735" s="71"/>
      <c r="M735" s="72"/>
      <c r="N735" s="72"/>
      <c r="O735" s="264" t="str">
        <f t="shared" si="80"/>
        <v/>
      </c>
      <c r="P735" s="230">
        <f t="shared" si="81"/>
        <v>0</v>
      </c>
      <c r="Q735" s="231" t="str">
        <f t="shared" si="77"/>
        <v>×</v>
      </c>
      <c r="R735" s="231" t="str">
        <f t="shared" si="82"/>
        <v>×</v>
      </c>
      <c r="S735" s="232" t="str">
        <f t="shared" si="83"/>
        <v/>
      </c>
    </row>
    <row r="736" spans="2:19">
      <c r="B736" s="68"/>
      <c r="C736" s="57"/>
      <c r="D736" s="259" t="str">
        <f t="shared" si="78"/>
        <v/>
      </c>
      <c r="E736" s="260" t="str">
        <f t="shared" si="79"/>
        <v/>
      </c>
      <c r="F736" s="271" t="str">
        <f>IF(G736="","",VLOOKUP(G736,プルダウン用リスト!$K$1:$M$16,2,FALSE))</f>
        <v/>
      </c>
      <c r="G736" s="70"/>
      <c r="H736" s="58"/>
      <c r="I736" s="70"/>
      <c r="J736" s="135"/>
      <c r="K736" s="136"/>
      <c r="L736" s="71"/>
      <c r="M736" s="72"/>
      <c r="N736" s="72"/>
      <c r="O736" s="264" t="str">
        <f t="shared" si="80"/>
        <v/>
      </c>
      <c r="P736" s="230">
        <f t="shared" si="81"/>
        <v>0</v>
      </c>
      <c r="Q736" s="231" t="str">
        <f t="shared" si="77"/>
        <v>×</v>
      </c>
      <c r="R736" s="231" t="str">
        <f t="shared" si="82"/>
        <v>×</v>
      </c>
      <c r="S736" s="232" t="str">
        <f t="shared" si="83"/>
        <v/>
      </c>
    </row>
    <row r="737" spans="2:19">
      <c r="B737" s="68"/>
      <c r="C737" s="57"/>
      <c r="D737" s="259" t="str">
        <f t="shared" si="78"/>
        <v/>
      </c>
      <c r="E737" s="260" t="str">
        <f t="shared" si="79"/>
        <v/>
      </c>
      <c r="F737" s="271" t="str">
        <f>IF(G737="","",VLOOKUP(G737,プルダウン用リスト!$K$1:$M$16,2,FALSE))</f>
        <v/>
      </c>
      <c r="G737" s="70"/>
      <c r="H737" s="58"/>
      <c r="I737" s="70"/>
      <c r="J737" s="135"/>
      <c r="K737" s="136"/>
      <c r="L737" s="71"/>
      <c r="M737" s="72"/>
      <c r="N737" s="72"/>
      <c r="O737" s="264" t="str">
        <f t="shared" si="80"/>
        <v/>
      </c>
      <c r="P737" s="230">
        <f t="shared" si="81"/>
        <v>0</v>
      </c>
      <c r="Q737" s="231" t="str">
        <f t="shared" si="77"/>
        <v>×</v>
      </c>
      <c r="R737" s="231" t="str">
        <f t="shared" si="82"/>
        <v>×</v>
      </c>
      <c r="S737" s="232" t="str">
        <f t="shared" si="83"/>
        <v/>
      </c>
    </row>
    <row r="738" spans="2:19">
      <c r="B738" s="68"/>
      <c r="C738" s="69"/>
      <c r="D738" s="259" t="str">
        <f t="shared" si="78"/>
        <v/>
      </c>
      <c r="E738" s="260" t="str">
        <f t="shared" si="79"/>
        <v/>
      </c>
      <c r="F738" s="271" t="str">
        <f>IF(G738="","",VLOOKUP(G738,プルダウン用リスト!$K$1:$M$16,2,FALSE))</f>
        <v/>
      </c>
      <c r="G738" s="70"/>
      <c r="H738" s="70"/>
      <c r="I738" s="70"/>
      <c r="J738" s="135"/>
      <c r="K738" s="136"/>
      <c r="L738" s="71"/>
      <c r="M738" s="72"/>
      <c r="N738" s="72"/>
      <c r="O738" s="264" t="str">
        <f t="shared" si="80"/>
        <v/>
      </c>
      <c r="P738" s="230">
        <f t="shared" si="81"/>
        <v>0</v>
      </c>
      <c r="Q738" s="231" t="str">
        <f t="shared" si="77"/>
        <v>×</v>
      </c>
      <c r="R738" s="231" t="str">
        <f t="shared" si="82"/>
        <v>×</v>
      </c>
      <c r="S738" s="232" t="str">
        <f t="shared" si="83"/>
        <v/>
      </c>
    </row>
    <row r="739" spans="2:19">
      <c r="B739" s="68"/>
      <c r="C739" s="57"/>
      <c r="D739" s="259" t="str">
        <f t="shared" si="78"/>
        <v/>
      </c>
      <c r="E739" s="260" t="str">
        <f t="shared" si="79"/>
        <v/>
      </c>
      <c r="F739" s="271" t="str">
        <f>IF(G739="","",VLOOKUP(G739,プルダウン用リスト!$K$1:$M$16,2,FALSE))</f>
        <v/>
      </c>
      <c r="G739" s="70"/>
      <c r="H739" s="58"/>
      <c r="I739" s="70"/>
      <c r="J739" s="135"/>
      <c r="K739" s="136"/>
      <c r="L739" s="71"/>
      <c r="M739" s="72"/>
      <c r="N739" s="72"/>
      <c r="O739" s="264" t="str">
        <f t="shared" si="80"/>
        <v/>
      </c>
      <c r="P739" s="230">
        <f t="shared" si="81"/>
        <v>0</v>
      </c>
      <c r="Q739" s="231" t="str">
        <f t="shared" si="77"/>
        <v>×</v>
      </c>
      <c r="R739" s="231" t="str">
        <f t="shared" si="82"/>
        <v>×</v>
      </c>
      <c r="S739" s="232" t="str">
        <f t="shared" si="83"/>
        <v/>
      </c>
    </row>
    <row r="740" spans="2:19">
      <c r="B740" s="68"/>
      <c r="C740" s="57"/>
      <c r="D740" s="259" t="str">
        <f t="shared" si="78"/>
        <v/>
      </c>
      <c r="E740" s="260" t="str">
        <f t="shared" si="79"/>
        <v/>
      </c>
      <c r="F740" s="271" t="str">
        <f>IF(G740="","",VLOOKUP(G740,プルダウン用リスト!$K$1:$M$16,2,FALSE))</f>
        <v/>
      </c>
      <c r="G740" s="70"/>
      <c r="H740" s="58"/>
      <c r="I740" s="70"/>
      <c r="J740" s="135"/>
      <c r="K740" s="136"/>
      <c r="L740" s="71"/>
      <c r="M740" s="72"/>
      <c r="N740" s="72"/>
      <c r="O740" s="264" t="str">
        <f t="shared" si="80"/>
        <v/>
      </c>
      <c r="P740" s="230">
        <f t="shared" si="81"/>
        <v>0</v>
      </c>
      <c r="Q740" s="231" t="str">
        <f t="shared" si="77"/>
        <v>×</v>
      </c>
      <c r="R740" s="231" t="str">
        <f t="shared" si="82"/>
        <v>×</v>
      </c>
      <c r="S740" s="232" t="str">
        <f t="shared" si="83"/>
        <v/>
      </c>
    </row>
    <row r="741" spans="2:19">
      <c r="B741" s="68"/>
      <c r="C741" s="57"/>
      <c r="D741" s="259" t="str">
        <f t="shared" si="78"/>
        <v/>
      </c>
      <c r="E741" s="260" t="str">
        <f t="shared" si="79"/>
        <v/>
      </c>
      <c r="F741" s="271" t="str">
        <f>IF(G741="","",VLOOKUP(G741,プルダウン用リスト!$K$1:$M$16,2,FALSE))</f>
        <v/>
      </c>
      <c r="G741" s="70"/>
      <c r="H741" s="70"/>
      <c r="I741" s="70"/>
      <c r="J741" s="135"/>
      <c r="K741" s="136"/>
      <c r="L741" s="71"/>
      <c r="M741" s="72"/>
      <c r="N741" s="72"/>
      <c r="O741" s="264" t="str">
        <f t="shared" si="80"/>
        <v/>
      </c>
      <c r="P741" s="230">
        <f t="shared" si="81"/>
        <v>0</v>
      </c>
      <c r="Q741" s="231" t="str">
        <f t="shared" si="77"/>
        <v>×</v>
      </c>
      <c r="R741" s="231" t="str">
        <f t="shared" si="82"/>
        <v>×</v>
      </c>
      <c r="S741" s="232" t="str">
        <f t="shared" si="83"/>
        <v/>
      </c>
    </row>
    <row r="742" spans="2:19">
      <c r="B742" s="68"/>
      <c r="C742" s="57"/>
      <c r="D742" s="259" t="str">
        <f t="shared" si="78"/>
        <v/>
      </c>
      <c r="E742" s="260" t="str">
        <f t="shared" si="79"/>
        <v/>
      </c>
      <c r="F742" s="271" t="str">
        <f>IF(G742="","",VLOOKUP(G742,プルダウン用リスト!$K$1:$M$16,2,FALSE))</f>
        <v/>
      </c>
      <c r="G742" s="70"/>
      <c r="H742" s="58"/>
      <c r="I742" s="70"/>
      <c r="J742" s="135"/>
      <c r="K742" s="136"/>
      <c r="L742" s="71"/>
      <c r="M742" s="72"/>
      <c r="N742" s="72"/>
      <c r="O742" s="264" t="str">
        <f t="shared" si="80"/>
        <v/>
      </c>
      <c r="P742" s="230">
        <f t="shared" si="81"/>
        <v>0</v>
      </c>
      <c r="Q742" s="231" t="str">
        <f t="shared" si="77"/>
        <v>×</v>
      </c>
      <c r="R742" s="231" t="str">
        <f t="shared" si="82"/>
        <v>×</v>
      </c>
      <c r="S742" s="232" t="str">
        <f t="shared" si="83"/>
        <v/>
      </c>
    </row>
    <row r="743" spans="2:19">
      <c r="B743" s="68"/>
      <c r="C743" s="57"/>
      <c r="D743" s="259" t="str">
        <f t="shared" si="78"/>
        <v/>
      </c>
      <c r="E743" s="260" t="str">
        <f t="shared" si="79"/>
        <v/>
      </c>
      <c r="F743" s="271" t="str">
        <f>IF(G743="","",VLOOKUP(G743,プルダウン用リスト!$K$1:$M$16,2,FALSE))</f>
        <v/>
      </c>
      <c r="G743" s="70"/>
      <c r="H743" s="58"/>
      <c r="I743" s="70"/>
      <c r="J743" s="135"/>
      <c r="K743" s="136"/>
      <c r="L743" s="71"/>
      <c r="M743" s="72"/>
      <c r="N743" s="72"/>
      <c r="O743" s="264" t="str">
        <f t="shared" si="80"/>
        <v/>
      </c>
      <c r="P743" s="230">
        <f t="shared" si="81"/>
        <v>0</v>
      </c>
      <c r="Q743" s="231" t="str">
        <f t="shared" si="77"/>
        <v>×</v>
      </c>
      <c r="R743" s="231" t="str">
        <f t="shared" si="82"/>
        <v>×</v>
      </c>
      <c r="S743" s="232" t="str">
        <f t="shared" si="83"/>
        <v/>
      </c>
    </row>
    <row r="744" spans="2:19">
      <c r="B744" s="68"/>
      <c r="C744" s="57"/>
      <c r="D744" s="259" t="str">
        <f t="shared" si="78"/>
        <v/>
      </c>
      <c r="E744" s="260" t="str">
        <f t="shared" si="79"/>
        <v/>
      </c>
      <c r="F744" s="271" t="str">
        <f>IF(G744="","",VLOOKUP(G744,プルダウン用リスト!$K$1:$M$16,2,FALSE))</f>
        <v/>
      </c>
      <c r="G744" s="70"/>
      <c r="H744" s="70"/>
      <c r="I744" s="70"/>
      <c r="J744" s="135"/>
      <c r="K744" s="136"/>
      <c r="L744" s="71"/>
      <c r="M744" s="72"/>
      <c r="N744" s="72"/>
      <c r="O744" s="264" t="str">
        <f t="shared" si="80"/>
        <v/>
      </c>
      <c r="P744" s="230">
        <f t="shared" si="81"/>
        <v>0</v>
      </c>
      <c r="Q744" s="231" t="str">
        <f t="shared" si="77"/>
        <v>×</v>
      </c>
      <c r="R744" s="231" t="str">
        <f t="shared" si="82"/>
        <v>×</v>
      </c>
      <c r="S744" s="232" t="str">
        <f t="shared" si="83"/>
        <v/>
      </c>
    </row>
    <row r="745" spans="2:19">
      <c r="B745" s="68"/>
      <c r="C745" s="57"/>
      <c r="D745" s="259" t="str">
        <f t="shared" si="78"/>
        <v/>
      </c>
      <c r="E745" s="260" t="str">
        <f t="shared" si="79"/>
        <v/>
      </c>
      <c r="F745" s="271" t="str">
        <f>IF(G745="","",VLOOKUP(G745,プルダウン用リスト!$K$1:$M$16,2,FALSE))</f>
        <v/>
      </c>
      <c r="G745" s="70"/>
      <c r="H745" s="58"/>
      <c r="I745" s="70"/>
      <c r="J745" s="135"/>
      <c r="K745" s="136"/>
      <c r="L745" s="71"/>
      <c r="M745" s="72"/>
      <c r="N745" s="72"/>
      <c r="O745" s="264" t="str">
        <f t="shared" si="80"/>
        <v/>
      </c>
      <c r="P745" s="230">
        <f t="shared" si="81"/>
        <v>0</v>
      </c>
      <c r="Q745" s="231" t="str">
        <f t="shared" si="77"/>
        <v>×</v>
      </c>
      <c r="R745" s="231" t="str">
        <f t="shared" si="82"/>
        <v>×</v>
      </c>
      <c r="S745" s="232" t="str">
        <f t="shared" si="83"/>
        <v/>
      </c>
    </row>
    <row r="746" spans="2:19">
      <c r="B746" s="68"/>
      <c r="C746" s="57"/>
      <c r="D746" s="259" t="str">
        <f t="shared" si="78"/>
        <v/>
      </c>
      <c r="E746" s="260" t="str">
        <f t="shared" si="79"/>
        <v/>
      </c>
      <c r="F746" s="271" t="str">
        <f>IF(G746="","",VLOOKUP(G746,プルダウン用リスト!$K$1:$M$16,2,FALSE))</f>
        <v/>
      </c>
      <c r="G746" s="70"/>
      <c r="H746" s="58"/>
      <c r="I746" s="70"/>
      <c r="J746" s="135"/>
      <c r="K746" s="136"/>
      <c r="L746" s="71"/>
      <c r="M746" s="72"/>
      <c r="N746" s="72"/>
      <c r="O746" s="264" t="str">
        <f t="shared" si="80"/>
        <v/>
      </c>
      <c r="P746" s="230">
        <f t="shared" si="81"/>
        <v>0</v>
      </c>
      <c r="Q746" s="231" t="str">
        <f t="shared" si="77"/>
        <v>×</v>
      </c>
      <c r="R746" s="231" t="str">
        <f t="shared" si="82"/>
        <v>×</v>
      </c>
      <c r="S746" s="232" t="str">
        <f t="shared" si="83"/>
        <v/>
      </c>
    </row>
    <row r="747" spans="2:19">
      <c r="B747" s="68"/>
      <c r="C747" s="57"/>
      <c r="D747" s="259" t="str">
        <f t="shared" si="78"/>
        <v/>
      </c>
      <c r="E747" s="260" t="str">
        <f t="shared" si="79"/>
        <v/>
      </c>
      <c r="F747" s="271" t="str">
        <f>IF(G747="","",VLOOKUP(G747,プルダウン用リスト!$K$1:$M$16,2,FALSE))</f>
        <v/>
      </c>
      <c r="G747" s="70"/>
      <c r="H747" s="70"/>
      <c r="I747" s="70"/>
      <c r="J747" s="135"/>
      <c r="K747" s="136"/>
      <c r="L747" s="71"/>
      <c r="M747" s="72"/>
      <c r="N747" s="72"/>
      <c r="O747" s="264" t="str">
        <f t="shared" si="80"/>
        <v/>
      </c>
      <c r="P747" s="230">
        <f t="shared" si="81"/>
        <v>0</v>
      </c>
      <c r="Q747" s="231" t="str">
        <f t="shared" si="77"/>
        <v>×</v>
      </c>
      <c r="R747" s="231" t="str">
        <f t="shared" si="82"/>
        <v>×</v>
      </c>
      <c r="S747" s="232" t="str">
        <f t="shared" si="83"/>
        <v/>
      </c>
    </row>
    <row r="748" spans="2:19">
      <c r="B748" s="68"/>
      <c r="C748" s="57"/>
      <c r="D748" s="259" t="str">
        <f t="shared" si="78"/>
        <v/>
      </c>
      <c r="E748" s="260" t="str">
        <f t="shared" si="79"/>
        <v/>
      </c>
      <c r="F748" s="271" t="str">
        <f>IF(G748="","",VLOOKUP(G748,プルダウン用リスト!$K$1:$M$16,2,FALSE))</f>
        <v/>
      </c>
      <c r="G748" s="70"/>
      <c r="H748" s="58"/>
      <c r="I748" s="70"/>
      <c r="J748" s="135"/>
      <c r="K748" s="136"/>
      <c r="L748" s="71"/>
      <c r="M748" s="72"/>
      <c r="N748" s="72"/>
      <c r="O748" s="264" t="str">
        <f t="shared" si="80"/>
        <v/>
      </c>
      <c r="P748" s="230">
        <f t="shared" si="81"/>
        <v>0</v>
      </c>
      <c r="Q748" s="231" t="str">
        <f t="shared" si="77"/>
        <v>×</v>
      </c>
      <c r="R748" s="231" t="str">
        <f t="shared" si="82"/>
        <v>×</v>
      </c>
      <c r="S748" s="232" t="str">
        <f t="shared" si="83"/>
        <v/>
      </c>
    </row>
    <row r="749" spans="2:19">
      <c r="B749" s="68"/>
      <c r="C749" s="57"/>
      <c r="D749" s="259" t="str">
        <f t="shared" si="78"/>
        <v/>
      </c>
      <c r="E749" s="260" t="str">
        <f t="shared" si="79"/>
        <v/>
      </c>
      <c r="F749" s="271" t="str">
        <f>IF(G749="","",VLOOKUP(G749,プルダウン用リスト!$K$1:$M$16,2,FALSE))</f>
        <v/>
      </c>
      <c r="G749" s="70"/>
      <c r="H749" s="58"/>
      <c r="I749" s="70"/>
      <c r="J749" s="135"/>
      <c r="K749" s="136"/>
      <c r="L749" s="71"/>
      <c r="M749" s="72"/>
      <c r="N749" s="72"/>
      <c r="O749" s="264" t="str">
        <f t="shared" si="80"/>
        <v/>
      </c>
      <c r="P749" s="230">
        <f t="shared" si="81"/>
        <v>0</v>
      </c>
      <c r="Q749" s="231" t="str">
        <f t="shared" si="77"/>
        <v>×</v>
      </c>
      <c r="R749" s="231" t="str">
        <f t="shared" si="82"/>
        <v>×</v>
      </c>
      <c r="S749" s="232" t="str">
        <f t="shared" si="83"/>
        <v/>
      </c>
    </row>
    <row r="750" spans="2:19">
      <c r="B750" s="68"/>
      <c r="C750" s="69"/>
      <c r="D750" s="259" t="str">
        <f t="shared" si="78"/>
        <v/>
      </c>
      <c r="E750" s="260" t="str">
        <f t="shared" si="79"/>
        <v/>
      </c>
      <c r="F750" s="271" t="str">
        <f>IF(G750="","",VLOOKUP(G750,プルダウン用リスト!$K$1:$M$16,2,FALSE))</f>
        <v/>
      </c>
      <c r="G750" s="70"/>
      <c r="H750" s="70"/>
      <c r="I750" s="70"/>
      <c r="J750" s="135"/>
      <c r="K750" s="136"/>
      <c r="L750" s="71"/>
      <c r="M750" s="72"/>
      <c r="N750" s="72"/>
      <c r="O750" s="264" t="str">
        <f t="shared" si="80"/>
        <v/>
      </c>
      <c r="P750" s="230">
        <f t="shared" si="81"/>
        <v>0</v>
      </c>
      <c r="Q750" s="231" t="str">
        <f t="shared" si="77"/>
        <v>×</v>
      </c>
      <c r="R750" s="231" t="str">
        <f t="shared" si="82"/>
        <v>×</v>
      </c>
      <c r="S750" s="232" t="str">
        <f t="shared" si="83"/>
        <v/>
      </c>
    </row>
    <row r="751" spans="2:19">
      <c r="B751" s="68"/>
      <c r="C751" s="57"/>
      <c r="D751" s="259" t="str">
        <f t="shared" si="78"/>
        <v/>
      </c>
      <c r="E751" s="260" t="str">
        <f t="shared" si="79"/>
        <v/>
      </c>
      <c r="F751" s="271" t="str">
        <f>IF(G751="","",VLOOKUP(G751,プルダウン用リスト!$K$1:$M$16,2,FALSE))</f>
        <v/>
      </c>
      <c r="G751" s="70"/>
      <c r="H751" s="58"/>
      <c r="I751" s="70"/>
      <c r="J751" s="135"/>
      <c r="K751" s="136"/>
      <c r="L751" s="71"/>
      <c r="M751" s="72"/>
      <c r="N751" s="72"/>
      <c r="O751" s="264" t="str">
        <f t="shared" si="80"/>
        <v/>
      </c>
      <c r="P751" s="230">
        <f t="shared" si="81"/>
        <v>0</v>
      </c>
      <c r="Q751" s="231" t="str">
        <f t="shared" si="77"/>
        <v>×</v>
      </c>
      <c r="R751" s="231" t="str">
        <f t="shared" si="82"/>
        <v>×</v>
      </c>
      <c r="S751" s="232" t="str">
        <f t="shared" si="83"/>
        <v/>
      </c>
    </row>
    <row r="752" spans="2:19">
      <c r="B752" s="68"/>
      <c r="C752" s="57"/>
      <c r="D752" s="259" t="str">
        <f t="shared" si="78"/>
        <v/>
      </c>
      <c r="E752" s="260" t="str">
        <f t="shared" si="79"/>
        <v/>
      </c>
      <c r="F752" s="271" t="str">
        <f>IF(G752="","",VLOOKUP(G752,プルダウン用リスト!$K$1:$M$16,2,FALSE))</f>
        <v/>
      </c>
      <c r="G752" s="70"/>
      <c r="H752" s="58"/>
      <c r="I752" s="70"/>
      <c r="J752" s="135"/>
      <c r="K752" s="136"/>
      <c r="L752" s="71"/>
      <c r="M752" s="72"/>
      <c r="N752" s="72"/>
      <c r="O752" s="264" t="str">
        <f t="shared" si="80"/>
        <v/>
      </c>
      <c r="P752" s="230">
        <f t="shared" si="81"/>
        <v>0</v>
      </c>
      <c r="Q752" s="231" t="str">
        <f t="shared" si="77"/>
        <v>×</v>
      </c>
      <c r="R752" s="231" t="str">
        <f t="shared" si="82"/>
        <v>×</v>
      </c>
      <c r="S752" s="232" t="str">
        <f t="shared" si="83"/>
        <v/>
      </c>
    </row>
    <row r="753" spans="2:19">
      <c r="B753" s="68"/>
      <c r="C753" s="57"/>
      <c r="D753" s="259" t="str">
        <f t="shared" si="78"/>
        <v/>
      </c>
      <c r="E753" s="260" t="str">
        <f t="shared" si="79"/>
        <v/>
      </c>
      <c r="F753" s="271" t="str">
        <f>IF(G753="","",VLOOKUP(G753,プルダウン用リスト!$K$1:$M$16,2,FALSE))</f>
        <v/>
      </c>
      <c r="G753" s="70"/>
      <c r="H753" s="70"/>
      <c r="I753" s="70"/>
      <c r="J753" s="135"/>
      <c r="K753" s="136"/>
      <c r="L753" s="71"/>
      <c r="M753" s="72"/>
      <c r="N753" s="72"/>
      <c r="O753" s="264" t="str">
        <f t="shared" si="80"/>
        <v/>
      </c>
      <c r="P753" s="230">
        <f t="shared" si="81"/>
        <v>0</v>
      </c>
      <c r="Q753" s="231" t="str">
        <f t="shared" si="77"/>
        <v>×</v>
      </c>
      <c r="R753" s="231" t="str">
        <f t="shared" si="82"/>
        <v>×</v>
      </c>
      <c r="S753" s="232" t="str">
        <f t="shared" si="83"/>
        <v/>
      </c>
    </row>
    <row r="754" spans="2:19">
      <c r="B754" s="68"/>
      <c r="C754" s="57"/>
      <c r="D754" s="259" t="str">
        <f t="shared" si="78"/>
        <v/>
      </c>
      <c r="E754" s="260" t="str">
        <f t="shared" si="79"/>
        <v/>
      </c>
      <c r="F754" s="271" t="str">
        <f>IF(G754="","",VLOOKUP(G754,プルダウン用リスト!$K$1:$M$16,2,FALSE))</f>
        <v/>
      </c>
      <c r="G754" s="70"/>
      <c r="H754" s="58"/>
      <c r="I754" s="70"/>
      <c r="J754" s="135"/>
      <c r="K754" s="136"/>
      <c r="L754" s="71"/>
      <c r="M754" s="72"/>
      <c r="N754" s="72"/>
      <c r="O754" s="264" t="str">
        <f t="shared" si="80"/>
        <v/>
      </c>
      <c r="P754" s="230">
        <f t="shared" si="81"/>
        <v>0</v>
      </c>
      <c r="Q754" s="231" t="str">
        <f t="shared" si="77"/>
        <v>×</v>
      </c>
      <c r="R754" s="231" t="str">
        <f t="shared" si="82"/>
        <v>×</v>
      </c>
      <c r="S754" s="232" t="str">
        <f t="shared" si="83"/>
        <v/>
      </c>
    </row>
    <row r="755" spans="2:19">
      <c r="B755" s="68"/>
      <c r="C755" s="57"/>
      <c r="D755" s="259" t="str">
        <f t="shared" si="78"/>
        <v/>
      </c>
      <c r="E755" s="260" t="str">
        <f t="shared" si="79"/>
        <v/>
      </c>
      <c r="F755" s="271" t="str">
        <f>IF(G755="","",VLOOKUP(G755,プルダウン用リスト!$K$1:$M$16,2,FALSE))</f>
        <v/>
      </c>
      <c r="G755" s="70"/>
      <c r="H755" s="58"/>
      <c r="I755" s="70"/>
      <c r="J755" s="135"/>
      <c r="K755" s="136"/>
      <c r="L755" s="71"/>
      <c r="M755" s="72"/>
      <c r="N755" s="72"/>
      <c r="O755" s="264" t="str">
        <f t="shared" si="80"/>
        <v/>
      </c>
      <c r="P755" s="230">
        <f t="shared" si="81"/>
        <v>0</v>
      </c>
      <c r="Q755" s="231" t="str">
        <f t="shared" si="77"/>
        <v>×</v>
      </c>
      <c r="R755" s="231" t="str">
        <f t="shared" si="82"/>
        <v>×</v>
      </c>
      <c r="S755" s="232" t="str">
        <f t="shared" si="83"/>
        <v/>
      </c>
    </row>
    <row r="756" spans="2:19">
      <c r="B756" s="68"/>
      <c r="C756" s="57"/>
      <c r="D756" s="259" t="str">
        <f t="shared" si="78"/>
        <v/>
      </c>
      <c r="E756" s="260" t="str">
        <f t="shared" si="79"/>
        <v/>
      </c>
      <c r="F756" s="271" t="str">
        <f>IF(G756="","",VLOOKUP(G756,プルダウン用リスト!$K$1:$M$16,2,FALSE))</f>
        <v/>
      </c>
      <c r="G756" s="70"/>
      <c r="H756" s="70"/>
      <c r="I756" s="70"/>
      <c r="J756" s="135"/>
      <c r="K756" s="136"/>
      <c r="L756" s="71"/>
      <c r="M756" s="72"/>
      <c r="N756" s="72"/>
      <c r="O756" s="264" t="str">
        <f t="shared" si="80"/>
        <v/>
      </c>
      <c r="P756" s="230">
        <f t="shared" si="81"/>
        <v>0</v>
      </c>
      <c r="Q756" s="231" t="str">
        <f t="shared" si="77"/>
        <v>×</v>
      </c>
      <c r="R756" s="231" t="str">
        <f t="shared" si="82"/>
        <v>×</v>
      </c>
      <c r="S756" s="232" t="str">
        <f t="shared" si="83"/>
        <v/>
      </c>
    </row>
    <row r="757" spans="2:19">
      <c r="B757" s="68"/>
      <c r="C757" s="57"/>
      <c r="D757" s="259" t="str">
        <f t="shared" si="78"/>
        <v/>
      </c>
      <c r="E757" s="260" t="str">
        <f t="shared" si="79"/>
        <v/>
      </c>
      <c r="F757" s="271" t="str">
        <f>IF(G757="","",VLOOKUP(G757,プルダウン用リスト!$K$1:$M$16,2,FALSE))</f>
        <v/>
      </c>
      <c r="G757" s="70"/>
      <c r="H757" s="58"/>
      <c r="I757" s="70"/>
      <c r="J757" s="135"/>
      <c r="K757" s="136"/>
      <c r="L757" s="71"/>
      <c r="M757" s="72"/>
      <c r="N757" s="72"/>
      <c r="O757" s="264" t="str">
        <f t="shared" si="80"/>
        <v/>
      </c>
      <c r="P757" s="230">
        <f t="shared" si="81"/>
        <v>0</v>
      </c>
      <c r="Q757" s="231" t="str">
        <f t="shared" si="77"/>
        <v>×</v>
      </c>
      <c r="R757" s="231" t="str">
        <f t="shared" si="82"/>
        <v>×</v>
      </c>
      <c r="S757" s="232" t="str">
        <f t="shared" si="83"/>
        <v/>
      </c>
    </row>
    <row r="758" spans="2:19">
      <c r="B758" s="68"/>
      <c r="C758" s="57"/>
      <c r="D758" s="259" t="str">
        <f t="shared" si="78"/>
        <v/>
      </c>
      <c r="E758" s="260" t="str">
        <f t="shared" si="79"/>
        <v/>
      </c>
      <c r="F758" s="271" t="str">
        <f>IF(G758="","",VLOOKUP(G758,プルダウン用リスト!$K$1:$M$16,2,FALSE))</f>
        <v/>
      </c>
      <c r="G758" s="70"/>
      <c r="H758" s="58"/>
      <c r="I758" s="70"/>
      <c r="J758" s="135"/>
      <c r="K758" s="136"/>
      <c r="L758" s="71"/>
      <c r="M758" s="72"/>
      <c r="N758" s="72"/>
      <c r="O758" s="264" t="str">
        <f t="shared" si="80"/>
        <v/>
      </c>
      <c r="P758" s="230">
        <f t="shared" si="81"/>
        <v>0</v>
      </c>
      <c r="Q758" s="231" t="str">
        <f t="shared" si="77"/>
        <v>×</v>
      </c>
      <c r="R758" s="231" t="str">
        <f t="shared" si="82"/>
        <v>×</v>
      </c>
      <c r="S758" s="232" t="str">
        <f t="shared" si="83"/>
        <v/>
      </c>
    </row>
    <row r="759" spans="2:19">
      <c r="B759" s="68"/>
      <c r="C759" s="57"/>
      <c r="D759" s="259" t="str">
        <f t="shared" si="78"/>
        <v/>
      </c>
      <c r="E759" s="260" t="str">
        <f t="shared" si="79"/>
        <v/>
      </c>
      <c r="F759" s="271" t="str">
        <f>IF(G759="","",VLOOKUP(G759,プルダウン用リスト!$K$1:$M$16,2,FALSE))</f>
        <v/>
      </c>
      <c r="G759" s="70"/>
      <c r="H759" s="70"/>
      <c r="I759" s="70"/>
      <c r="J759" s="135"/>
      <c r="K759" s="136"/>
      <c r="L759" s="71"/>
      <c r="M759" s="72"/>
      <c r="N759" s="72"/>
      <c r="O759" s="264" t="str">
        <f t="shared" si="80"/>
        <v/>
      </c>
      <c r="P759" s="230">
        <f t="shared" si="81"/>
        <v>0</v>
      </c>
      <c r="Q759" s="231" t="str">
        <f t="shared" si="77"/>
        <v>×</v>
      </c>
      <c r="R759" s="231" t="str">
        <f t="shared" si="82"/>
        <v>×</v>
      </c>
      <c r="S759" s="232" t="str">
        <f t="shared" si="83"/>
        <v/>
      </c>
    </row>
    <row r="760" spans="2:19">
      <c r="B760" s="68"/>
      <c r="C760" s="57"/>
      <c r="D760" s="259" t="str">
        <f t="shared" si="78"/>
        <v/>
      </c>
      <c r="E760" s="260" t="str">
        <f t="shared" si="79"/>
        <v/>
      </c>
      <c r="F760" s="271" t="str">
        <f>IF(G760="","",VLOOKUP(G760,プルダウン用リスト!$K$1:$M$16,2,FALSE))</f>
        <v/>
      </c>
      <c r="G760" s="70"/>
      <c r="H760" s="58"/>
      <c r="I760" s="70"/>
      <c r="J760" s="135"/>
      <c r="K760" s="136"/>
      <c r="L760" s="71"/>
      <c r="M760" s="72"/>
      <c r="N760" s="72"/>
      <c r="O760" s="264" t="str">
        <f t="shared" si="80"/>
        <v/>
      </c>
      <c r="P760" s="230">
        <f t="shared" si="81"/>
        <v>0</v>
      </c>
      <c r="Q760" s="231" t="str">
        <f t="shared" si="77"/>
        <v>×</v>
      </c>
      <c r="R760" s="231" t="str">
        <f t="shared" si="82"/>
        <v>×</v>
      </c>
      <c r="S760" s="232" t="str">
        <f t="shared" si="83"/>
        <v/>
      </c>
    </row>
    <row r="761" spans="2:19">
      <c r="B761" s="68"/>
      <c r="C761" s="57"/>
      <c r="D761" s="259" t="str">
        <f t="shared" si="78"/>
        <v/>
      </c>
      <c r="E761" s="260" t="str">
        <f t="shared" si="79"/>
        <v/>
      </c>
      <c r="F761" s="271" t="str">
        <f>IF(G761="","",VLOOKUP(G761,プルダウン用リスト!$K$1:$M$16,2,FALSE))</f>
        <v/>
      </c>
      <c r="G761" s="70"/>
      <c r="H761" s="58"/>
      <c r="I761" s="70"/>
      <c r="J761" s="135"/>
      <c r="K761" s="136"/>
      <c r="L761" s="71"/>
      <c r="M761" s="72"/>
      <c r="N761" s="72"/>
      <c r="O761" s="264" t="str">
        <f t="shared" si="80"/>
        <v/>
      </c>
      <c r="P761" s="230">
        <f t="shared" si="81"/>
        <v>0</v>
      </c>
      <c r="Q761" s="231" t="str">
        <f t="shared" si="77"/>
        <v>×</v>
      </c>
      <c r="R761" s="231" t="str">
        <f t="shared" si="82"/>
        <v>×</v>
      </c>
      <c r="S761" s="232" t="str">
        <f t="shared" si="83"/>
        <v/>
      </c>
    </row>
    <row r="762" spans="2:19">
      <c r="B762" s="68"/>
      <c r="C762" s="69"/>
      <c r="D762" s="259" t="str">
        <f t="shared" si="78"/>
        <v/>
      </c>
      <c r="E762" s="260" t="str">
        <f t="shared" si="79"/>
        <v/>
      </c>
      <c r="F762" s="271" t="str">
        <f>IF(G762="","",VLOOKUP(G762,プルダウン用リスト!$K$1:$M$16,2,FALSE))</f>
        <v/>
      </c>
      <c r="G762" s="70"/>
      <c r="H762" s="70"/>
      <c r="I762" s="70"/>
      <c r="J762" s="135"/>
      <c r="K762" s="136"/>
      <c r="L762" s="71"/>
      <c r="M762" s="72"/>
      <c r="N762" s="72"/>
      <c r="O762" s="264" t="str">
        <f t="shared" si="80"/>
        <v/>
      </c>
      <c r="P762" s="230">
        <f t="shared" si="81"/>
        <v>0</v>
      </c>
      <c r="Q762" s="231" t="str">
        <f t="shared" si="77"/>
        <v>×</v>
      </c>
      <c r="R762" s="231" t="str">
        <f t="shared" si="82"/>
        <v>×</v>
      </c>
      <c r="S762" s="232" t="str">
        <f t="shared" si="83"/>
        <v/>
      </c>
    </row>
    <row r="763" spans="2:19">
      <c r="B763" s="68"/>
      <c r="C763" s="57"/>
      <c r="D763" s="259" t="str">
        <f t="shared" si="78"/>
        <v/>
      </c>
      <c r="E763" s="260" t="str">
        <f t="shared" si="79"/>
        <v/>
      </c>
      <c r="F763" s="271" t="str">
        <f>IF(G763="","",VLOOKUP(G763,プルダウン用リスト!$K$1:$M$16,2,FALSE))</f>
        <v/>
      </c>
      <c r="G763" s="70"/>
      <c r="H763" s="58"/>
      <c r="I763" s="70"/>
      <c r="J763" s="135"/>
      <c r="K763" s="136"/>
      <c r="L763" s="71"/>
      <c r="M763" s="72"/>
      <c r="N763" s="72"/>
      <c r="O763" s="264" t="str">
        <f t="shared" si="80"/>
        <v/>
      </c>
      <c r="P763" s="230">
        <f t="shared" si="81"/>
        <v>0</v>
      </c>
      <c r="Q763" s="231" t="str">
        <f t="shared" si="77"/>
        <v>×</v>
      </c>
      <c r="R763" s="231" t="str">
        <f t="shared" si="82"/>
        <v>×</v>
      </c>
      <c r="S763" s="232" t="str">
        <f t="shared" si="83"/>
        <v/>
      </c>
    </row>
    <row r="764" spans="2:19">
      <c r="B764" s="68"/>
      <c r="C764" s="57"/>
      <c r="D764" s="259" t="str">
        <f t="shared" si="78"/>
        <v/>
      </c>
      <c r="E764" s="260" t="str">
        <f t="shared" si="79"/>
        <v/>
      </c>
      <c r="F764" s="271" t="str">
        <f>IF(G764="","",VLOOKUP(G764,プルダウン用リスト!$K$1:$M$16,2,FALSE))</f>
        <v/>
      </c>
      <c r="G764" s="70"/>
      <c r="H764" s="58"/>
      <c r="I764" s="70"/>
      <c r="J764" s="135"/>
      <c r="K764" s="136"/>
      <c r="L764" s="71"/>
      <c r="M764" s="72"/>
      <c r="N764" s="72"/>
      <c r="O764" s="264" t="str">
        <f t="shared" si="80"/>
        <v/>
      </c>
      <c r="P764" s="230">
        <f t="shared" si="81"/>
        <v>0</v>
      </c>
      <c r="Q764" s="231" t="str">
        <f t="shared" si="77"/>
        <v>×</v>
      </c>
      <c r="R764" s="231" t="str">
        <f t="shared" si="82"/>
        <v>×</v>
      </c>
      <c r="S764" s="232" t="str">
        <f t="shared" si="83"/>
        <v/>
      </c>
    </row>
    <row r="765" spans="2:19">
      <c r="B765" s="68"/>
      <c r="C765" s="57"/>
      <c r="D765" s="259" t="str">
        <f t="shared" si="78"/>
        <v/>
      </c>
      <c r="E765" s="260" t="str">
        <f t="shared" si="79"/>
        <v/>
      </c>
      <c r="F765" s="271" t="str">
        <f>IF(G765="","",VLOOKUP(G765,プルダウン用リスト!$K$1:$M$16,2,FALSE))</f>
        <v/>
      </c>
      <c r="G765" s="70"/>
      <c r="H765" s="70"/>
      <c r="I765" s="70"/>
      <c r="J765" s="135"/>
      <c r="K765" s="136"/>
      <c r="L765" s="71"/>
      <c r="M765" s="72"/>
      <c r="N765" s="72"/>
      <c r="O765" s="264" t="str">
        <f t="shared" si="80"/>
        <v/>
      </c>
      <c r="P765" s="230">
        <f t="shared" si="81"/>
        <v>0</v>
      </c>
      <c r="Q765" s="231" t="str">
        <f t="shared" si="77"/>
        <v>×</v>
      </c>
      <c r="R765" s="231" t="str">
        <f t="shared" si="82"/>
        <v>×</v>
      </c>
      <c r="S765" s="232" t="str">
        <f t="shared" si="83"/>
        <v/>
      </c>
    </row>
    <row r="766" spans="2:19">
      <c r="B766" s="68"/>
      <c r="C766" s="57"/>
      <c r="D766" s="259" t="str">
        <f t="shared" si="78"/>
        <v/>
      </c>
      <c r="E766" s="260" t="str">
        <f t="shared" si="79"/>
        <v/>
      </c>
      <c r="F766" s="271" t="str">
        <f>IF(G766="","",VLOOKUP(G766,プルダウン用リスト!$K$1:$M$16,2,FALSE))</f>
        <v/>
      </c>
      <c r="G766" s="70"/>
      <c r="H766" s="58"/>
      <c r="I766" s="70"/>
      <c r="J766" s="135"/>
      <c r="K766" s="136"/>
      <c r="L766" s="71"/>
      <c r="M766" s="72"/>
      <c r="N766" s="72"/>
      <c r="O766" s="264" t="str">
        <f t="shared" si="80"/>
        <v/>
      </c>
      <c r="P766" s="230">
        <f t="shared" si="81"/>
        <v>0</v>
      </c>
      <c r="Q766" s="231" t="str">
        <f t="shared" si="77"/>
        <v>×</v>
      </c>
      <c r="R766" s="231" t="str">
        <f t="shared" si="82"/>
        <v>×</v>
      </c>
      <c r="S766" s="232" t="str">
        <f t="shared" si="83"/>
        <v/>
      </c>
    </row>
    <row r="767" spans="2:19">
      <c r="B767" s="68"/>
      <c r="C767" s="57"/>
      <c r="D767" s="259" t="str">
        <f t="shared" si="78"/>
        <v/>
      </c>
      <c r="E767" s="260" t="str">
        <f t="shared" si="79"/>
        <v/>
      </c>
      <c r="F767" s="271" t="str">
        <f>IF(G767="","",VLOOKUP(G767,プルダウン用リスト!$K$1:$M$16,2,FALSE))</f>
        <v/>
      </c>
      <c r="G767" s="70"/>
      <c r="H767" s="58"/>
      <c r="I767" s="70"/>
      <c r="J767" s="135"/>
      <c r="K767" s="136"/>
      <c r="L767" s="71"/>
      <c r="M767" s="72"/>
      <c r="N767" s="72"/>
      <c r="O767" s="264" t="str">
        <f t="shared" si="80"/>
        <v/>
      </c>
      <c r="P767" s="230">
        <f t="shared" si="81"/>
        <v>0</v>
      </c>
      <c r="Q767" s="231" t="str">
        <f t="shared" si="77"/>
        <v>×</v>
      </c>
      <c r="R767" s="231" t="str">
        <f t="shared" si="82"/>
        <v>×</v>
      </c>
      <c r="S767" s="232" t="str">
        <f t="shared" si="83"/>
        <v/>
      </c>
    </row>
    <row r="768" spans="2:19">
      <c r="B768" s="68"/>
      <c r="C768" s="57"/>
      <c r="D768" s="259" t="str">
        <f t="shared" si="78"/>
        <v/>
      </c>
      <c r="E768" s="260" t="str">
        <f t="shared" si="79"/>
        <v/>
      </c>
      <c r="F768" s="271" t="str">
        <f>IF(G768="","",VLOOKUP(G768,プルダウン用リスト!$K$1:$M$16,2,FALSE))</f>
        <v/>
      </c>
      <c r="G768" s="70"/>
      <c r="H768" s="70"/>
      <c r="I768" s="70"/>
      <c r="J768" s="135"/>
      <c r="K768" s="136"/>
      <c r="L768" s="71"/>
      <c r="M768" s="72"/>
      <c r="N768" s="72"/>
      <c r="O768" s="264" t="str">
        <f t="shared" si="80"/>
        <v/>
      </c>
      <c r="P768" s="230">
        <f t="shared" si="81"/>
        <v>0</v>
      </c>
      <c r="Q768" s="231" t="str">
        <f t="shared" si="77"/>
        <v>×</v>
      </c>
      <c r="R768" s="231" t="str">
        <f t="shared" si="82"/>
        <v>×</v>
      </c>
      <c r="S768" s="232" t="str">
        <f t="shared" si="83"/>
        <v/>
      </c>
    </row>
    <row r="769" spans="2:19">
      <c r="B769" s="68"/>
      <c r="C769" s="57"/>
      <c r="D769" s="259" t="str">
        <f t="shared" si="78"/>
        <v/>
      </c>
      <c r="E769" s="260" t="str">
        <f t="shared" si="79"/>
        <v/>
      </c>
      <c r="F769" s="271" t="str">
        <f>IF(G769="","",VLOOKUP(G769,プルダウン用リスト!$K$1:$M$16,2,FALSE))</f>
        <v/>
      </c>
      <c r="G769" s="70"/>
      <c r="H769" s="58"/>
      <c r="I769" s="70"/>
      <c r="J769" s="135"/>
      <c r="K769" s="136"/>
      <c r="L769" s="71"/>
      <c r="M769" s="72"/>
      <c r="N769" s="72"/>
      <c r="O769" s="264" t="str">
        <f t="shared" si="80"/>
        <v/>
      </c>
      <c r="P769" s="230">
        <f t="shared" si="81"/>
        <v>0</v>
      </c>
      <c r="Q769" s="231" t="str">
        <f t="shared" si="77"/>
        <v>×</v>
      </c>
      <c r="R769" s="231" t="str">
        <f t="shared" si="82"/>
        <v>×</v>
      </c>
      <c r="S769" s="232" t="str">
        <f t="shared" si="83"/>
        <v/>
      </c>
    </row>
    <row r="770" spans="2:19">
      <c r="B770" s="68"/>
      <c r="C770" s="57"/>
      <c r="D770" s="259" t="str">
        <f t="shared" si="78"/>
        <v/>
      </c>
      <c r="E770" s="260" t="str">
        <f t="shared" si="79"/>
        <v/>
      </c>
      <c r="F770" s="271" t="str">
        <f>IF(G770="","",VLOOKUP(G770,プルダウン用リスト!$K$1:$M$16,2,FALSE))</f>
        <v/>
      </c>
      <c r="G770" s="70"/>
      <c r="H770" s="58"/>
      <c r="I770" s="70"/>
      <c r="J770" s="135"/>
      <c r="K770" s="136"/>
      <c r="L770" s="71"/>
      <c r="M770" s="72"/>
      <c r="N770" s="72"/>
      <c r="O770" s="264" t="str">
        <f t="shared" si="80"/>
        <v/>
      </c>
      <c r="P770" s="230">
        <f t="shared" si="81"/>
        <v>0</v>
      </c>
      <c r="Q770" s="231" t="str">
        <f t="shared" si="77"/>
        <v>×</v>
      </c>
      <c r="R770" s="231" t="str">
        <f t="shared" si="82"/>
        <v>×</v>
      </c>
      <c r="S770" s="232" t="str">
        <f t="shared" si="83"/>
        <v/>
      </c>
    </row>
    <row r="771" spans="2:19">
      <c r="B771" s="68"/>
      <c r="C771" s="57"/>
      <c r="D771" s="259" t="str">
        <f t="shared" si="78"/>
        <v/>
      </c>
      <c r="E771" s="260" t="str">
        <f t="shared" si="79"/>
        <v/>
      </c>
      <c r="F771" s="271" t="str">
        <f>IF(G771="","",VLOOKUP(G771,プルダウン用リスト!$K$1:$M$16,2,FALSE))</f>
        <v/>
      </c>
      <c r="G771" s="70"/>
      <c r="H771" s="70"/>
      <c r="I771" s="70"/>
      <c r="J771" s="135"/>
      <c r="K771" s="136"/>
      <c r="L771" s="71"/>
      <c r="M771" s="72"/>
      <c r="N771" s="72"/>
      <c r="O771" s="264" t="str">
        <f t="shared" si="80"/>
        <v/>
      </c>
      <c r="P771" s="230">
        <f t="shared" si="81"/>
        <v>0</v>
      </c>
      <c r="Q771" s="231" t="str">
        <f t="shared" si="77"/>
        <v>×</v>
      </c>
      <c r="R771" s="231" t="str">
        <f t="shared" si="82"/>
        <v>×</v>
      </c>
      <c r="S771" s="232" t="str">
        <f t="shared" si="83"/>
        <v/>
      </c>
    </row>
    <row r="772" spans="2:19">
      <c r="B772" s="68"/>
      <c r="C772" s="57"/>
      <c r="D772" s="259" t="str">
        <f t="shared" si="78"/>
        <v/>
      </c>
      <c r="E772" s="260" t="str">
        <f t="shared" si="79"/>
        <v/>
      </c>
      <c r="F772" s="271" t="str">
        <f>IF(G772="","",VLOOKUP(G772,プルダウン用リスト!$K$1:$M$16,2,FALSE))</f>
        <v/>
      </c>
      <c r="G772" s="70"/>
      <c r="H772" s="58"/>
      <c r="I772" s="70"/>
      <c r="J772" s="135"/>
      <c r="K772" s="136"/>
      <c r="L772" s="71"/>
      <c r="M772" s="72"/>
      <c r="N772" s="72"/>
      <c r="O772" s="264" t="str">
        <f t="shared" si="80"/>
        <v/>
      </c>
      <c r="P772" s="230">
        <f t="shared" si="81"/>
        <v>0</v>
      </c>
      <c r="Q772" s="231" t="str">
        <f t="shared" si="77"/>
        <v>×</v>
      </c>
      <c r="R772" s="231" t="str">
        <f t="shared" si="82"/>
        <v>×</v>
      </c>
      <c r="S772" s="232" t="str">
        <f t="shared" si="83"/>
        <v/>
      </c>
    </row>
    <row r="773" spans="2:19">
      <c r="B773" s="68"/>
      <c r="C773" s="57"/>
      <c r="D773" s="259" t="str">
        <f t="shared" si="78"/>
        <v/>
      </c>
      <c r="E773" s="260" t="str">
        <f t="shared" si="79"/>
        <v/>
      </c>
      <c r="F773" s="271" t="str">
        <f>IF(G773="","",VLOOKUP(G773,プルダウン用リスト!$K$1:$M$16,2,FALSE))</f>
        <v/>
      </c>
      <c r="G773" s="70"/>
      <c r="H773" s="58"/>
      <c r="I773" s="70"/>
      <c r="J773" s="135"/>
      <c r="K773" s="136"/>
      <c r="L773" s="71"/>
      <c r="M773" s="72"/>
      <c r="N773" s="72"/>
      <c r="O773" s="264" t="str">
        <f t="shared" si="80"/>
        <v/>
      </c>
      <c r="P773" s="230">
        <f t="shared" si="81"/>
        <v>0</v>
      </c>
      <c r="Q773" s="231" t="str">
        <f t="shared" si="77"/>
        <v>×</v>
      </c>
      <c r="R773" s="231" t="str">
        <f t="shared" si="82"/>
        <v>×</v>
      </c>
      <c r="S773" s="232" t="str">
        <f t="shared" si="83"/>
        <v/>
      </c>
    </row>
    <row r="774" spans="2:19">
      <c r="B774" s="68"/>
      <c r="C774" s="69"/>
      <c r="D774" s="259" t="str">
        <f t="shared" si="78"/>
        <v/>
      </c>
      <c r="E774" s="260" t="str">
        <f t="shared" si="79"/>
        <v/>
      </c>
      <c r="F774" s="271" t="str">
        <f>IF(G774="","",VLOOKUP(G774,プルダウン用リスト!$K$1:$M$16,2,FALSE))</f>
        <v/>
      </c>
      <c r="G774" s="70"/>
      <c r="H774" s="70"/>
      <c r="I774" s="70"/>
      <c r="J774" s="135"/>
      <c r="K774" s="136"/>
      <c r="L774" s="71"/>
      <c r="M774" s="72"/>
      <c r="N774" s="72"/>
      <c r="O774" s="264" t="str">
        <f t="shared" si="80"/>
        <v/>
      </c>
      <c r="P774" s="230">
        <f t="shared" si="81"/>
        <v>0</v>
      </c>
      <c r="Q774" s="231" t="str">
        <f t="shared" ref="Q774:Q837" si="84">IF(G774="旅費","〇","×")</f>
        <v>×</v>
      </c>
      <c r="R774" s="231" t="str">
        <f t="shared" si="82"/>
        <v>×</v>
      </c>
      <c r="S774" s="232" t="str">
        <f t="shared" si="83"/>
        <v/>
      </c>
    </row>
    <row r="775" spans="2:19">
      <c r="B775" s="68"/>
      <c r="C775" s="57"/>
      <c r="D775" s="259" t="str">
        <f t="shared" ref="D775:D838" si="85">IF(E775="","",IF(E775="謝金","01.",IF(E775="旅費","02.",IF(E775="その他","04.","03."))))</f>
        <v/>
      </c>
      <c r="E775" s="260" t="str">
        <f t="shared" ref="E775:E838" si="86">IF(G775="","",IF(OR(G775="謝金（内部）",G775="謝金（外部）"),"謝金",IF(G775="旅費","旅費",IF(G775="対象外経費","その他","所費"))))</f>
        <v/>
      </c>
      <c r="F775" s="271" t="str">
        <f>IF(G775="","",VLOOKUP(G775,プルダウン用リスト!$K$1:$M$16,2,FALSE))</f>
        <v/>
      </c>
      <c r="G775" s="70"/>
      <c r="H775" s="58"/>
      <c r="I775" s="70"/>
      <c r="J775" s="135"/>
      <c r="K775" s="136"/>
      <c r="L775" s="71"/>
      <c r="M775" s="72"/>
      <c r="N775" s="72"/>
      <c r="O775" s="264" t="str">
        <f t="shared" ref="O775:O838" si="87">IF(G775="対象外経費",M775,IF(N775="","",M775-N775))</f>
        <v/>
      </c>
      <c r="P775" s="230">
        <f t="shared" si="81"/>
        <v>0</v>
      </c>
      <c r="Q775" s="231" t="str">
        <f t="shared" si="84"/>
        <v>×</v>
      </c>
      <c r="R775" s="231" t="str">
        <f t="shared" si="82"/>
        <v>×</v>
      </c>
      <c r="S775" s="232" t="str">
        <f t="shared" si="83"/>
        <v/>
      </c>
    </row>
    <row r="776" spans="2:19">
      <c r="B776" s="68"/>
      <c r="C776" s="57"/>
      <c r="D776" s="259" t="str">
        <f t="shared" si="85"/>
        <v/>
      </c>
      <c r="E776" s="260" t="str">
        <f t="shared" si="86"/>
        <v/>
      </c>
      <c r="F776" s="271" t="str">
        <f>IF(G776="","",VLOOKUP(G776,プルダウン用リスト!$K$1:$M$16,2,FALSE))</f>
        <v/>
      </c>
      <c r="G776" s="70"/>
      <c r="H776" s="58"/>
      <c r="I776" s="70"/>
      <c r="J776" s="135"/>
      <c r="K776" s="136"/>
      <c r="L776" s="71"/>
      <c r="M776" s="72"/>
      <c r="N776" s="72"/>
      <c r="O776" s="264" t="str">
        <f t="shared" si="87"/>
        <v/>
      </c>
      <c r="P776" s="230">
        <f t="shared" ref="P776:P839" si="88">COUNTA(B776,C776,G776,H776,I776,L776,M776,J776,K776,N776)</f>
        <v>0</v>
      </c>
      <c r="Q776" s="231" t="str">
        <f t="shared" si="84"/>
        <v>×</v>
      </c>
      <c r="R776" s="231" t="str">
        <f t="shared" si="82"/>
        <v>×</v>
      </c>
      <c r="S776" s="232" t="str">
        <f t="shared" si="83"/>
        <v/>
      </c>
    </row>
    <row r="777" spans="2:19">
      <c r="B777" s="68"/>
      <c r="C777" s="57"/>
      <c r="D777" s="259" t="str">
        <f t="shared" si="85"/>
        <v/>
      </c>
      <c r="E777" s="260" t="str">
        <f t="shared" si="86"/>
        <v/>
      </c>
      <c r="F777" s="271" t="str">
        <f>IF(G777="","",VLOOKUP(G777,プルダウン用リスト!$K$1:$M$16,2,FALSE))</f>
        <v/>
      </c>
      <c r="G777" s="70"/>
      <c r="H777" s="70"/>
      <c r="I777" s="70"/>
      <c r="J777" s="135"/>
      <c r="K777" s="136"/>
      <c r="L777" s="71"/>
      <c r="M777" s="72"/>
      <c r="N777" s="72"/>
      <c r="O777" s="264" t="str">
        <f t="shared" si="87"/>
        <v/>
      </c>
      <c r="P777" s="230">
        <f t="shared" si="88"/>
        <v>0</v>
      </c>
      <c r="Q777" s="231" t="str">
        <f t="shared" si="84"/>
        <v>×</v>
      </c>
      <c r="R777" s="231" t="str">
        <f t="shared" ref="R777:R840" si="89">IF(E777="謝金","〇","×")</f>
        <v>×</v>
      </c>
      <c r="S777" s="232" t="str">
        <f t="shared" ref="S777:S840" si="90">_xlfn.IFS(P777=0,"",AND(G777="対象外経費",P777=7),"OK",P777&lt;=7,"ピンク色のセルを全て入力してください",P777=9,"OK",Q777="〇","ピンク色のセルを全て入力してください",R777="〇","ピンク色のセルを全て入力してください",P777=8,"OK")</f>
        <v/>
      </c>
    </row>
    <row r="778" spans="2:19">
      <c r="B778" s="68"/>
      <c r="C778" s="57"/>
      <c r="D778" s="259" t="str">
        <f t="shared" si="85"/>
        <v/>
      </c>
      <c r="E778" s="260" t="str">
        <f t="shared" si="86"/>
        <v/>
      </c>
      <c r="F778" s="271" t="str">
        <f>IF(G778="","",VLOOKUP(G778,プルダウン用リスト!$K$1:$M$16,2,FALSE))</f>
        <v/>
      </c>
      <c r="G778" s="70"/>
      <c r="H778" s="58"/>
      <c r="I778" s="70"/>
      <c r="J778" s="135"/>
      <c r="K778" s="136"/>
      <c r="L778" s="71"/>
      <c r="M778" s="72"/>
      <c r="N778" s="72"/>
      <c r="O778" s="264" t="str">
        <f t="shared" si="87"/>
        <v/>
      </c>
      <c r="P778" s="230">
        <f t="shared" si="88"/>
        <v>0</v>
      </c>
      <c r="Q778" s="231" t="str">
        <f t="shared" si="84"/>
        <v>×</v>
      </c>
      <c r="R778" s="231" t="str">
        <f t="shared" si="89"/>
        <v>×</v>
      </c>
      <c r="S778" s="232" t="str">
        <f t="shared" si="90"/>
        <v/>
      </c>
    </row>
    <row r="779" spans="2:19">
      <c r="B779" s="68"/>
      <c r="C779" s="57"/>
      <c r="D779" s="259" t="str">
        <f t="shared" si="85"/>
        <v/>
      </c>
      <c r="E779" s="260" t="str">
        <f t="shared" si="86"/>
        <v/>
      </c>
      <c r="F779" s="271" t="str">
        <f>IF(G779="","",VLOOKUP(G779,プルダウン用リスト!$K$1:$M$16,2,FALSE))</f>
        <v/>
      </c>
      <c r="G779" s="70"/>
      <c r="H779" s="58"/>
      <c r="I779" s="70"/>
      <c r="J779" s="135"/>
      <c r="K779" s="136"/>
      <c r="L779" s="71"/>
      <c r="M779" s="72"/>
      <c r="N779" s="72"/>
      <c r="O779" s="264" t="str">
        <f t="shared" si="87"/>
        <v/>
      </c>
      <c r="P779" s="230">
        <f t="shared" si="88"/>
        <v>0</v>
      </c>
      <c r="Q779" s="231" t="str">
        <f t="shared" si="84"/>
        <v>×</v>
      </c>
      <c r="R779" s="231" t="str">
        <f t="shared" si="89"/>
        <v>×</v>
      </c>
      <c r="S779" s="232" t="str">
        <f t="shared" si="90"/>
        <v/>
      </c>
    </row>
    <row r="780" spans="2:19">
      <c r="B780" s="68"/>
      <c r="C780" s="57"/>
      <c r="D780" s="259" t="str">
        <f t="shared" si="85"/>
        <v/>
      </c>
      <c r="E780" s="260" t="str">
        <f t="shared" si="86"/>
        <v/>
      </c>
      <c r="F780" s="271" t="str">
        <f>IF(G780="","",VLOOKUP(G780,プルダウン用リスト!$K$1:$M$16,2,FALSE))</f>
        <v/>
      </c>
      <c r="G780" s="70"/>
      <c r="H780" s="70"/>
      <c r="I780" s="70"/>
      <c r="J780" s="135"/>
      <c r="K780" s="136"/>
      <c r="L780" s="71"/>
      <c r="M780" s="72"/>
      <c r="N780" s="72"/>
      <c r="O780" s="264" t="str">
        <f t="shared" si="87"/>
        <v/>
      </c>
      <c r="P780" s="230">
        <f t="shared" si="88"/>
        <v>0</v>
      </c>
      <c r="Q780" s="231" t="str">
        <f t="shared" si="84"/>
        <v>×</v>
      </c>
      <c r="R780" s="231" t="str">
        <f t="shared" si="89"/>
        <v>×</v>
      </c>
      <c r="S780" s="232" t="str">
        <f t="shared" si="90"/>
        <v/>
      </c>
    </row>
    <row r="781" spans="2:19">
      <c r="B781" s="68"/>
      <c r="C781" s="57"/>
      <c r="D781" s="259" t="str">
        <f t="shared" si="85"/>
        <v/>
      </c>
      <c r="E781" s="260" t="str">
        <f t="shared" si="86"/>
        <v/>
      </c>
      <c r="F781" s="271" t="str">
        <f>IF(G781="","",VLOOKUP(G781,プルダウン用リスト!$K$1:$M$16,2,FALSE))</f>
        <v/>
      </c>
      <c r="G781" s="70"/>
      <c r="H781" s="58"/>
      <c r="I781" s="70"/>
      <c r="J781" s="135"/>
      <c r="K781" s="136"/>
      <c r="L781" s="71"/>
      <c r="M781" s="72"/>
      <c r="N781" s="72"/>
      <c r="O781" s="264" t="str">
        <f t="shared" si="87"/>
        <v/>
      </c>
      <c r="P781" s="230">
        <f t="shared" si="88"/>
        <v>0</v>
      </c>
      <c r="Q781" s="231" t="str">
        <f t="shared" si="84"/>
        <v>×</v>
      </c>
      <c r="R781" s="231" t="str">
        <f t="shared" si="89"/>
        <v>×</v>
      </c>
      <c r="S781" s="232" t="str">
        <f t="shared" si="90"/>
        <v/>
      </c>
    </row>
    <row r="782" spans="2:19">
      <c r="B782" s="68"/>
      <c r="C782" s="57"/>
      <c r="D782" s="259" t="str">
        <f t="shared" si="85"/>
        <v/>
      </c>
      <c r="E782" s="260" t="str">
        <f t="shared" si="86"/>
        <v/>
      </c>
      <c r="F782" s="271" t="str">
        <f>IF(G782="","",VLOOKUP(G782,プルダウン用リスト!$K$1:$M$16,2,FALSE))</f>
        <v/>
      </c>
      <c r="G782" s="70"/>
      <c r="H782" s="58"/>
      <c r="I782" s="70"/>
      <c r="J782" s="135"/>
      <c r="K782" s="136"/>
      <c r="L782" s="71"/>
      <c r="M782" s="72"/>
      <c r="N782" s="72"/>
      <c r="O782" s="264" t="str">
        <f t="shared" si="87"/>
        <v/>
      </c>
      <c r="P782" s="230">
        <f t="shared" si="88"/>
        <v>0</v>
      </c>
      <c r="Q782" s="231" t="str">
        <f t="shared" si="84"/>
        <v>×</v>
      </c>
      <c r="R782" s="231" t="str">
        <f t="shared" si="89"/>
        <v>×</v>
      </c>
      <c r="S782" s="232" t="str">
        <f t="shared" si="90"/>
        <v/>
      </c>
    </row>
    <row r="783" spans="2:19">
      <c r="B783" s="68"/>
      <c r="C783" s="57"/>
      <c r="D783" s="259" t="str">
        <f t="shared" si="85"/>
        <v/>
      </c>
      <c r="E783" s="260" t="str">
        <f t="shared" si="86"/>
        <v/>
      </c>
      <c r="F783" s="271" t="str">
        <f>IF(G783="","",VLOOKUP(G783,プルダウン用リスト!$K$1:$M$16,2,FALSE))</f>
        <v/>
      </c>
      <c r="G783" s="70"/>
      <c r="H783" s="70"/>
      <c r="I783" s="70"/>
      <c r="J783" s="135"/>
      <c r="K783" s="136"/>
      <c r="L783" s="71"/>
      <c r="M783" s="72"/>
      <c r="N783" s="72"/>
      <c r="O783" s="264" t="str">
        <f t="shared" si="87"/>
        <v/>
      </c>
      <c r="P783" s="230">
        <f t="shared" si="88"/>
        <v>0</v>
      </c>
      <c r="Q783" s="231" t="str">
        <f t="shared" si="84"/>
        <v>×</v>
      </c>
      <c r="R783" s="231" t="str">
        <f t="shared" si="89"/>
        <v>×</v>
      </c>
      <c r="S783" s="232" t="str">
        <f t="shared" si="90"/>
        <v/>
      </c>
    </row>
    <row r="784" spans="2:19">
      <c r="B784" s="68"/>
      <c r="C784" s="57"/>
      <c r="D784" s="259" t="str">
        <f t="shared" si="85"/>
        <v/>
      </c>
      <c r="E784" s="260" t="str">
        <f t="shared" si="86"/>
        <v/>
      </c>
      <c r="F784" s="271" t="str">
        <f>IF(G784="","",VLOOKUP(G784,プルダウン用リスト!$K$1:$M$16,2,FALSE))</f>
        <v/>
      </c>
      <c r="G784" s="70"/>
      <c r="H784" s="58"/>
      <c r="I784" s="70"/>
      <c r="J784" s="135"/>
      <c r="K784" s="136"/>
      <c r="L784" s="71"/>
      <c r="M784" s="72"/>
      <c r="N784" s="72"/>
      <c r="O784" s="264" t="str">
        <f t="shared" si="87"/>
        <v/>
      </c>
      <c r="P784" s="230">
        <f t="shared" si="88"/>
        <v>0</v>
      </c>
      <c r="Q784" s="231" t="str">
        <f t="shared" si="84"/>
        <v>×</v>
      </c>
      <c r="R784" s="231" t="str">
        <f t="shared" si="89"/>
        <v>×</v>
      </c>
      <c r="S784" s="232" t="str">
        <f t="shared" si="90"/>
        <v/>
      </c>
    </row>
    <row r="785" spans="2:19">
      <c r="B785" s="68"/>
      <c r="C785" s="57"/>
      <c r="D785" s="259" t="str">
        <f t="shared" si="85"/>
        <v/>
      </c>
      <c r="E785" s="260" t="str">
        <f t="shared" si="86"/>
        <v/>
      </c>
      <c r="F785" s="271" t="str">
        <f>IF(G785="","",VLOOKUP(G785,プルダウン用リスト!$K$1:$M$16,2,FALSE))</f>
        <v/>
      </c>
      <c r="G785" s="70"/>
      <c r="H785" s="58"/>
      <c r="I785" s="70"/>
      <c r="J785" s="135"/>
      <c r="K785" s="136"/>
      <c r="L785" s="71"/>
      <c r="M785" s="72"/>
      <c r="N785" s="72"/>
      <c r="O785" s="264" t="str">
        <f t="shared" si="87"/>
        <v/>
      </c>
      <c r="P785" s="230">
        <f t="shared" si="88"/>
        <v>0</v>
      </c>
      <c r="Q785" s="231" t="str">
        <f t="shared" si="84"/>
        <v>×</v>
      </c>
      <c r="R785" s="231" t="str">
        <f t="shared" si="89"/>
        <v>×</v>
      </c>
      <c r="S785" s="232" t="str">
        <f t="shared" si="90"/>
        <v/>
      </c>
    </row>
    <row r="786" spans="2:19">
      <c r="B786" s="68"/>
      <c r="C786" s="69"/>
      <c r="D786" s="259" t="str">
        <f t="shared" si="85"/>
        <v/>
      </c>
      <c r="E786" s="260" t="str">
        <f t="shared" si="86"/>
        <v/>
      </c>
      <c r="F786" s="271" t="str">
        <f>IF(G786="","",VLOOKUP(G786,プルダウン用リスト!$K$1:$M$16,2,FALSE))</f>
        <v/>
      </c>
      <c r="G786" s="70"/>
      <c r="H786" s="70"/>
      <c r="I786" s="70"/>
      <c r="J786" s="135"/>
      <c r="K786" s="136"/>
      <c r="L786" s="71"/>
      <c r="M786" s="72"/>
      <c r="N786" s="72"/>
      <c r="O786" s="264" t="str">
        <f t="shared" si="87"/>
        <v/>
      </c>
      <c r="P786" s="230">
        <f t="shared" si="88"/>
        <v>0</v>
      </c>
      <c r="Q786" s="231" t="str">
        <f t="shared" si="84"/>
        <v>×</v>
      </c>
      <c r="R786" s="231" t="str">
        <f t="shared" si="89"/>
        <v>×</v>
      </c>
      <c r="S786" s="232" t="str">
        <f t="shared" si="90"/>
        <v/>
      </c>
    </row>
    <row r="787" spans="2:19">
      <c r="B787" s="68"/>
      <c r="C787" s="57"/>
      <c r="D787" s="259" t="str">
        <f t="shared" si="85"/>
        <v/>
      </c>
      <c r="E787" s="260" t="str">
        <f t="shared" si="86"/>
        <v/>
      </c>
      <c r="F787" s="271" t="str">
        <f>IF(G787="","",VLOOKUP(G787,プルダウン用リスト!$K$1:$M$16,2,FALSE))</f>
        <v/>
      </c>
      <c r="G787" s="70"/>
      <c r="H787" s="58"/>
      <c r="I787" s="70"/>
      <c r="J787" s="135"/>
      <c r="K787" s="136"/>
      <c r="L787" s="71"/>
      <c r="M787" s="72"/>
      <c r="N787" s="72"/>
      <c r="O787" s="264" t="str">
        <f t="shared" si="87"/>
        <v/>
      </c>
      <c r="P787" s="230">
        <f t="shared" si="88"/>
        <v>0</v>
      </c>
      <c r="Q787" s="231" t="str">
        <f t="shared" si="84"/>
        <v>×</v>
      </c>
      <c r="R787" s="231" t="str">
        <f t="shared" si="89"/>
        <v>×</v>
      </c>
      <c r="S787" s="232" t="str">
        <f t="shared" si="90"/>
        <v/>
      </c>
    </row>
    <row r="788" spans="2:19">
      <c r="B788" s="68"/>
      <c r="C788" s="57"/>
      <c r="D788" s="259" t="str">
        <f t="shared" si="85"/>
        <v/>
      </c>
      <c r="E788" s="260" t="str">
        <f t="shared" si="86"/>
        <v/>
      </c>
      <c r="F788" s="271" t="str">
        <f>IF(G788="","",VLOOKUP(G788,プルダウン用リスト!$K$1:$M$16,2,FALSE))</f>
        <v/>
      </c>
      <c r="G788" s="70"/>
      <c r="H788" s="58"/>
      <c r="I788" s="70"/>
      <c r="J788" s="135"/>
      <c r="K788" s="136"/>
      <c r="L788" s="71"/>
      <c r="M788" s="72"/>
      <c r="N788" s="72"/>
      <c r="O788" s="264" t="str">
        <f t="shared" si="87"/>
        <v/>
      </c>
      <c r="P788" s="230">
        <f t="shared" si="88"/>
        <v>0</v>
      </c>
      <c r="Q788" s="231" t="str">
        <f t="shared" si="84"/>
        <v>×</v>
      </c>
      <c r="R788" s="231" t="str">
        <f t="shared" si="89"/>
        <v>×</v>
      </c>
      <c r="S788" s="232" t="str">
        <f t="shared" si="90"/>
        <v/>
      </c>
    </row>
    <row r="789" spans="2:19">
      <c r="B789" s="68"/>
      <c r="C789" s="57"/>
      <c r="D789" s="259" t="str">
        <f t="shared" si="85"/>
        <v/>
      </c>
      <c r="E789" s="260" t="str">
        <f t="shared" si="86"/>
        <v/>
      </c>
      <c r="F789" s="271" t="str">
        <f>IF(G789="","",VLOOKUP(G789,プルダウン用リスト!$K$1:$M$16,2,FALSE))</f>
        <v/>
      </c>
      <c r="G789" s="70"/>
      <c r="H789" s="70"/>
      <c r="I789" s="70"/>
      <c r="J789" s="135"/>
      <c r="K789" s="136"/>
      <c r="L789" s="71"/>
      <c r="M789" s="72"/>
      <c r="N789" s="72"/>
      <c r="O789" s="264" t="str">
        <f t="shared" si="87"/>
        <v/>
      </c>
      <c r="P789" s="230">
        <f t="shared" si="88"/>
        <v>0</v>
      </c>
      <c r="Q789" s="231" t="str">
        <f t="shared" si="84"/>
        <v>×</v>
      </c>
      <c r="R789" s="231" t="str">
        <f t="shared" si="89"/>
        <v>×</v>
      </c>
      <c r="S789" s="232" t="str">
        <f t="shared" si="90"/>
        <v/>
      </c>
    </row>
    <row r="790" spans="2:19">
      <c r="B790" s="68"/>
      <c r="C790" s="57"/>
      <c r="D790" s="259" t="str">
        <f t="shared" si="85"/>
        <v/>
      </c>
      <c r="E790" s="260" t="str">
        <f t="shared" si="86"/>
        <v/>
      </c>
      <c r="F790" s="271" t="str">
        <f>IF(G790="","",VLOOKUP(G790,プルダウン用リスト!$K$1:$M$16,2,FALSE))</f>
        <v/>
      </c>
      <c r="G790" s="70"/>
      <c r="H790" s="58"/>
      <c r="I790" s="70"/>
      <c r="J790" s="135"/>
      <c r="K790" s="136"/>
      <c r="L790" s="71"/>
      <c r="M790" s="72"/>
      <c r="N790" s="72"/>
      <c r="O790" s="264" t="str">
        <f t="shared" si="87"/>
        <v/>
      </c>
      <c r="P790" s="230">
        <f t="shared" si="88"/>
        <v>0</v>
      </c>
      <c r="Q790" s="231" t="str">
        <f t="shared" si="84"/>
        <v>×</v>
      </c>
      <c r="R790" s="231" t="str">
        <f t="shared" si="89"/>
        <v>×</v>
      </c>
      <c r="S790" s="232" t="str">
        <f t="shared" si="90"/>
        <v/>
      </c>
    </row>
    <row r="791" spans="2:19">
      <c r="B791" s="68"/>
      <c r="C791" s="57"/>
      <c r="D791" s="259" t="str">
        <f t="shared" si="85"/>
        <v/>
      </c>
      <c r="E791" s="260" t="str">
        <f t="shared" si="86"/>
        <v/>
      </c>
      <c r="F791" s="271" t="str">
        <f>IF(G791="","",VLOOKUP(G791,プルダウン用リスト!$K$1:$M$16,2,FALSE))</f>
        <v/>
      </c>
      <c r="G791" s="70"/>
      <c r="H791" s="58"/>
      <c r="I791" s="70"/>
      <c r="J791" s="135"/>
      <c r="K791" s="136"/>
      <c r="L791" s="71"/>
      <c r="M791" s="72"/>
      <c r="N791" s="72"/>
      <c r="O791" s="264" t="str">
        <f t="shared" si="87"/>
        <v/>
      </c>
      <c r="P791" s="230">
        <f t="shared" si="88"/>
        <v>0</v>
      </c>
      <c r="Q791" s="231" t="str">
        <f t="shared" si="84"/>
        <v>×</v>
      </c>
      <c r="R791" s="231" t="str">
        <f t="shared" si="89"/>
        <v>×</v>
      </c>
      <c r="S791" s="232" t="str">
        <f t="shared" si="90"/>
        <v/>
      </c>
    </row>
    <row r="792" spans="2:19">
      <c r="B792" s="68"/>
      <c r="C792" s="57"/>
      <c r="D792" s="259" t="str">
        <f t="shared" si="85"/>
        <v/>
      </c>
      <c r="E792" s="260" t="str">
        <f t="shared" si="86"/>
        <v/>
      </c>
      <c r="F792" s="271" t="str">
        <f>IF(G792="","",VLOOKUP(G792,プルダウン用リスト!$K$1:$M$16,2,FALSE))</f>
        <v/>
      </c>
      <c r="G792" s="70"/>
      <c r="H792" s="70"/>
      <c r="I792" s="70"/>
      <c r="J792" s="135"/>
      <c r="K792" s="136"/>
      <c r="L792" s="71"/>
      <c r="M792" s="72"/>
      <c r="N792" s="72"/>
      <c r="O792" s="264" t="str">
        <f t="shared" si="87"/>
        <v/>
      </c>
      <c r="P792" s="230">
        <f t="shared" si="88"/>
        <v>0</v>
      </c>
      <c r="Q792" s="231" t="str">
        <f t="shared" si="84"/>
        <v>×</v>
      </c>
      <c r="R792" s="231" t="str">
        <f t="shared" si="89"/>
        <v>×</v>
      </c>
      <c r="S792" s="232" t="str">
        <f t="shared" si="90"/>
        <v/>
      </c>
    </row>
    <row r="793" spans="2:19">
      <c r="B793" s="68"/>
      <c r="C793" s="57"/>
      <c r="D793" s="259" t="str">
        <f t="shared" si="85"/>
        <v/>
      </c>
      <c r="E793" s="260" t="str">
        <f t="shared" si="86"/>
        <v/>
      </c>
      <c r="F793" s="271" t="str">
        <f>IF(G793="","",VLOOKUP(G793,プルダウン用リスト!$K$1:$M$16,2,FALSE))</f>
        <v/>
      </c>
      <c r="G793" s="70"/>
      <c r="H793" s="58"/>
      <c r="I793" s="70"/>
      <c r="J793" s="135"/>
      <c r="K793" s="136"/>
      <c r="L793" s="71"/>
      <c r="M793" s="72"/>
      <c r="N793" s="72"/>
      <c r="O793" s="264" t="str">
        <f t="shared" si="87"/>
        <v/>
      </c>
      <c r="P793" s="230">
        <f t="shared" si="88"/>
        <v>0</v>
      </c>
      <c r="Q793" s="231" t="str">
        <f t="shared" si="84"/>
        <v>×</v>
      </c>
      <c r="R793" s="231" t="str">
        <f t="shared" si="89"/>
        <v>×</v>
      </c>
      <c r="S793" s="232" t="str">
        <f t="shared" si="90"/>
        <v/>
      </c>
    </row>
    <row r="794" spans="2:19">
      <c r="B794" s="68"/>
      <c r="C794" s="57"/>
      <c r="D794" s="259" t="str">
        <f t="shared" si="85"/>
        <v/>
      </c>
      <c r="E794" s="260" t="str">
        <f t="shared" si="86"/>
        <v/>
      </c>
      <c r="F794" s="271" t="str">
        <f>IF(G794="","",VLOOKUP(G794,プルダウン用リスト!$K$1:$M$16,2,FALSE))</f>
        <v/>
      </c>
      <c r="G794" s="70"/>
      <c r="H794" s="58"/>
      <c r="I794" s="70"/>
      <c r="J794" s="135"/>
      <c r="K794" s="136"/>
      <c r="L794" s="71"/>
      <c r="M794" s="72"/>
      <c r="N794" s="72"/>
      <c r="O794" s="264" t="str">
        <f t="shared" si="87"/>
        <v/>
      </c>
      <c r="P794" s="230">
        <f t="shared" si="88"/>
        <v>0</v>
      </c>
      <c r="Q794" s="231" t="str">
        <f t="shared" si="84"/>
        <v>×</v>
      </c>
      <c r="R794" s="231" t="str">
        <f t="shared" si="89"/>
        <v>×</v>
      </c>
      <c r="S794" s="232" t="str">
        <f t="shared" si="90"/>
        <v/>
      </c>
    </row>
    <row r="795" spans="2:19">
      <c r="B795" s="68"/>
      <c r="C795" s="57"/>
      <c r="D795" s="259" t="str">
        <f t="shared" si="85"/>
        <v/>
      </c>
      <c r="E795" s="260" t="str">
        <f t="shared" si="86"/>
        <v/>
      </c>
      <c r="F795" s="271" t="str">
        <f>IF(G795="","",VLOOKUP(G795,プルダウン用リスト!$K$1:$M$16,2,FALSE))</f>
        <v/>
      </c>
      <c r="G795" s="70"/>
      <c r="H795" s="70"/>
      <c r="I795" s="70"/>
      <c r="J795" s="135"/>
      <c r="K795" s="136"/>
      <c r="L795" s="71"/>
      <c r="M795" s="72"/>
      <c r="N795" s="72"/>
      <c r="O795" s="264" t="str">
        <f t="shared" si="87"/>
        <v/>
      </c>
      <c r="P795" s="230">
        <f t="shared" si="88"/>
        <v>0</v>
      </c>
      <c r="Q795" s="231" t="str">
        <f t="shared" si="84"/>
        <v>×</v>
      </c>
      <c r="R795" s="231" t="str">
        <f t="shared" si="89"/>
        <v>×</v>
      </c>
      <c r="S795" s="232" t="str">
        <f t="shared" si="90"/>
        <v/>
      </c>
    </row>
    <row r="796" spans="2:19">
      <c r="B796" s="68"/>
      <c r="C796" s="57"/>
      <c r="D796" s="259" t="str">
        <f t="shared" si="85"/>
        <v/>
      </c>
      <c r="E796" s="260" t="str">
        <f t="shared" si="86"/>
        <v/>
      </c>
      <c r="F796" s="271" t="str">
        <f>IF(G796="","",VLOOKUP(G796,プルダウン用リスト!$K$1:$M$16,2,FALSE))</f>
        <v/>
      </c>
      <c r="G796" s="70"/>
      <c r="H796" s="58"/>
      <c r="I796" s="70"/>
      <c r="J796" s="135"/>
      <c r="K796" s="136"/>
      <c r="L796" s="71"/>
      <c r="M796" s="72"/>
      <c r="N796" s="72"/>
      <c r="O796" s="264" t="str">
        <f t="shared" si="87"/>
        <v/>
      </c>
      <c r="P796" s="230">
        <f t="shared" si="88"/>
        <v>0</v>
      </c>
      <c r="Q796" s="231" t="str">
        <f t="shared" si="84"/>
        <v>×</v>
      </c>
      <c r="R796" s="231" t="str">
        <f t="shared" si="89"/>
        <v>×</v>
      </c>
      <c r="S796" s="232" t="str">
        <f t="shared" si="90"/>
        <v/>
      </c>
    </row>
    <row r="797" spans="2:19">
      <c r="B797" s="68"/>
      <c r="C797" s="57"/>
      <c r="D797" s="259" t="str">
        <f t="shared" si="85"/>
        <v/>
      </c>
      <c r="E797" s="260" t="str">
        <f t="shared" si="86"/>
        <v/>
      </c>
      <c r="F797" s="271" t="str">
        <f>IF(G797="","",VLOOKUP(G797,プルダウン用リスト!$K$1:$M$16,2,FALSE))</f>
        <v/>
      </c>
      <c r="G797" s="70"/>
      <c r="H797" s="58"/>
      <c r="I797" s="70"/>
      <c r="J797" s="135"/>
      <c r="K797" s="136"/>
      <c r="L797" s="71"/>
      <c r="M797" s="72"/>
      <c r="N797" s="72"/>
      <c r="O797" s="264" t="str">
        <f t="shared" si="87"/>
        <v/>
      </c>
      <c r="P797" s="230">
        <f t="shared" si="88"/>
        <v>0</v>
      </c>
      <c r="Q797" s="231" t="str">
        <f t="shared" si="84"/>
        <v>×</v>
      </c>
      <c r="R797" s="231" t="str">
        <f t="shared" si="89"/>
        <v>×</v>
      </c>
      <c r="S797" s="232" t="str">
        <f t="shared" si="90"/>
        <v/>
      </c>
    </row>
    <row r="798" spans="2:19">
      <c r="B798" s="68"/>
      <c r="C798" s="69"/>
      <c r="D798" s="259" t="str">
        <f t="shared" si="85"/>
        <v/>
      </c>
      <c r="E798" s="260" t="str">
        <f t="shared" si="86"/>
        <v/>
      </c>
      <c r="F798" s="271" t="str">
        <f>IF(G798="","",VLOOKUP(G798,プルダウン用リスト!$K$1:$M$16,2,FALSE))</f>
        <v/>
      </c>
      <c r="G798" s="70"/>
      <c r="H798" s="70"/>
      <c r="I798" s="70"/>
      <c r="J798" s="135"/>
      <c r="K798" s="136"/>
      <c r="L798" s="71"/>
      <c r="M798" s="72"/>
      <c r="N798" s="72"/>
      <c r="O798" s="264" t="str">
        <f t="shared" si="87"/>
        <v/>
      </c>
      <c r="P798" s="230">
        <f t="shared" si="88"/>
        <v>0</v>
      </c>
      <c r="Q798" s="231" t="str">
        <f t="shared" si="84"/>
        <v>×</v>
      </c>
      <c r="R798" s="231" t="str">
        <f t="shared" si="89"/>
        <v>×</v>
      </c>
      <c r="S798" s="232" t="str">
        <f t="shared" si="90"/>
        <v/>
      </c>
    </row>
    <row r="799" spans="2:19">
      <c r="B799" s="68"/>
      <c r="C799" s="57"/>
      <c r="D799" s="259" t="str">
        <f t="shared" si="85"/>
        <v/>
      </c>
      <c r="E799" s="260" t="str">
        <f t="shared" si="86"/>
        <v/>
      </c>
      <c r="F799" s="271" t="str">
        <f>IF(G799="","",VLOOKUP(G799,プルダウン用リスト!$K$1:$M$16,2,FALSE))</f>
        <v/>
      </c>
      <c r="G799" s="70"/>
      <c r="H799" s="58"/>
      <c r="I799" s="70"/>
      <c r="J799" s="135"/>
      <c r="K799" s="136"/>
      <c r="L799" s="71"/>
      <c r="M799" s="72"/>
      <c r="N799" s="72"/>
      <c r="O799" s="264" t="str">
        <f t="shared" si="87"/>
        <v/>
      </c>
      <c r="P799" s="230">
        <f t="shared" si="88"/>
        <v>0</v>
      </c>
      <c r="Q799" s="231" t="str">
        <f t="shared" si="84"/>
        <v>×</v>
      </c>
      <c r="R799" s="231" t="str">
        <f t="shared" si="89"/>
        <v>×</v>
      </c>
      <c r="S799" s="232" t="str">
        <f t="shared" si="90"/>
        <v/>
      </c>
    </row>
    <row r="800" spans="2:19">
      <c r="B800" s="68"/>
      <c r="C800" s="57"/>
      <c r="D800" s="259" t="str">
        <f t="shared" si="85"/>
        <v/>
      </c>
      <c r="E800" s="260" t="str">
        <f t="shared" si="86"/>
        <v/>
      </c>
      <c r="F800" s="271" t="str">
        <f>IF(G800="","",VLOOKUP(G800,プルダウン用リスト!$K$1:$M$16,2,FALSE))</f>
        <v/>
      </c>
      <c r="G800" s="70"/>
      <c r="H800" s="58"/>
      <c r="I800" s="70"/>
      <c r="J800" s="135"/>
      <c r="K800" s="136"/>
      <c r="L800" s="71"/>
      <c r="M800" s="72"/>
      <c r="N800" s="72"/>
      <c r="O800" s="264" t="str">
        <f t="shared" si="87"/>
        <v/>
      </c>
      <c r="P800" s="230">
        <f t="shared" si="88"/>
        <v>0</v>
      </c>
      <c r="Q800" s="231" t="str">
        <f t="shared" si="84"/>
        <v>×</v>
      </c>
      <c r="R800" s="231" t="str">
        <f t="shared" si="89"/>
        <v>×</v>
      </c>
      <c r="S800" s="232" t="str">
        <f t="shared" si="90"/>
        <v/>
      </c>
    </row>
    <row r="801" spans="2:19">
      <c r="B801" s="68"/>
      <c r="C801" s="57"/>
      <c r="D801" s="259" t="str">
        <f t="shared" si="85"/>
        <v/>
      </c>
      <c r="E801" s="260" t="str">
        <f t="shared" si="86"/>
        <v/>
      </c>
      <c r="F801" s="271" t="str">
        <f>IF(G801="","",VLOOKUP(G801,プルダウン用リスト!$K$1:$M$16,2,FALSE))</f>
        <v/>
      </c>
      <c r="G801" s="70"/>
      <c r="H801" s="70"/>
      <c r="I801" s="70"/>
      <c r="J801" s="135"/>
      <c r="K801" s="136"/>
      <c r="L801" s="71"/>
      <c r="M801" s="72"/>
      <c r="N801" s="72"/>
      <c r="O801" s="264" t="str">
        <f t="shared" si="87"/>
        <v/>
      </c>
      <c r="P801" s="230">
        <f t="shared" si="88"/>
        <v>0</v>
      </c>
      <c r="Q801" s="231" t="str">
        <f t="shared" si="84"/>
        <v>×</v>
      </c>
      <c r="R801" s="231" t="str">
        <f t="shared" si="89"/>
        <v>×</v>
      </c>
      <c r="S801" s="232" t="str">
        <f t="shared" si="90"/>
        <v/>
      </c>
    </row>
    <row r="802" spans="2:19">
      <c r="B802" s="68"/>
      <c r="C802" s="57"/>
      <c r="D802" s="259" t="str">
        <f t="shared" si="85"/>
        <v/>
      </c>
      <c r="E802" s="260" t="str">
        <f t="shared" si="86"/>
        <v/>
      </c>
      <c r="F802" s="271" t="str">
        <f>IF(G802="","",VLOOKUP(G802,プルダウン用リスト!$K$1:$M$16,2,FALSE))</f>
        <v/>
      </c>
      <c r="G802" s="70"/>
      <c r="H802" s="58"/>
      <c r="I802" s="70"/>
      <c r="J802" s="135"/>
      <c r="K802" s="136"/>
      <c r="L802" s="71"/>
      <c r="M802" s="72"/>
      <c r="N802" s="72"/>
      <c r="O802" s="264" t="str">
        <f t="shared" si="87"/>
        <v/>
      </c>
      <c r="P802" s="230">
        <f t="shared" si="88"/>
        <v>0</v>
      </c>
      <c r="Q802" s="231" t="str">
        <f t="shared" si="84"/>
        <v>×</v>
      </c>
      <c r="R802" s="231" t="str">
        <f t="shared" si="89"/>
        <v>×</v>
      </c>
      <c r="S802" s="232" t="str">
        <f t="shared" si="90"/>
        <v/>
      </c>
    </row>
    <row r="803" spans="2:19">
      <c r="B803" s="68"/>
      <c r="C803" s="57"/>
      <c r="D803" s="259" t="str">
        <f t="shared" si="85"/>
        <v/>
      </c>
      <c r="E803" s="260" t="str">
        <f t="shared" si="86"/>
        <v/>
      </c>
      <c r="F803" s="271" t="str">
        <f>IF(G803="","",VLOOKUP(G803,プルダウン用リスト!$K$1:$M$16,2,FALSE))</f>
        <v/>
      </c>
      <c r="G803" s="70"/>
      <c r="H803" s="58"/>
      <c r="I803" s="70"/>
      <c r="J803" s="135"/>
      <c r="K803" s="136"/>
      <c r="L803" s="71"/>
      <c r="M803" s="72"/>
      <c r="N803" s="72"/>
      <c r="O803" s="264" t="str">
        <f t="shared" si="87"/>
        <v/>
      </c>
      <c r="P803" s="230">
        <f t="shared" si="88"/>
        <v>0</v>
      </c>
      <c r="Q803" s="231" t="str">
        <f t="shared" si="84"/>
        <v>×</v>
      </c>
      <c r="R803" s="231" t="str">
        <f t="shared" si="89"/>
        <v>×</v>
      </c>
      <c r="S803" s="232" t="str">
        <f t="shared" si="90"/>
        <v/>
      </c>
    </row>
    <row r="804" spans="2:19">
      <c r="B804" s="68"/>
      <c r="C804" s="57"/>
      <c r="D804" s="259" t="str">
        <f t="shared" si="85"/>
        <v/>
      </c>
      <c r="E804" s="260" t="str">
        <f t="shared" si="86"/>
        <v/>
      </c>
      <c r="F804" s="271" t="str">
        <f>IF(G804="","",VLOOKUP(G804,プルダウン用リスト!$K$1:$M$16,2,FALSE))</f>
        <v/>
      </c>
      <c r="G804" s="70"/>
      <c r="H804" s="70"/>
      <c r="I804" s="70"/>
      <c r="J804" s="135"/>
      <c r="K804" s="136"/>
      <c r="L804" s="71"/>
      <c r="M804" s="72"/>
      <c r="N804" s="72"/>
      <c r="O804" s="264" t="str">
        <f t="shared" si="87"/>
        <v/>
      </c>
      <c r="P804" s="230">
        <f t="shared" si="88"/>
        <v>0</v>
      </c>
      <c r="Q804" s="231" t="str">
        <f t="shared" si="84"/>
        <v>×</v>
      </c>
      <c r="R804" s="231" t="str">
        <f t="shared" si="89"/>
        <v>×</v>
      </c>
      <c r="S804" s="232" t="str">
        <f t="shared" si="90"/>
        <v/>
      </c>
    </row>
    <row r="805" spans="2:19">
      <c r="B805" s="68"/>
      <c r="C805" s="57"/>
      <c r="D805" s="259" t="str">
        <f t="shared" si="85"/>
        <v/>
      </c>
      <c r="E805" s="260" t="str">
        <f t="shared" si="86"/>
        <v/>
      </c>
      <c r="F805" s="271" t="str">
        <f>IF(G805="","",VLOOKUP(G805,プルダウン用リスト!$K$1:$M$16,2,FALSE))</f>
        <v/>
      </c>
      <c r="G805" s="70"/>
      <c r="H805" s="58"/>
      <c r="I805" s="70"/>
      <c r="J805" s="135"/>
      <c r="K805" s="136"/>
      <c r="L805" s="71"/>
      <c r="M805" s="72"/>
      <c r="N805" s="72"/>
      <c r="O805" s="264" t="str">
        <f t="shared" si="87"/>
        <v/>
      </c>
      <c r="P805" s="230">
        <f t="shared" si="88"/>
        <v>0</v>
      </c>
      <c r="Q805" s="231" t="str">
        <f t="shared" si="84"/>
        <v>×</v>
      </c>
      <c r="R805" s="231" t="str">
        <f t="shared" si="89"/>
        <v>×</v>
      </c>
      <c r="S805" s="232" t="str">
        <f t="shared" si="90"/>
        <v/>
      </c>
    </row>
    <row r="806" spans="2:19">
      <c r="B806" s="68"/>
      <c r="C806" s="57"/>
      <c r="D806" s="259" t="str">
        <f t="shared" si="85"/>
        <v/>
      </c>
      <c r="E806" s="260" t="str">
        <f t="shared" si="86"/>
        <v/>
      </c>
      <c r="F806" s="271" t="str">
        <f>IF(G806="","",VLOOKUP(G806,プルダウン用リスト!$K$1:$M$16,2,FALSE))</f>
        <v/>
      </c>
      <c r="G806" s="70"/>
      <c r="H806" s="58"/>
      <c r="I806" s="70"/>
      <c r="J806" s="135"/>
      <c r="K806" s="136"/>
      <c r="L806" s="71"/>
      <c r="M806" s="72"/>
      <c r="N806" s="72"/>
      <c r="O806" s="264" t="str">
        <f t="shared" si="87"/>
        <v/>
      </c>
      <c r="P806" s="230">
        <f t="shared" si="88"/>
        <v>0</v>
      </c>
      <c r="Q806" s="231" t="str">
        <f t="shared" si="84"/>
        <v>×</v>
      </c>
      <c r="R806" s="231" t="str">
        <f t="shared" si="89"/>
        <v>×</v>
      </c>
      <c r="S806" s="232" t="str">
        <f t="shared" si="90"/>
        <v/>
      </c>
    </row>
    <row r="807" spans="2:19">
      <c r="B807" s="68"/>
      <c r="C807" s="57"/>
      <c r="D807" s="259" t="str">
        <f t="shared" si="85"/>
        <v/>
      </c>
      <c r="E807" s="260" t="str">
        <f t="shared" si="86"/>
        <v/>
      </c>
      <c r="F807" s="271" t="str">
        <f>IF(G807="","",VLOOKUP(G807,プルダウン用リスト!$K$1:$M$16,2,FALSE))</f>
        <v/>
      </c>
      <c r="G807" s="70"/>
      <c r="H807" s="70"/>
      <c r="I807" s="70"/>
      <c r="J807" s="135"/>
      <c r="K807" s="136"/>
      <c r="L807" s="71"/>
      <c r="M807" s="72"/>
      <c r="N807" s="72"/>
      <c r="O807" s="264" t="str">
        <f t="shared" si="87"/>
        <v/>
      </c>
      <c r="P807" s="230">
        <f t="shared" si="88"/>
        <v>0</v>
      </c>
      <c r="Q807" s="231" t="str">
        <f t="shared" si="84"/>
        <v>×</v>
      </c>
      <c r="R807" s="231" t="str">
        <f t="shared" si="89"/>
        <v>×</v>
      </c>
      <c r="S807" s="232" t="str">
        <f t="shared" si="90"/>
        <v/>
      </c>
    </row>
    <row r="808" spans="2:19">
      <c r="B808" s="68"/>
      <c r="C808" s="57"/>
      <c r="D808" s="259" t="str">
        <f t="shared" si="85"/>
        <v/>
      </c>
      <c r="E808" s="260" t="str">
        <f t="shared" si="86"/>
        <v/>
      </c>
      <c r="F808" s="271" t="str">
        <f>IF(G808="","",VLOOKUP(G808,プルダウン用リスト!$K$1:$M$16,2,FALSE))</f>
        <v/>
      </c>
      <c r="G808" s="70"/>
      <c r="H808" s="58"/>
      <c r="I808" s="70"/>
      <c r="J808" s="135"/>
      <c r="K808" s="136"/>
      <c r="L808" s="71"/>
      <c r="M808" s="72"/>
      <c r="N808" s="72"/>
      <c r="O808" s="264" t="str">
        <f t="shared" si="87"/>
        <v/>
      </c>
      <c r="P808" s="230">
        <f t="shared" si="88"/>
        <v>0</v>
      </c>
      <c r="Q808" s="231" t="str">
        <f t="shared" si="84"/>
        <v>×</v>
      </c>
      <c r="R808" s="231" t="str">
        <f t="shared" si="89"/>
        <v>×</v>
      </c>
      <c r="S808" s="232" t="str">
        <f t="shared" si="90"/>
        <v/>
      </c>
    </row>
    <row r="809" spans="2:19">
      <c r="B809" s="68"/>
      <c r="C809" s="57"/>
      <c r="D809" s="259" t="str">
        <f t="shared" si="85"/>
        <v/>
      </c>
      <c r="E809" s="260" t="str">
        <f t="shared" si="86"/>
        <v/>
      </c>
      <c r="F809" s="271" t="str">
        <f>IF(G809="","",VLOOKUP(G809,プルダウン用リスト!$K$1:$M$16,2,FALSE))</f>
        <v/>
      </c>
      <c r="G809" s="70"/>
      <c r="H809" s="58"/>
      <c r="I809" s="70"/>
      <c r="J809" s="135"/>
      <c r="K809" s="136"/>
      <c r="L809" s="71"/>
      <c r="M809" s="72"/>
      <c r="N809" s="72"/>
      <c r="O809" s="264" t="str">
        <f t="shared" si="87"/>
        <v/>
      </c>
      <c r="P809" s="230">
        <f t="shared" si="88"/>
        <v>0</v>
      </c>
      <c r="Q809" s="231" t="str">
        <f t="shared" si="84"/>
        <v>×</v>
      </c>
      <c r="R809" s="231" t="str">
        <f t="shared" si="89"/>
        <v>×</v>
      </c>
      <c r="S809" s="232" t="str">
        <f t="shared" si="90"/>
        <v/>
      </c>
    </row>
    <row r="810" spans="2:19">
      <c r="B810" s="68"/>
      <c r="C810" s="69"/>
      <c r="D810" s="259" t="str">
        <f t="shared" si="85"/>
        <v/>
      </c>
      <c r="E810" s="260" t="str">
        <f t="shared" si="86"/>
        <v/>
      </c>
      <c r="F810" s="271" t="str">
        <f>IF(G810="","",VLOOKUP(G810,プルダウン用リスト!$K$1:$M$16,2,FALSE))</f>
        <v/>
      </c>
      <c r="G810" s="70"/>
      <c r="H810" s="70"/>
      <c r="I810" s="70"/>
      <c r="J810" s="135"/>
      <c r="K810" s="136"/>
      <c r="L810" s="71"/>
      <c r="M810" s="72"/>
      <c r="N810" s="72"/>
      <c r="O810" s="264" t="str">
        <f t="shared" si="87"/>
        <v/>
      </c>
      <c r="P810" s="230">
        <f t="shared" si="88"/>
        <v>0</v>
      </c>
      <c r="Q810" s="231" t="str">
        <f t="shared" si="84"/>
        <v>×</v>
      </c>
      <c r="R810" s="231" t="str">
        <f t="shared" si="89"/>
        <v>×</v>
      </c>
      <c r="S810" s="232" t="str">
        <f t="shared" si="90"/>
        <v/>
      </c>
    </row>
    <row r="811" spans="2:19">
      <c r="B811" s="68"/>
      <c r="C811" s="57"/>
      <c r="D811" s="259" t="str">
        <f t="shared" si="85"/>
        <v/>
      </c>
      <c r="E811" s="260" t="str">
        <f t="shared" si="86"/>
        <v/>
      </c>
      <c r="F811" s="271" t="str">
        <f>IF(G811="","",VLOOKUP(G811,プルダウン用リスト!$K$1:$M$16,2,FALSE))</f>
        <v/>
      </c>
      <c r="G811" s="70"/>
      <c r="H811" s="58"/>
      <c r="I811" s="70"/>
      <c r="J811" s="135"/>
      <c r="K811" s="136"/>
      <c r="L811" s="71"/>
      <c r="M811" s="72"/>
      <c r="N811" s="72"/>
      <c r="O811" s="264" t="str">
        <f t="shared" si="87"/>
        <v/>
      </c>
      <c r="P811" s="230">
        <f t="shared" si="88"/>
        <v>0</v>
      </c>
      <c r="Q811" s="231" t="str">
        <f t="shared" si="84"/>
        <v>×</v>
      </c>
      <c r="R811" s="231" t="str">
        <f t="shared" si="89"/>
        <v>×</v>
      </c>
      <c r="S811" s="232" t="str">
        <f t="shared" si="90"/>
        <v/>
      </c>
    </row>
    <row r="812" spans="2:19">
      <c r="B812" s="68"/>
      <c r="C812" s="57"/>
      <c r="D812" s="259" t="str">
        <f t="shared" si="85"/>
        <v/>
      </c>
      <c r="E812" s="260" t="str">
        <f t="shared" si="86"/>
        <v/>
      </c>
      <c r="F812" s="271" t="str">
        <f>IF(G812="","",VLOOKUP(G812,プルダウン用リスト!$K$1:$M$16,2,FALSE))</f>
        <v/>
      </c>
      <c r="G812" s="70"/>
      <c r="H812" s="58"/>
      <c r="I812" s="70"/>
      <c r="J812" s="135"/>
      <c r="K812" s="136"/>
      <c r="L812" s="71"/>
      <c r="M812" s="72"/>
      <c r="N812" s="72"/>
      <c r="O812" s="264" t="str">
        <f t="shared" si="87"/>
        <v/>
      </c>
      <c r="P812" s="230">
        <f t="shared" si="88"/>
        <v>0</v>
      </c>
      <c r="Q812" s="231" t="str">
        <f t="shared" si="84"/>
        <v>×</v>
      </c>
      <c r="R812" s="231" t="str">
        <f t="shared" si="89"/>
        <v>×</v>
      </c>
      <c r="S812" s="232" t="str">
        <f t="shared" si="90"/>
        <v/>
      </c>
    </row>
    <row r="813" spans="2:19">
      <c r="B813" s="68"/>
      <c r="C813" s="57"/>
      <c r="D813" s="259" t="str">
        <f t="shared" si="85"/>
        <v/>
      </c>
      <c r="E813" s="260" t="str">
        <f t="shared" si="86"/>
        <v/>
      </c>
      <c r="F813" s="271" t="str">
        <f>IF(G813="","",VLOOKUP(G813,プルダウン用リスト!$K$1:$M$16,2,FALSE))</f>
        <v/>
      </c>
      <c r="G813" s="70"/>
      <c r="H813" s="70"/>
      <c r="I813" s="70"/>
      <c r="J813" s="135"/>
      <c r="K813" s="136"/>
      <c r="L813" s="71"/>
      <c r="M813" s="72"/>
      <c r="N813" s="72"/>
      <c r="O813" s="264" t="str">
        <f t="shared" si="87"/>
        <v/>
      </c>
      <c r="P813" s="230">
        <f t="shared" si="88"/>
        <v>0</v>
      </c>
      <c r="Q813" s="231" t="str">
        <f t="shared" si="84"/>
        <v>×</v>
      </c>
      <c r="R813" s="231" t="str">
        <f t="shared" si="89"/>
        <v>×</v>
      </c>
      <c r="S813" s="232" t="str">
        <f t="shared" si="90"/>
        <v/>
      </c>
    </row>
    <row r="814" spans="2:19">
      <c r="B814" s="68"/>
      <c r="C814" s="57"/>
      <c r="D814" s="259" t="str">
        <f t="shared" si="85"/>
        <v/>
      </c>
      <c r="E814" s="260" t="str">
        <f t="shared" si="86"/>
        <v/>
      </c>
      <c r="F814" s="271" t="str">
        <f>IF(G814="","",VLOOKUP(G814,プルダウン用リスト!$K$1:$M$16,2,FALSE))</f>
        <v/>
      </c>
      <c r="G814" s="70"/>
      <c r="H814" s="58"/>
      <c r="I814" s="70"/>
      <c r="J814" s="135"/>
      <c r="K814" s="136"/>
      <c r="L814" s="71"/>
      <c r="M814" s="72"/>
      <c r="N814" s="72"/>
      <c r="O814" s="264" t="str">
        <f t="shared" si="87"/>
        <v/>
      </c>
      <c r="P814" s="230">
        <f t="shared" si="88"/>
        <v>0</v>
      </c>
      <c r="Q814" s="231" t="str">
        <f t="shared" si="84"/>
        <v>×</v>
      </c>
      <c r="R814" s="231" t="str">
        <f t="shared" si="89"/>
        <v>×</v>
      </c>
      <c r="S814" s="232" t="str">
        <f t="shared" si="90"/>
        <v/>
      </c>
    </row>
    <row r="815" spans="2:19">
      <c r="B815" s="68"/>
      <c r="C815" s="57"/>
      <c r="D815" s="259" t="str">
        <f t="shared" si="85"/>
        <v/>
      </c>
      <c r="E815" s="260" t="str">
        <f t="shared" si="86"/>
        <v/>
      </c>
      <c r="F815" s="271" t="str">
        <f>IF(G815="","",VLOOKUP(G815,プルダウン用リスト!$K$1:$M$16,2,FALSE))</f>
        <v/>
      </c>
      <c r="G815" s="70"/>
      <c r="H815" s="58"/>
      <c r="I815" s="70"/>
      <c r="J815" s="135"/>
      <c r="K815" s="136"/>
      <c r="L815" s="71"/>
      <c r="M815" s="72"/>
      <c r="N815" s="72"/>
      <c r="O815" s="264" t="str">
        <f t="shared" si="87"/>
        <v/>
      </c>
      <c r="P815" s="230">
        <f t="shared" si="88"/>
        <v>0</v>
      </c>
      <c r="Q815" s="231" t="str">
        <f t="shared" si="84"/>
        <v>×</v>
      </c>
      <c r="R815" s="231" t="str">
        <f t="shared" si="89"/>
        <v>×</v>
      </c>
      <c r="S815" s="232" t="str">
        <f t="shared" si="90"/>
        <v/>
      </c>
    </row>
    <row r="816" spans="2:19">
      <c r="B816" s="68"/>
      <c r="C816" s="57"/>
      <c r="D816" s="259" t="str">
        <f t="shared" si="85"/>
        <v/>
      </c>
      <c r="E816" s="260" t="str">
        <f t="shared" si="86"/>
        <v/>
      </c>
      <c r="F816" s="271" t="str">
        <f>IF(G816="","",VLOOKUP(G816,プルダウン用リスト!$K$1:$M$16,2,FALSE))</f>
        <v/>
      </c>
      <c r="G816" s="70"/>
      <c r="H816" s="70"/>
      <c r="I816" s="70"/>
      <c r="J816" s="135"/>
      <c r="K816" s="136"/>
      <c r="L816" s="71"/>
      <c r="M816" s="72"/>
      <c r="N816" s="72"/>
      <c r="O816" s="264" t="str">
        <f t="shared" si="87"/>
        <v/>
      </c>
      <c r="P816" s="230">
        <f t="shared" si="88"/>
        <v>0</v>
      </c>
      <c r="Q816" s="231" t="str">
        <f t="shared" si="84"/>
        <v>×</v>
      </c>
      <c r="R816" s="231" t="str">
        <f t="shared" si="89"/>
        <v>×</v>
      </c>
      <c r="S816" s="232" t="str">
        <f t="shared" si="90"/>
        <v/>
      </c>
    </row>
    <row r="817" spans="2:19">
      <c r="B817" s="68"/>
      <c r="C817" s="57"/>
      <c r="D817" s="259" t="str">
        <f t="shared" si="85"/>
        <v/>
      </c>
      <c r="E817" s="260" t="str">
        <f t="shared" si="86"/>
        <v/>
      </c>
      <c r="F817" s="271" t="str">
        <f>IF(G817="","",VLOOKUP(G817,プルダウン用リスト!$K$1:$M$16,2,FALSE))</f>
        <v/>
      </c>
      <c r="G817" s="70"/>
      <c r="H817" s="58"/>
      <c r="I817" s="70"/>
      <c r="J817" s="135"/>
      <c r="K817" s="136"/>
      <c r="L817" s="71"/>
      <c r="M817" s="72"/>
      <c r="N817" s="72"/>
      <c r="O817" s="264" t="str">
        <f t="shared" si="87"/>
        <v/>
      </c>
      <c r="P817" s="230">
        <f t="shared" si="88"/>
        <v>0</v>
      </c>
      <c r="Q817" s="231" t="str">
        <f t="shared" si="84"/>
        <v>×</v>
      </c>
      <c r="R817" s="231" t="str">
        <f t="shared" si="89"/>
        <v>×</v>
      </c>
      <c r="S817" s="232" t="str">
        <f t="shared" si="90"/>
        <v/>
      </c>
    </row>
    <row r="818" spans="2:19">
      <c r="B818" s="68"/>
      <c r="C818" s="57"/>
      <c r="D818" s="259" t="str">
        <f t="shared" si="85"/>
        <v/>
      </c>
      <c r="E818" s="260" t="str">
        <f t="shared" si="86"/>
        <v/>
      </c>
      <c r="F818" s="271" t="str">
        <f>IF(G818="","",VLOOKUP(G818,プルダウン用リスト!$K$1:$M$16,2,FALSE))</f>
        <v/>
      </c>
      <c r="G818" s="70"/>
      <c r="H818" s="58"/>
      <c r="I818" s="70"/>
      <c r="J818" s="135"/>
      <c r="K818" s="136"/>
      <c r="L818" s="71"/>
      <c r="M818" s="72"/>
      <c r="N818" s="72"/>
      <c r="O818" s="264" t="str">
        <f t="shared" si="87"/>
        <v/>
      </c>
      <c r="P818" s="230">
        <f t="shared" si="88"/>
        <v>0</v>
      </c>
      <c r="Q818" s="231" t="str">
        <f t="shared" si="84"/>
        <v>×</v>
      </c>
      <c r="R818" s="231" t="str">
        <f t="shared" si="89"/>
        <v>×</v>
      </c>
      <c r="S818" s="232" t="str">
        <f t="shared" si="90"/>
        <v/>
      </c>
    </row>
    <row r="819" spans="2:19">
      <c r="B819" s="68"/>
      <c r="C819" s="57"/>
      <c r="D819" s="259" t="str">
        <f t="shared" si="85"/>
        <v/>
      </c>
      <c r="E819" s="260" t="str">
        <f t="shared" si="86"/>
        <v/>
      </c>
      <c r="F819" s="271" t="str">
        <f>IF(G819="","",VLOOKUP(G819,プルダウン用リスト!$K$1:$M$16,2,FALSE))</f>
        <v/>
      </c>
      <c r="G819" s="70"/>
      <c r="H819" s="70"/>
      <c r="I819" s="70"/>
      <c r="J819" s="135"/>
      <c r="K819" s="136"/>
      <c r="L819" s="71"/>
      <c r="M819" s="72"/>
      <c r="N819" s="72"/>
      <c r="O819" s="264" t="str">
        <f t="shared" si="87"/>
        <v/>
      </c>
      <c r="P819" s="230">
        <f t="shared" si="88"/>
        <v>0</v>
      </c>
      <c r="Q819" s="231" t="str">
        <f t="shared" si="84"/>
        <v>×</v>
      </c>
      <c r="R819" s="231" t="str">
        <f t="shared" si="89"/>
        <v>×</v>
      </c>
      <c r="S819" s="232" t="str">
        <f t="shared" si="90"/>
        <v/>
      </c>
    </row>
    <row r="820" spans="2:19">
      <c r="B820" s="68"/>
      <c r="C820" s="57"/>
      <c r="D820" s="259" t="str">
        <f t="shared" si="85"/>
        <v/>
      </c>
      <c r="E820" s="260" t="str">
        <f t="shared" si="86"/>
        <v/>
      </c>
      <c r="F820" s="271" t="str">
        <f>IF(G820="","",VLOOKUP(G820,プルダウン用リスト!$K$1:$M$16,2,FALSE))</f>
        <v/>
      </c>
      <c r="G820" s="70"/>
      <c r="H820" s="58"/>
      <c r="I820" s="70"/>
      <c r="J820" s="135"/>
      <c r="K820" s="136"/>
      <c r="L820" s="71"/>
      <c r="M820" s="72"/>
      <c r="N820" s="72"/>
      <c r="O820" s="264" t="str">
        <f t="shared" si="87"/>
        <v/>
      </c>
      <c r="P820" s="230">
        <f t="shared" si="88"/>
        <v>0</v>
      </c>
      <c r="Q820" s="231" t="str">
        <f t="shared" si="84"/>
        <v>×</v>
      </c>
      <c r="R820" s="231" t="str">
        <f t="shared" si="89"/>
        <v>×</v>
      </c>
      <c r="S820" s="232" t="str">
        <f t="shared" si="90"/>
        <v/>
      </c>
    </row>
    <row r="821" spans="2:19">
      <c r="B821" s="68"/>
      <c r="C821" s="57"/>
      <c r="D821" s="259" t="str">
        <f t="shared" si="85"/>
        <v/>
      </c>
      <c r="E821" s="260" t="str">
        <f t="shared" si="86"/>
        <v/>
      </c>
      <c r="F821" s="271" t="str">
        <f>IF(G821="","",VLOOKUP(G821,プルダウン用リスト!$K$1:$M$16,2,FALSE))</f>
        <v/>
      </c>
      <c r="G821" s="70"/>
      <c r="H821" s="58"/>
      <c r="I821" s="70"/>
      <c r="J821" s="135"/>
      <c r="K821" s="136"/>
      <c r="L821" s="71"/>
      <c r="M821" s="72"/>
      <c r="N821" s="72"/>
      <c r="O821" s="264" t="str">
        <f t="shared" si="87"/>
        <v/>
      </c>
      <c r="P821" s="230">
        <f t="shared" si="88"/>
        <v>0</v>
      </c>
      <c r="Q821" s="231" t="str">
        <f t="shared" si="84"/>
        <v>×</v>
      </c>
      <c r="R821" s="231" t="str">
        <f t="shared" si="89"/>
        <v>×</v>
      </c>
      <c r="S821" s="232" t="str">
        <f t="shared" si="90"/>
        <v/>
      </c>
    </row>
    <row r="822" spans="2:19">
      <c r="B822" s="68"/>
      <c r="C822" s="69"/>
      <c r="D822" s="259" t="str">
        <f t="shared" si="85"/>
        <v/>
      </c>
      <c r="E822" s="260" t="str">
        <f t="shared" si="86"/>
        <v/>
      </c>
      <c r="F822" s="271" t="str">
        <f>IF(G822="","",VLOOKUP(G822,プルダウン用リスト!$K$1:$M$16,2,FALSE))</f>
        <v/>
      </c>
      <c r="G822" s="70"/>
      <c r="H822" s="70"/>
      <c r="I822" s="70"/>
      <c r="J822" s="135"/>
      <c r="K822" s="136"/>
      <c r="L822" s="71"/>
      <c r="M822" s="72"/>
      <c r="N822" s="72"/>
      <c r="O822" s="264" t="str">
        <f t="shared" si="87"/>
        <v/>
      </c>
      <c r="P822" s="230">
        <f t="shared" si="88"/>
        <v>0</v>
      </c>
      <c r="Q822" s="231" t="str">
        <f t="shared" si="84"/>
        <v>×</v>
      </c>
      <c r="R822" s="231" t="str">
        <f t="shared" si="89"/>
        <v>×</v>
      </c>
      <c r="S822" s="232" t="str">
        <f t="shared" si="90"/>
        <v/>
      </c>
    </row>
    <row r="823" spans="2:19">
      <c r="B823" s="68"/>
      <c r="C823" s="57"/>
      <c r="D823" s="259" t="str">
        <f t="shared" si="85"/>
        <v/>
      </c>
      <c r="E823" s="260" t="str">
        <f t="shared" si="86"/>
        <v/>
      </c>
      <c r="F823" s="271" t="str">
        <f>IF(G823="","",VLOOKUP(G823,プルダウン用リスト!$K$1:$M$16,2,FALSE))</f>
        <v/>
      </c>
      <c r="G823" s="70"/>
      <c r="H823" s="58"/>
      <c r="I823" s="70"/>
      <c r="J823" s="135"/>
      <c r="K823" s="136"/>
      <c r="L823" s="71"/>
      <c r="M823" s="72"/>
      <c r="N823" s="72"/>
      <c r="O823" s="264" t="str">
        <f t="shared" si="87"/>
        <v/>
      </c>
      <c r="P823" s="230">
        <f t="shared" si="88"/>
        <v>0</v>
      </c>
      <c r="Q823" s="231" t="str">
        <f t="shared" si="84"/>
        <v>×</v>
      </c>
      <c r="R823" s="231" t="str">
        <f t="shared" si="89"/>
        <v>×</v>
      </c>
      <c r="S823" s="232" t="str">
        <f t="shared" si="90"/>
        <v/>
      </c>
    </row>
    <row r="824" spans="2:19">
      <c r="B824" s="68"/>
      <c r="C824" s="57"/>
      <c r="D824" s="259" t="str">
        <f t="shared" si="85"/>
        <v/>
      </c>
      <c r="E824" s="260" t="str">
        <f t="shared" si="86"/>
        <v/>
      </c>
      <c r="F824" s="271" t="str">
        <f>IF(G824="","",VLOOKUP(G824,プルダウン用リスト!$K$1:$M$16,2,FALSE))</f>
        <v/>
      </c>
      <c r="G824" s="70"/>
      <c r="H824" s="58"/>
      <c r="I824" s="70"/>
      <c r="J824" s="135"/>
      <c r="K824" s="136"/>
      <c r="L824" s="71"/>
      <c r="M824" s="72"/>
      <c r="N824" s="72"/>
      <c r="O824" s="264" t="str">
        <f t="shared" si="87"/>
        <v/>
      </c>
      <c r="P824" s="230">
        <f t="shared" si="88"/>
        <v>0</v>
      </c>
      <c r="Q824" s="231" t="str">
        <f t="shared" si="84"/>
        <v>×</v>
      </c>
      <c r="R824" s="231" t="str">
        <f t="shared" si="89"/>
        <v>×</v>
      </c>
      <c r="S824" s="232" t="str">
        <f t="shared" si="90"/>
        <v/>
      </c>
    </row>
    <row r="825" spans="2:19">
      <c r="B825" s="68"/>
      <c r="C825" s="57"/>
      <c r="D825" s="259" t="str">
        <f t="shared" si="85"/>
        <v/>
      </c>
      <c r="E825" s="260" t="str">
        <f t="shared" si="86"/>
        <v/>
      </c>
      <c r="F825" s="271" t="str">
        <f>IF(G825="","",VLOOKUP(G825,プルダウン用リスト!$K$1:$M$16,2,FALSE))</f>
        <v/>
      </c>
      <c r="G825" s="70"/>
      <c r="H825" s="70"/>
      <c r="I825" s="70"/>
      <c r="J825" s="135"/>
      <c r="K825" s="136"/>
      <c r="L825" s="71"/>
      <c r="M825" s="72"/>
      <c r="N825" s="72"/>
      <c r="O825" s="264" t="str">
        <f t="shared" si="87"/>
        <v/>
      </c>
      <c r="P825" s="230">
        <f t="shared" si="88"/>
        <v>0</v>
      </c>
      <c r="Q825" s="231" t="str">
        <f t="shared" si="84"/>
        <v>×</v>
      </c>
      <c r="R825" s="231" t="str">
        <f t="shared" si="89"/>
        <v>×</v>
      </c>
      <c r="S825" s="232" t="str">
        <f t="shared" si="90"/>
        <v/>
      </c>
    </row>
    <row r="826" spans="2:19">
      <c r="B826" s="68"/>
      <c r="C826" s="57"/>
      <c r="D826" s="259" t="str">
        <f t="shared" si="85"/>
        <v/>
      </c>
      <c r="E826" s="260" t="str">
        <f t="shared" si="86"/>
        <v/>
      </c>
      <c r="F826" s="271" t="str">
        <f>IF(G826="","",VLOOKUP(G826,プルダウン用リスト!$K$1:$M$16,2,FALSE))</f>
        <v/>
      </c>
      <c r="G826" s="70"/>
      <c r="H826" s="58"/>
      <c r="I826" s="70"/>
      <c r="J826" s="135"/>
      <c r="K826" s="136"/>
      <c r="L826" s="71"/>
      <c r="M826" s="72"/>
      <c r="N826" s="72"/>
      <c r="O826" s="264" t="str">
        <f t="shared" si="87"/>
        <v/>
      </c>
      <c r="P826" s="230">
        <f t="shared" si="88"/>
        <v>0</v>
      </c>
      <c r="Q826" s="231" t="str">
        <f t="shared" si="84"/>
        <v>×</v>
      </c>
      <c r="R826" s="231" t="str">
        <f t="shared" si="89"/>
        <v>×</v>
      </c>
      <c r="S826" s="232" t="str">
        <f t="shared" si="90"/>
        <v/>
      </c>
    </row>
    <row r="827" spans="2:19">
      <c r="B827" s="68"/>
      <c r="C827" s="57"/>
      <c r="D827" s="259" t="str">
        <f t="shared" si="85"/>
        <v/>
      </c>
      <c r="E827" s="260" t="str">
        <f t="shared" si="86"/>
        <v/>
      </c>
      <c r="F827" s="271" t="str">
        <f>IF(G827="","",VLOOKUP(G827,プルダウン用リスト!$K$1:$M$16,2,FALSE))</f>
        <v/>
      </c>
      <c r="G827" s="70"/>
      <c r="H827" s="58"/>
      <c r="I827" s="70"/>
      <c r="J827" s="135"/>
      <c r="K827" s="136"/>
      <c r="L827" s="71"/>
      <c r="M827" s="72"/>
      <c r="N827" s="72"/>
      <c r="O827" s="264" t="str">
        <f t="shared" si="87"/>
        <v/>
      </c>
      <c r="P827" s="230">
        <f t="shared" si="88"/>
        <v>0</v>
      </c>
      <c r="Q827" s="231" t="str">
        <f t="shared" si="84"/>
        <v>×</v>
      </c>
      <c r="R827" s="231" t="str">
        <f t="shared" si="89"/>
        <v>×</v>
      </c>
      <c r="S827" s="232" t="str">
        <f t="shared" si="90"/>
        <v/>
      </c>
    </row>
    <row r="828" spans="2:19">
      <c r="B828" s="68"/>
      <c r="C828" s="57"/>
      <c r="D828" s="259" t="str">
        <f t="shared" si="85"/>
        <v/>
      </c>
      <c r="E828" s="260" t="str">
        <f t="shared" si="86"/>
        <v/>
      </c>
      <c r="F828" s="271" t="str">
        <f>IF(G828="","",VLOOKUP(G828,プルダウン用リスト!$K$1:$M$16,2,FALSE))</f>
        <v/>
      </c>
      <c r="G828" s="70"/>
      <c r="H828" s="70"/>
      <c r="I828" s="70"/>
      <c r="J828" s="135"/>
      <c r="K828" s="136"/>
      <c r="L828" s="71"/>
      <c r="M828" s="72"/>
      <c r="N828" s="72"/>
      <c r="O828" s="264" t="str">
        <f t="shared" si="87"/>
        <v/>
      </c>
      <c r="P828" s="230">
        <f t="shared" si="88"/>
        <v>0</v>
      </c>
      <c r="Q828" s="231" t="str">
        <f t="shared" si="84"/>
        <v>×</v>
      </c>
      <c r="R828" s="231" t="str">
        <f t="shared" si="89"/>
        <v>×</v>
      </c>
      <c r="S828" s="232" t="str">
        <f t="shared" si="90"/>
        <v/>
      </c>
    </row>
    <row r="829" spans="2:19">
      <c r="B829" s="68"/>
      <c r="C829" s="57"/>
      <c r="D829" s="259" t="str">
        <f t="shared" si="85"/>
        <v/>
      </c>
      <c r="E829" s="260" t="str">
        <f t="shared" si="86"/>
        <v/>
      </c>
      <c r="F829" s="271" t="str">
        <f>IF(G829="","",VLOOKUP(G829,プルダウン用リスト!$K$1:$M$16,2,FALSE))</f>
        <v/>
      </c>
      <c r="G829" s="70"/>
      <c r="H829" s="58"/>
      <c r="I829" s="70"/>
      <c r="J829" s="135"/>
      <c r="K829" s="136"/>
      <c r="L829" s="71"/>
      <c r="M829" s="72"/>
      <c r="N829" s="72"/>
      <c r="O829" s="264" t="str">
        <f t="shared" si="87"/>
        <v/>
      </c>
      <c r="P829" s="230">
        <f t="shared" si="88"/>
        <v>0</v>
      </c>
      <c r="Q829" s="231" t="str">
        <f t="shared" si="84"/>
        <v>×</v>
      </c>
      <c r="R829" s="231" t="str">
        <f t="shared" si="89"/>
        <v>×</v>
      </c>
      <c r="S829" s="232" t="str">
        <f t="shared" si="90"/>
        <v/>
      </c>
    </row>
    <row r="830" spans="2:19">
      <c r="B830" s="68"/>
      <c r="C830" s="57"/>
      <c r="D830" s="259" t="str">
        <f t="shared" si="85"/>
        <v/>
      </c>
      <c r="E830" s="260" t="str">
        <f t="shared" si="86"/>
        <v/>
      </c>
      <c r="F830" s="271" t="str">
        <f>IF(G830="","",VLOOKUP(G830,プルダウン用リスト!$K$1:$M$16,2,FALSE))</f>
        <v/>
      </c>
      <c r="G830" s="70"/>
      <c r="H830" s="58"/>
      <c r="I830" s="70"/>
      <c r="J830" s="135"/>
      <c r="K830" s="136"/>
      <c r="L830" s="71"/>
      <c r="M830" s="72"/>
      <c r="N830" s="72"/>
      <c r="O830" s="264" t="str">
        <f t="shared" si="87"/>
        <v/>
      </c>
      <c r="P830" s="230">
        <f t="shared" si="88"/>
        <v>0</v>
      </c>
      <c r="Q830" s="231" t="str">
        <f t="shared" si="84"/>
        <v>×</v>
      </c>
      <c r="R830" s="231" t="str">
        <f t="shared" si="89"/>
        <v>×</v>
      </c>
      <c r="S830" s="232" t="str">
        <f t="shared" si="90"/>
        <v/>
      </c>
    </row>
    <row r="831" spans="2:19">
      <c r="B831" s="68"/>
      <c r="C831" s="57"/>
      <c r="D831" s="259" t="str">
        <f t="shared" si="85"/>
        <v/>
      </c>
      <c r="E831" s="260" t="str">
        <f t="shared" si="86"/>
        <v/>
      </c>
      <c r="F831" s="271" t="str">
        <f>IF(G831="","",VLOOKUP(G831,プルダウン用リスト!$K$1:$M$16,2,FALSE))</f>
        <v/>
      </c>
      <c r="G831" s="70"/>
      <c r="H831" s="70"/>
      <c r="I831" s="70"/>
      <c r="J831" s="135"/>
      <c r="K831" s="136"/>
      <c r="L831" s="71"/>
      <c r="M831" s="72"/>
      <c r="N831" s="72"/>
      <c r="O831" s="264" t="str">
        <f t="shared" si="87"/>
        <v/>
      </c>
      <c r="P831" s="230">
        <f t="shared" si="88"/>
        <v>0</v>
      </c>
      <c r="Q831" s="231" t="str">
        <f t="shared" si="84"/>
        <v>×</v>
      </c>
      <c r="R831" s="231" t="str">
        <f t="shared" si="89"/>
        <v>×</v>
      </c>
      <c r="S831" s="232" t="str">
        <f t="shared" si="90"/>
        <v/>
      </c>
    </row>
    <row r="832" spans="2:19">
      <c r="B832" s="68"/>
      <c r="C832" s="57"/>
      <c r="D832" s="259" t="str">
        <f t="shared" si="85"/>
        <v/>
      </c>
      <c r="E832" s="260" t="str">
        <f t="shared" si="86"/>
        <v/>
      </c>
      <c r="F832" s="271" t="str">
        <f>IF(G832="","",VLOOKUP(G832,プルダウン用リスト!$K$1:$M$16,2,FALSE))</f>
        <v/>
      </c>
      <c r="G832" s="70"/>
      <c r="H832" s="58"/>
      <c r="I832" s="70"/>
      <c r="J832" s="135"/>
      <c r="K832" s="136"/>
      <c r="L832" s="71"/>
      <c r="M832" s="72"/>
      <c r="N832" s="72"/>
      <c r="O832" s="264" t="str">
        <f t="shared" si="87"/>
        <v/>
      </c>
      <c r="P832" s="230">
        <f t="shared" si="88"/>
        <v>0</v>
      </c>
      <c r="Q832" s="231" t="str">
        <f t="shared" si="84"/>
        <v>×</v>
      </c>
      <c r="R832" s="231" t="str">
        <f t="shared" si="89"/>
        <v>×</v>
      </c>
      <c r="S832" s="232" t="str">
        <f t="shared" si="90"/>
        <v/>
      </c>
    </row>
    <row r="833" spans="2:19">
      <c r="B833" s="68"/>
      <c r="C833" s="57"/>
      <c r="D833" s="259" t="str">
        <f t="shared" si="85"/>
        <v/>
      </c>
      <c r="E833" s="260" t="str">
        <f t="shared" si="86"/>
        <v/>
      </c>
      <c r="F833" s="271" t="str">
        <f>IF(G833="","",VLOOKUP(G833,プルダウン用リスト!$K$1:$M$16,2,FALSE))</f>
        <v/>
      </c>
      <c r="G833" s="70"/>
      <c r="H833" s="58"/>
      <c r="I833" s="70"/>
      <c r="J833" s="135"/>
      <c r="K833" s="136"/>
      <c r="L833" s="71"/>
      <c r="M833" s="72"/>
      <c r="N833" s="72"/>
      <c r="O833" s="264" t="str">
        <f t="shared" si="87"/>
        <v/>
      </c>
      <c r="P833" s="230">
        <f t="shared" si="88"/>
        <v>0</v>
      </c>
      <c r="Q833" s="231" t="str">
        <f t="shared" si="84"/>
        <v>×</v>
      </c>
      <c r="R833" s="231" t="str">
        <f t="shared" si="89"/>
        <v>×</v>
      </c>
      <c r="S833" s="232" t="str">
        <f t="shared" si="90"/>
        <v/>
      </c>
    </row>
    <row r="834" spans="2:19">
      <c r="B834" s="68"/>
      <c r="C834" s="69"/>
      <c r="D834" s="259" t="str">
        <f t="shared" si="85"/>
        <v/>
      </c>
      <c r="E834" s="260" t="str">
        <f t="shared" si="86"/>
        <v/>
      </c>
      <c r="F834" s="271" t="str">
        <f>IF(G834="","",VLOOKUP(G834,プルダウン用リスト!$K$1:$M$16,2,FALSE))</f>
        <v/>
      </c>
      <c r="G834" s="70"/>
      <c r="H834" s="70"/>
      <c r="I834" s="70"/>
      <c r="J834" s="135"/>
      <c r="K834" s="136"/>
      <c r="L834" s="71"/>
      <c r="M834" s="72"/>
      <c r="N834" s="72"/>
      <c r="O834" s="264" t="str">
        <f t="shared" si="87"/>
        <v/>
      </c>
      <c r="P834" s="230">
        <f t="shared" si="88"/>
        <v>0</v>
      </c>
      <c r="Q834" s="231" t="str">
        <f t="shared" si="84"/>
        <v>×</v>
      </c>
      <c r="R834" s="231" t="str">
        <f t="shared" si="89"/>
        <v>×</v>
      </c>
      <c r="S834" s="232" t="str">
        <f t="shared" si="90"/>
        <v/>
      </c>
    </row>
    <row r="835" spans="2:19">
      <c r="B835" s="68"/>
      <c r="C835" s="57"/>
      <c r="D835" s="259" t="str">
        <f t="shared" si="85"/>
        <v/>
      </c>
      <c r="E835" s="260" t="str">
        <f t="shared" si="86"/>
        <v/>
      </c>
      <c r="F835" s="271" t="str">
        <f>IF(G835="","",VLOOKUP(G835,プルダウン用リスト!$K$1:$M$16,2,FALSE))</f>
        <v/>
      </c>
      <c r="G835" s="70"/>
      <c r="H835" s="58"/>
      <c r="I835" s="70"/>
      <c r="J835" s="135"/>
      <c r="K835" s="136"/>
      <c r="L835" s="71"/>
      <c r="M835" s="72"/>
      <c r="N835" s="72"/>
      <c r="O835" s="264" t="str">
        <f t="shared" si="87"/>
        <v/>
      </c>
      <c r="P835" s="230">
        <f t="shared" si="88"/>
        <v>0</v>
      </c>
      <c r="Q835" s="231" t="str">
        <f t="shared" si="84"/>
        <v>×</v>
      </c>
      <c r="R835" s="231" t="str">
        <f t="shared" si="89"/>
        <v>×</v>
      </c>
      <c r="S835" s="232" t="str">
        <f t="shared" si="90"/>
        <v/>
      </c>
    </row>
    <row r="836" spans="2:19">
      <c r="B836" s="68"/>
      <c r="C836" s="57"/>
      <c r="D836" s="259" t="str">
        <f t="shared" si="85"/>
        <v/>
      </c>
      <c r="E836" s="260" t="str">
        <f t="shared" si="86"/>
        <v/>
      </c>
      <c r="F836" s="271" t="str">
        <f>IF(G836="","",VLOOKUP(G836,プルダウン用リスト!$K$1:$M$16,2,FALSE))</f>
        <v/>
      </c>
      <c r="G836" s="70"/>
      <c r="H836" s="58"/>
      <c r="I836" s="70"/>
      <c r="J836" s="135"/>
      <c r="K836" s="136"/>
      <c r="L836" s="71"/>
      <c r="M836" s="72"/>
      <c r="N836" s="72"/>
      <c r="O836" s="264" t="str">
        <f t="shared" si="87"/>
        <v/>
      </c>
      <c r="P836" s="230">
        <f t="shared" si="88"/>
        <v>0</v>
      </c>
      <c r="Q836" s="231" t="str">
        <f t="shared" si="84"/>
        <v>×</v>
      </c>
      <c r="R836" s="231" t="str">
        <f t="shared" si="89"/>
        <v>×</v>
      </c>
      <c r="S836" s="232" t="str">
        <f t="shared" si="90"/>
        <v/>
      </c>
    </row>
    <row r="837" spans="2:19">
      <c r="B837" s="68"/>
      <c r="C837" s="57"/>
      <c r="D837" s="259" t="str">
        <f t="shared" si="85"/>
        <v/>
      </c>
      <c r="E837" s="260" t="str">
        <f t="shared" si="86"/>
        <v/>
      </c>
      <c r="F837" s="271" t="str">
        <f>IF(G837="","",VLOOKUP(G837,プルダウン用リスト!$K$1:$M$16,2,FALSE))</f>
        <v/>
      </c>
      <c r="G837" s="70"/>
      <c r="H837" s="70"/>
      <c r="I837" s="70"/>
      <c r="J837" s="135"/>
      <c r="K837" s="136"/>
      <c r="L837" s="71"/>
      <c r="M837" s="72"/>
      <c r="N837" s="72"/>
      <c r="O837" s="264" t="str">
        <f t="shared" si="87"/>
        <v/>
      </c>
      <c r="P837" s="230">
        <f t="shared" si="88"/>
        <v>0</v>
      </c>
      <c r="Q837" s="231" t="str">
        <f t="shared" si="84"/>
        <v>×</v>
      </c>
      <c r="R837" s="231" t="str">
        <f t="shared" si="89"/>
        <v>×</v>
      </c>
      <c r="S837" s="232" t="str">
        <f t="shared" si="90"/>
        <v/>
      </c>
    </row>
    <row r="838" spans="2:19">
      <c r="B838" s="68"/>
      <c r="C838" s="57"/>
      <c r="D838" s="259" t="str">
        <f t="shared" si="85"/>
        <v/>
      </c>
      <c r="E838" s="260" t="str">
        <f t="shared" si="86"/>
        <v/>
      </c>
      <c r="F838" s="271" t="str">
        <f>IF(G838="","",VLOOKUP(G838,プルダウン用リスト!$K$1:$M$16,2,FALSE))</f>
        <v/>
      </c>
      <c r="G838" s="70"/>
      <c r="H838" s="58"/>
      <c r="I838" s="70"/>
      <c r="J838" s="135"/>
      <c r="K838" s="136"/>
      <c r="L838" s="71"/>
      <c r="M838" s="72"/>
      <c r="N838" s="72"/>
      <c r="O838" s="264" t="str">
        <f t="shared" si="87"/>
        <v/>
      </c>
      <c r="P838" s="230">
        <f t="shared" si="88"/>
        <v>0</v>
      </c>
      <c r="Q838" s="231" t="str">
        <f t="shared" ref="Q838:Q901" si="91">IF(G838="旅費","〇","×")</f>
        <v>×</v>
      </c>
      <c r="R838" s="231" t="str">
        <f t="shared" si="89"/>
        <v>×</v>
      </c>
      <c r="S838" s="232" t="str">
        <f t="shared" si="90"/>
        <v/>
      </c>
    </row>
    <row r="839" spans="2:19">
      <c r="B839" s="68"/>
      <c r="C839" s="57"/>
      <c r="D839" s="259" t="str">
        <f t="shared" ref="D839:D902" si="92">IF(E839="","",IF(E839="謝金","01.",IF(E839="旅費","02.",IF(E839="その他","04.","03."))))</f>
        <v/>
      </c>
      <c r="E839" s="260" t="str">
        <f t="shared" ref="E839:E902" si="93">IF(G839="","",IF(OR(G839="謝金（内部）",G839="謝金（外部）"),"謝金",IF(G839="旅費","旅費",IF(G839="対象外経費","その他","所費"))))</f>
        <v/>
      </c>
      <c r="F839" s="271" t="str">
        <f>IF(G839="","",VLOOKUP(G839,プルダウン用リスト!$K$1:$M$16,2,FALSE))</f>
        <v/>
      </c>
      <c r="G839" s="70"/>
      <c r="H839" s="58"/>
      <c r="I839" s="70"/>
      <c r="J839" s="135"/>
      <c r="K839" s="136"/>
      <c r="L839" s="71"/>
      <c r="M839" s="72"/>
      <c r="N839" s="72"/>
      <c r="O839" s="264" t="str">
        <f t="shared" ref="O839:O902" si="94">IF(G839="対象外経費",M839,IF(N839="","",M839-N839))</f>
        <v/>
      </c>
      <c r="P839" s="230">
        <f t="shared" si="88"/>
        <v>0</v>
      </c>
      <c r="Q839" s="231" t="str">
        <f t="shared" si="91"/>
        <v>×</v>
      </c>
      <c r="R839" s="231" t="str">
        <f t="shared" si="89"/>
        <v>×</v>
      </c>
      <c r="S839" s="232" t="str">
        <f t="shared" si="90"/>
        <v/>
      </c>
    </row>
    <row r="840" spans="2:19">
      <c r="B840" s="68"/>
      <c r="C840" s="57"/>
      <c r="D840" s="259" t="str">
        <f t="shared" si="92"/>
        <v/>
      </c>
      <c r="E840" s="260" t="str">
        <f t="shared" si="93"/>
        <v/>
      </c>
      <c r="F840" s="271" t="str">
        <f>IF(G840="","",VLOOKUP(G840,プルダウン用リスト!$K$1:$M$16,2,FALSE))</f>
        <v/>
      </c>
      <c r="G840" s="70"/>
      <c r="H840" s="70"/>
      <c r="I840" s="70"/>
      <c r="J840" s="135"/>
      <c r="K840" s="136"/>
      <c r="L840" s="71"/>
      <c r="M840" s="72"/>
      <c r="N840" s="72"/>
      <c r="O840" s="264" t="str">
        <f t="shared" si="94"/>
        <v/>
      </c>
      <c r="P840" s="230">
        <f t="shared" ref="P840:P903" si="95">COUNTA(B840,C840,G840,H840,I840,L840,M840,J840,K840,N840)</f>
        <v>0</v>
      </c>
      <c r="Q840" s="231" t="str">
        <f t="shared" si="91"/>
        <v>×</v>
      </c>
      <c r="R840" s="231" t="str">
        <f t="shared" si="89"/>
        <v>×</v>
      </c>
      <c r="S840" s="232" t="str">
        <f t="shared" si="90"/>
        <v/>
      </c>
    </row>
    <row r="841" spans="2:19">
      <c r="B841" s="68"/>
      <c r="C841" s="57"/>
      <c r="D841" s="259" t="str">
        <f t="shared" si="92"/>
        <v/>
      </c>
      <c r="E841" s="260" t="str">
        <f t="shared" si="93"/>
        <v/>
      </c>
      <c r="F841" s="271" t="str">
        <f>IF(G841="","",VLOOKUP(G841,プルダウン用リスト!$K$1:$M$16,2,FALSE))</f>
        <v/>
      </c>
      <c r="G841" s="70"/>
      <c r="H841" s="58"/>
      <c r="I841" s="70"/>
      <c r="J841" s="135"/>
      <c r="K841" s="136"/>
      <c r="L841" s="71"/>
      <c r="M841" s="72"/>
      <c r="N841" s="72"/>
      <c r="O841" s="264" t="str">
        <f t="shared" si="94"/>
        <v/>
      </c>
      <c r="P841" s="230">
        <f t="shared" si="95"/>
        <v>0</v>
      </c>
      <c r="Q841" s="231" t="str">
        <f t="shared" si="91"/>
        <v>×</v>
      </c>
      <c r="R841" s="231" t="str">
        <f t="shared" ref="R841:R904" si="96">IF(E841="謝金","〇","×")</f>
        <v>×</v>
      </c>
      <c r="S841" s="232" t="str">
        <f t="shared" ref="S841:S904" si="97">_xlfn.IFS(P841=0,"",AND(G841="対象外経費",P841=7),"OK",P841&lt;=7,"ピンク色のセルを全て入力してください",P841=9,"OK",Q841="〇","ピンク色のセルを全て入力してください",R841="〇","ピンク色のセルを全て入力してください",P841=8,"OK")</f>
        <v/>
      </c>
    </row>
    <row r="842" spans="2:19">
      <c r="B842" s="68"/>
      <c r="C842" s="57"/>
      <c r="D842" s="259" t="str">
        <f t="shared" si="92"/>
        <v/>
      </c>
      <c r="E842" s="260" t="str">
        <f t="shared" si="93"/>
        <v/>
      </c>
      <c r="F842" s="271" t="str">
        <f>IF(G842="","",VLOOKUP(G842,プルダウン用リスト!$K$1:$M$16,2,FALSE))</f>
        <v/>
      </c>
      <c r="G842" s="70"/>
      <c r="H842" s="58"/>
      <c r="I842" s="70"/>
      <c r="J842" s="135"/>
      <c r="K842" s="136"/>
      <c r="L842" s="71"/>
      <c r="M842" s="72"/>
      <c r="N842" s="72"/>
      <c r="O842" s="264" t="str">
        <f t="shared" si="94"/>
        <v/>
      </c>
      <c r="P842" s="230">
        <f t="shared" si="95"/>
        <v>0</v>
      </c>
      <c r="Q842" s="231" t="str">
        <f t="shared" si="91"/>
        <v>×</v>
      </c>
      <c r="R842" s="231" t="str">
        <f t="shared" si="96"/>
        <v>×</v>
      </c>
      <c r="S842" s="232" t="str">
        <f t="shared" si="97"/>
        <v/>
      </c>
    </row>
    <row r="843" spans="2:19">
      <c r="B843" s="68"/>
      <c r="C843" s="57"/>
      <c r="D843" s="259" t="str">
        <f t="shared" si="92"/>
        <v/>
      </c>
      <c r="E843" s="260" t="str">
        <f t="shared" si="93"/>
        <v/>
      </c>
      <c r="F843" s="271" t="str">
        <f>IF(G843="","",VLOOKUP(G843,プルダウン用リスト!$K$1:$M$16,2,FALSE))</f>
        <v/>
      </c>
      <c r="G843" s="70"/>
      <c r="H843" s="70"/>
      <c r="I843" s="70"/>
      <c r="J843" s="135"/>
      <c r="K843" s="136"/>
      <c r="L843" s="71"/>
      <c r="M843" s="72"/>
      <c r="N843" s="72"/>
      <c r="O843" s="264" t="str">
        <f t="shared" si="94"/>
        <v/>
      </c>
      <c r="P843" s="230">
        <f t="shared" si="95"/>
        <v>0</v>
      </c>
      <c r="Q843" s="231" t="str">
        <f t="shared" si="91"/>
        <v>×</v>
      </c>
      <c r="R843" s="231" t="str">
        <f t="shared" si="96"/>
        <v>×</v>
      </c>
      <c r="S843" s="232" t="str">
        <f t="shared" si="97"/>
        <v/>
      </c>
    </row>
    <row r="844" spans="2:19">
      <c r="B844" s="68"/>
      <c r="C844" s="57"/>
      <c r="D844" s="259" t="str">
        <f t="shared" si="92"/>
        <v/>
      </c>
      <c r="E844" s="260" t="str">
        <f t="shared" si="93"/>
        <v/>
      </c>
      <c r="F844" s="271" t="str">
        <f>IF(G844="","",VLOOKUP(G844,プルダウン用リスト!$K$1:$M$16,2,FALSE))</f>
        <v/>
      </c>
      <c r="G844" s="70"/>
      <c r="H844" s="58"/>
      <c r="I844" s="70"/>
      <c r="J844" s="135"/>
      <c r="K844" s="136"/>
      <c r="L844" s="71"/>
      <c r="M844" s="72"/>
      <c r="N844" s="72"/>
      <c r="O844" s="264" t="str">
        <f t="shared" si="94"/>
        <v/>
      </c>
      <c r="P844" s="230">
        <f t="shared" si="95"/>
        <v>0</v>
      </c>
      <c r="Q844" s="231" t="str">
        <f t="shared" si="91"/>
        <v>×</v>
      </c>
      <c r="R844" s="231" t="str">
        <f t="shared" si="96"/>
        <v>×</v>
      </c>
      <c r="S844" s="232" t="str">
        <f t="shared" si="97"/>
        <v/>
      </c>
    </row>
    <row r="845" spans="2:19">
      <c r="B845" s="68"/>
      <c r="C845" s="57"/>
      <c r="D845" s="259" t="str">
        <f t="shared" si="92"/>
        <v/>
      </c>
      <c r="E845" s="260" t="str">
        <f t="shared" si="93"/>
        <v/>
      </c>
      <c r="F845" s="271" t="str">
        <f>IF(G845="","",VLOOKUP(G845,プルダウン用リスト!$K$1:$M$16,2,FALSE))</f>
        <v/>
      </c>
      <c r="G845" s="70"/>
      <c r="H845" s="58"/>
      <c r="I845" s="70"/>
      <c r="J845" s="135"/>
      <c r="K845" s="136"/>
      <c r="L845" s="71"/>
      <c r="M845" s="72"/>
      <c r="N845" s="72"/>
      <c r="O845" s="264" t="str">
        <f t="shared" si="94"/>
        <v/>
      </c>
      <c r="P845" s="230">
        <f t="shared" si="95"/>
        <v>0</v>
      </c>
      <c r="Q845" s="231" t="str">
        <f t="shared" si="91"/>
        <v>×</v>
      </c>
      <c r="R845" s="231" t="str">
        <f t="shared" si="96"/>
        <v>×</v>
      </c>
      <c r="S845" s="232" t="str">
        <f t="shared" si="97"/>
        <v/>
      </c>
    </row>
    <row r="846" spans="2:19">
      <c r="B846" s="68"/>
      <c r="C846" s="69"/>
      <c r="D846" s="259" t="str">
        <f t="shared" si="92"/>
        <v/>
      </c>
      <c r="E846" s="260" t="str">
        <f t="shared" si="93"/>
        <v/>
      </c>
      <c r="F846" s="271" t="str">
        <f>IF(G846="","",VLOOKUP(G846,プルダウン用リスト!$K$1:$M$16,2,FALSE))</f>
        <v/>
      </c>
      <c r="G846" s="70"/>
      <c r="H846" s="70"/>
      <c r="I846" s="70"/>
      <c r="J846" s="135"/>
      <c r="K846" s="136"/>
      <c r="L846" s="71"/>
      <c r="M846" s="72"/>
      <c r="N846" s="72"/>
      <c r="O846" s="264" t="str">
        <f t="shared" si="94"/>
        <v/>
      </c>
      <c r="P846" s="230">
        <f t="shared" si="95"/>
        <v>0</v>
      </c>
      <c r="Q846" s="231" t="str">
        <f t="shared" si="91"/>
        <v>×</v>
      </c>
      <c r="R846" s="231" t="str">
        <f t="shared" si="96"/>
        <v>×</v>
      </c>
      <c r="S846" s="232" t="str">
        <f t="shared" si="97"/>
        <v/>
      </c>
    </row>
    <row r="847" spans="2:19">
      <c r="B847" s="68"/>
      <c r="C847" s="57"/>
      <c r="D847" s="259" t="str">
        <f t="shared" si="92"/>
        <v/>
      </c>
      <c r="E847" s="260" t="str">
        <f t="shared" si="93"/>
        <v/>
      </c>
      <c r="F847" s="271" t="str">
        <f>IF(G847="","",VLOOKUP(G847,プルダウン用リスト!$K$1:$M$16,2,FALSE))</f>
        <v/>
      </c>
      <c r="G847" s="70"/>
      <c r="H847" s="58"/>
      <c r="I847" s="70"/>
      <c r="J847" s="135"/>
      <c r="K847" s="136"/>
      <c r="L847" s="71"/>
      <c r="M847" s="72"/>
      <c r="N847" s="72"/>
      <c r="O847" s="264" t="str">
        <f t="shared" si="94"/>
        <v/>
      </c>
      <c r="P847" s="230">
        <f t="shared" si="95"/>
        <v>0</v>
      </c>
      <c r="Q847" s="231" t="str">
        <f t="shared" si="91"/>
        <v>×</v>
      </c>
      <c r="R847" s="231" t="str">
        <f t="shared" si="96"/>
        <v>×</v>
      </c>
      <c r="S847" s="232" t="str">
        <f t="shared" si="97"/>
        <v/>
      </c>
    </row>
    <row r="848" spans="2:19">
      <c r="B848" s="68"/>
      <c r="C848" s="57"/>
      <c r="D848" s="259" t="str">
        <f t="shared" si="92"/>
        <v/>
      </c>
      <c r="E848" s="260" t="str">
        <f t="shared" si="93"/>
        <v/>
      </c>
      <c r="F848" s="271" t="str">
        <f>IF(G848="","",VLOOKUP(G848,プルダウン用リスト!$K$1:$M$16,2,FALSE))</f>
        <v/>
      </c>
      <c r="G848" s="70"/>
      <c r="H848" s="58"/>
      <c r="I848" s="70"/>
      <c r="J848" s="135"/>
      <c r="K848" s="136"/>
      <c r="L848" s="71"/>
      <c r="M848" s="72"/>
      <c r="N848" s="72"/>
      <c r="O848" s="264" t="str">
        <f t="shared" si="94"/>
        <v/>
      </c>
      <c r="P848" s="230">
        <f t="shared" si="95"/>
        <v>0</v>
      </c>
      <c r="Q848" s="231" t="str">
        <f t="shared" si="91"/>
        <v>×</v>
      </c>
      <c r="R848" s="231" t="str">
        <f t="shared" si="96"/>
        <v>×</v>
      </c>
      <c r="S848" s="232" t="str">
        <f t="shared" si="97"/>
        <v/>
      </c>
    </row>
    <row r="849" spans="2:19">
      <c r="B849" s="68"/>
      <c r="C849" s="57"/>
      <c r="D849" s="259" t="str">
        <f t="shared" si="92"/>
        <v/>
      </c>
      <c r="E849" s="260" t="str">
        <f t="shared" si="93"/>
        <v/>
      </c>
      <c r="F849" s="271" t="str">
        <f>IF(G849="","",VLOOKUP(G849,プルダウン用リスト!$K$1:$M$16,2,FALSE))</f>
        <v/>
      </c>
      <c r="G849" s="70"/>
      <c r="H849" s="70"/>
      <c r="I849" s="70"/>
      <c r="J849" s="135"/>
      <c r="K849" s="136"/>
      <c r="L849" s="71"/>
      <c r="M849" s="72"/>
      <c r="N849" s="72"/>
      <c r="O849" s="264" t="str">
        <f t="shared" si="94"/>
        <v/>
      </c>
      <c r="P849" s="230">
        <f t="shared" si="95"/>
        <v>0</v>
      </c>
      <c r="Q849" s="231" t="str">
        <f t="shared" si="91"/>
        <v>×</v>
      </c>
      <c r="R849" s="231" t="str">
        <f t="shared" si="96"/>
        <v>×</v>
      </c>
      <c r="S849" s="232" t="str">
        <f t="shared" si="97"/>
        <v/>
      </c>
    </row>
    <row r="850" spans="2:19">
      <c r="B850" s="68"/>
      <c r="C850" s="57"/>
      <c r="D850" s="259" t="str">
        <f t="shared" si="92"/>
        <v/>
      </c>
      <c r="E850" s="260" t="str">
        <f t="shared" si="93"/>
        <v/>
      </c>
      <c r="F850" s="271" t="str">
        <f>IF(G850="","",VLOOKUP(G850,プルダウン用リスト!$K$1:$M$16,2,FALSE))</f>
        <v/>
      </c>
      <c r="G850" s="70"/>
      <c r="H850" s="58"/>
      <c r="I850" s="70"/>
      <c r="J850" s="135"/>
      <c r="K850" s="136"/>
      <c r="L850" s="71"/>
      <c r="M850" s="72"/>
      <c r="N850" s="72"/>
      <c r="O850" s="264" t="str">
        <f t="shared" si="94"/>
        <v/>
      </c>
      <c r="P850" s="230">
        <f t="shared" si="95"/>
        <v>0</v>
      </c>
      <c r="Q850" s="231" t="str">
        <f t="shared" si="91"/>
        <v>×</v>
      </c>
      <c r="R850" s="231" t="str">
        <f t="shared" si="96"/>
        <v>×</v>
      </c>
      <c r="S850" s="232" t="str">
        <f t="shared" si="97"/>
        <v/>
      </c>
    </row>
    <row r="851" spans="2:19">
      <c r="B851" s="68"/>
      <c r="C851" s="57"/>
      <c r="D851" s="259" t="str">
        <f t="shared" si="92"/>
        <v/>
      </c>
      <c r="E851" s="260" t="str">
        <f t="shared" si="93"/>
        <v/>
      </c>
      <c r="F851" s="271" t="str">
        <f>IF(G851="","",VLOOKUP(G851,プルダウン用リスト!$K$1:$M$16,2,FALSE))</f>
        <v/>
      </c>
      <c r="G851" s="70"/>
      <c r="H851" s="58"/>
      <c r="I851" s="70"/>
      <c r="J851" s="135"/>
      <c r="K851" s="136"/>
      <c r="L851" s="71"/>
      <c r="M851" s="72"/>
      <c r="N851" s="72"/>
      <c r="O851" s="264" t="str">
        <f t="shared" si="94"/>
        <v/>
      </c>
      <c r="P851" s="230">
        <f t="shared" si="95"/>
        <v>0</v>
      </c>
      <c r="Q851" s="231" t="str">
        <f t="shared" si="91"/>
        <v>×</v>
      </c>
      <c r="R851" s="231" t="str">
        <f t="shared" si="96"/>
        <v>×</v>
      </c>
      <c r="S851" s="232" t="str">
        <f t="shared" si="97"/>
        <v/>
      </c>
    </row>
    <row r="852" spans="2:19">
      <c r="B852" s="68"/>
      <c r="C852" s="57"/>
      <c r="D852" s="259" t="str">
        <f t="shared" si="92"/>
        <v/>
      </c>
      <c r="E852" s="260" t="str">
        <f t="shared" si="93"/>
        <v/>
      </c>
      <c r="F852" s="271" t="str">
        <f>IF(G852="","",VLOOKUP(G852,プルダウン用リスト!$K$1:$M$16,2,FALSE))</f>
        <v/>
      </c>
      <c r="G852" s="70"/>
      <c r="H852" s="70"/>
      <c r="I852" s="70"/>
      <c r="J852" s="135"/>
      <c r="K852" s="136"/>
      <c r="L852" s="71"/>
      <c r="M852" s="72"/>
      <c r="N852" s="72"/>
      <c r="O852" s="264" t="str">
        <f t="shared" si="94"/>
        <v/>
      </c>
      <c r="P852" s="230">
        <f t="shared" si="95"/>
        <v>0</v>
      </c>
      <c r="Q852" s="231" t="str">
        <f t="shared" si="91"/>
        <v>×</v>
      </c>
      <c r="R852" s="231" t="str">
        <f t="shared" si="96"/>
        <v>×</v>
      </c>
      <c r="S852" s="232" t="str">
        <f t="shared" si="97"/>
        <v/>
      </c>
    </row>
    <row r="853" spans="2:19">
      <c r="B853" s="68"/>
      <c r="C853" s="57"/>
      <c r="D853" s="259" t="str">
        <f t="shared" si="92"/>
        <v/>
      </c>
      <c r="E853" s="260" t="str">
        <f t="shared" si="93"/>
        <v/>
      </c>
      <c r="F853" s="271" t="str">
        <f>IF(G853="","",VLOOKUP(G853,プルダウン用リスト!$K$1:$M$16,2,FALSE))</f>
        <v/>
      </c>
      <c r="G853" s="70"/>
      <c r="H853" s="58"/>
      <c r="I853" s="70"/>
      <c r="J853" s="135"/>
      <c r="K853" s="136"/>
      <c r="L853" s="71"/>
      <c r="M853" s="72"/>
      <c r="N853" s="72"/>
      <c r="O853" s="264" t="str">
        <f t="shared" si="94"/>
        <v/>
      </c>
      <c r="P853" s="230">
        <f t="shared" si="95"/>
        <v>0</v>
      </c>
      <c r="Q853" s="231" t="str">
        <f t="shared" si="91"/>
        <v>×</v>
      </c>
      <c r="R853" s="231" t="str">
        <f t="shared" si="96"/>
        <v>×</v>
      </c>
      <c r="S853" s="232" t="str">
        <f t="shared" si="97"/>
        <v/>
      </c>
    </row>
    <row r="854" spans="2:19">
      <c r="B854" s="68"/>
      <c r="C854" s="57"/>
      <c r="D854" s="259" t="str">
        <f t="shared" si="92"/>
        <v/>
      </c>
      <c r="E854" s="260" t="str">
        <f t="shared" si="93"/>
        <v/>
      </c>
      <c r="F854" s="271" t="str">
        <f>IF(G854="","",VLOOKUP(G854,プルダウン用リスト!$K$1:$M$16,2,FALSE))</f>
        <v/>
      </c>
      <c r="G854" s="70"/>
      <c r="H854" s="58"/>
      <c r="I854" s="70"/>
      <c r="J854" s="135"/>
      <c r="K854" s="136"/>
      <c r="L854" s="71"/>
      <c r="M854" s="72"/>
      <c r="N854" s="72"/>
      <c r="O854" s="264" t="str">
        <f t="shared" si="94"/>
        <v/>
      </c>
      <c r="P854" s="230">
        <f t="shared" si="95"/>
        <v>0</v>
      </c>
      <c r="Q854" s="231" t="str">
        <f t="shared" si="91"/>
        <v>×</v>
      </c>
      <c r="R854" s="231" t="str">
        <f t="shared" si="96"/>
        <v>×</v>
      </c>
      <c r="S854" s="232" t="str">
        <f t="shared" si="97"/>
        <v/>
      </c>
    </row>
    <row r="855" spans="2:19">
      <c r="B855" s="68"/>
      <c r="C855" s="57"/>
      <c r="D855" s="259" t="str">
        <f t="shared" si="92"/>
        <v/>
      </c>
      <c r="E855" s="260" t="str">
        <f t="shared" si="93"/>
        <v/>
      </c>
      <c r="F855" s="271" t="str">
        <f>IF(G855="","",VLOOKUP(G855,プルダウン用リスト!$K$1:$M$16,2,FALSE))</f>
        <v/>
      </c>
      <c r="G855" s="70"/>
      <c r="H855" s="70"/>
      <c r="I855" s="70"/>
      <c r="J855" s="135"/>
      <c r="K855" s="136"/>
      <c r="L855" s="71"/>
      <c r="M855" s="72"/>
      <c r="N855" s="72"/>
      <c r="O855" s="264" t="str">
        <f t="shared" si="94"/>
        <v/>
      </c>
      <c r="P855" s="230">
        <f t="shared" si="95"/>
        <v>0</v>
      </c>
      <c r="Q855" s="231" t="str">
        <f t="shared" si="91"/>
        <v>×</v>
      </c>
      <c r="R855" s="231" t="str">
        <f t="shared" si="96"/>
        <v>×</v>
      </c>
      <c r="S855" s="232" t="str">
        <f t="shared" si="97"/>
        <v/>
      </c>
    </row>
    <row r="856" spans="2:19">
      <c r="B856" s="68"/>
      <c r="C856" s="57"/>
      <c r="D856" s="259" t="str">
        <f t="shared" si="92"/>
        <v/>
      </c>
      <c r="E856" s="260" t="str">
        <f t="shared" si="93"/>
        <v/>
      </c>
      <c r="F856" s="271" t="str">
        <f>IF(G856="","",VLOOKUP(G856,プルダウン用リスト!$K$1:$M$16,2,FALSE))</f>
        <v/>
      </c>
      <c r="G856" s="70"/>
      <c r="H856" s="58"/>
      <c r="I856" s="70"/>
      <c r="J856" s="135"/>
      <c r="K856" s="136"/>
      <c r="L856" s="71"/>
      <c r="M856" s="72"/>
      <c r="N856" s="72"/>
      <c r="O856" s="264" t="str">
        <f t="shared" si="94"/>
        <v/>
      </c>
      <c r="P856" s="230">
        <f t="shared" si="95"/>
        <v>0</v>
      </c>
      <c r="Q856" s="231" t="str">
        <f t="shared" si="91"/>
        <v>×</v>
      </c>
      <c r="R856" s="231" t="str">
        <f t="shared" si="96"/>
        <v>×</v>
      </c>
      <c r="S856" s="232" t="str">
        <f t="shared" si="97"/>
        <v/>
      </c>
    </row>
    <row r="857" spans="2:19">
      <c r="B857" s="68"/>
      <c r="C857" s="57"/>
      <c r="D857" s="259" t="str">
        <f t="shared" si="92"/>
        <v/>
      </c>
      <c r="E857" s="260" t="str">
        <f t="shared" si="93"/>
        <v/>
      </c>
      <c r="F857" s="271" t="str">
        <f>IF(G857="","",VLOOKUP(G857,プルダウン用リスト!$K$1:$M$16,2,FALSE))</f>
        <v/>
      </c>
      <c r="G857" s="70"/>
      <c r="H857" s="58"/>
      <c r="I857" s="70"/>
      <c r="J857" s="135"/>
      <c r="K857" s="136"/>
      <c r="L857" s="71"/>
      <c r="M857" s="72"/>
      <c r="N857" s="72"/>
      <c r="O857" s="264" t="str">
        <f t="shared" si="94"/>
        <v/>
      </c>
      <c r="P857" s="230">
        <f t="shared" si="95"/>
        <v>0</v>
      </c>
      <c r="Q857" s="231" t="str">
        <f t="shared" si="91"/>
        <v>×</v>
      </c>
      <c r="R857" s="231" t="str">
        <f t="shared" si="96"/>
        <v>×</v>
      </c>
      <c r="S857" s="232" t="str">
        <f t="shared" si="97"/>
        <v/>
      </c>
    </row>
    <row r="858" spans="2:19">
      <c r="B858" s="68"/>
      <c r="C858" s="69"/>
      <c r="D858" s="259" t="str">
        <f t="shared" si="92"/>
        <v/>
      </c>
      <c r="E858" s="260" t="str">
        <f t="shared" si="93"/>
        <v/>
      </c>
      <c r="F858" s="271" t="str">
        <f>IF(G858="","",VLOOKUP(G858,プルダウン用リスト!$K$1:$M$16,2,FALSE))</f>
        <v/>
      </c>
      <c r="G858" s="70"/>
      <c r="H858" s="70"/>
      <c r="I858" s="70"/>
      <c r="J858" s="135"/>
      <c r="K858" s="136"/>
      <c r="L858" s="71"/>
      <c r="M858" s="72"/>
      <c r="N858" s="72"/>
      <c r="O858" s="264" t="str">
        <f t="shared" si="94"/>
        <v/>
      </c>
      <c r="P858" s="230">
        <f t="shared" si="95"/>
        <v>0</v>
      </c>
      <c r="Q858" s="231" t="str">
        <f t="shared" si="91"/>
        <v>×</v>
      </c>
      <c r="R858" s="231" t="str">
        <f t="shared" si="96"/>
        <v>×</v>
      </c>
      <c r="S858" s="232" t="str">
        <f t="shared" si="97"/>
        <v/>
      </c>
    </row>
    <row r="859" spans="2:19">
      <c r="B859" s="68"/>
      <c r="C859" s="57"/>
      <c r="D859" s="259" t="str">
        <f t="shared" si="92"/>
        <v/>
      </c>
      <c r="E859" s="260" t="str">
        <f t="shared" si="93"/>
        <v/>
      </c>
      <c r="F859" s="271" t="str">
        <f>IF(G859="","",VLOOKUP(G859,プルダウン用リスト!$K$1:$M$16,2,FALSE))</f>
        <v/>
      </c>
      <c r="G859" s="70"/>
      <c r="H859" s="58"/>
      <c r="I859" s="70"/>
      <c r="J859" s="135"/>
      <c r="K859" s="136"/>
      <c r="L859" s="71"/>
      <c r="M859" s="72"/>
      <c r="N859" s="72"/>
      <c r="O859" s="264" t="str">
        <f t="shared" si="94"/>
        <v/>
      </c>
      <c r="P859" s="230">
        <f t="shared" si="95"/>
        <v>0</v>
      </c>
      <c r="Q859" s="231" t="str">
        <f t="shared" si="91"/>
        <v>×</v>
      </c>
      <c r="R859" s="231" t="str">
        <f t="shared" si="96"/>
        <v>×</v>
      </c>
      <c r="S859" s="232" t="str">
        <f t="shared" si="97"/>
        <v/>
      </c>
    </row>
    <row r="860" spans="2:19">
      <c r="B860" s="68"/>
      <c r="C860" s="57"/>
      <c r="D860" s="259" t="str">
        <f t="shared" si="92"/>
        <v/>
      </c>
      <c r="E860" s="260" t="str">
        <f t="shared" si="93"/>
        <v/>
      </c>
      <c r="F860" s="271" t="str">
        <f>IF(G860="","",VLOOKUP(G860,プルダウン用リスト!$K$1:$M$16,2,FALSE))</f>
        <v/>
      </c>
      <c r="G860" s="70"/>
      <c r="H860" s="58"/>
      <c r="I860" s="70"/>
      <c r="J860" s="135"/>
      <c r="K860" s="136"/>
      <c r="L860" s="71"/>
      <c r="M860" s="72"/>
      <c r="N860" s="72"/>
      <c r="O860" s="264" t="str">
        <f t="shared" si="94"/>
        <v/>
      </c>
      <c r="P860" s="230">
        <f t="shared" si="95"/>
        <v>0</v>
      </c>
      <c r="Q860" s="231" t="str">
        <f t="shared" si="91"/>
        <v>×</v>
      </c>
      <c r="R860" s="231" t="str">
        <f t="shared" si="96"/>
        <v>×</v>
      </c>
      <c r="S860" s="232" t="str">
        <f t="shared" si="97"/>
        <v/>
      </c>
    </row>
    <row r="861" spans="2:19">
      <c r="B861" s="68"/>
      <c r="C861" s="57"/>
      <c r="D861" s="259" t="str">
        <f t="shared" si="92"/>
        <v/>
      </c>
      <c r="E861" s="260" t="str">
        <f t="shared" si="93"/>
        <v/>
      </c>
      <c r="F861" s="271" t="str">
        <f>IF(G861="","",VLOOKUP(G861,プルダウン用リスト!$K$1:$M$16,2,FALSE))</f>
        <v/>
      </c>
      <c r="G861" s="70"/>
      <c r="H861" s="70"/>
      <c r="I861" s="70"/>
      <c r="J861" s="135"/>
      <c r="K861" s="136"/>
      <c r="L861" s="71"/>
      <c r="M861" s="72"/>
      <c r="N861" s="72"/>
      <c r="O861" s="264" t="str">
        <f t="shared" si="94"/>
        <v/>
      </c>
      <c r="P861" s="230">
        <f t="shared" si="95"/>
        <v>0</v>
      </c>
      <c r="Q861" s="231" t="str">
        <f t="shared" si="91"/>
        <v>×</v>
      </c>
      <c r="R861" s="231" t="str">
        <f t="shared" si="96"/>
        <v>×</v>
      </c>
      <c r="S861" s="232" t="str">
        <f t="shared" si="97"/>
        <v/>
      </c>
    </row>
    <row r="862" spans="2:19">
      <c r="B862" s="68"/>
      <c r="C862" s="57"/>
      <c r="D862" s="259" t="str">
        <f t="shared" si="92"/>
        <v/>
      </c>
      <c r="E862" s="260" t="str">
        <f t="shared" si="93"/>
        <v/>
      </c>
      <c r="F862" s="271" t="str">
        <f>IF(G862="","",VLOOKUP(G862,プルダウン用リスト!$K$1:$M$16,2,FALSE))</f>
        <v/>
      </c>
      <c r="G862" s="70"/>
      <c r="H862" s="58"/>
      <c r="I862" s="70"/>
      <c r="J862" s="135"/>
      <c r="K862" s="136"/>
      <c r="L862" s="71"/>
      <c r="M862" s="72"/>
      <c r="N862" s="72"/>
      <c r="O862" s="264" t="str">
        <f t="shared" si="94"/>
        <v/>
      </c>
      <c r="P862" s="230">
        <f t="shared" si="95"/>
        <v>0</v>
      </c>
      <c r="Q862" s="231" t="str">
        <f t="shared" si="91"/>
        <v>×</v>
      </c>
      <c r="R862" s="231" t="str">
        <f t="shared" si="96"/>
        <v>×</v>
      </c>
      <c r="S862" s="232" t="str">
        <f t="shared" si="97"/>
        <v/>
      </c>
    </row>
    <row r="863" spans="2:19">
      <c r="B863" s="68"/>
      <c r="C863" s="57"/>
      <c r="D863" s="259" t="str">
        <f t="shared" si="92"/>
        <v/>
      </c>
      <c r="E863" s="260" t="str">
        <f t="shared" si="93"/>
        <v/>
      </c>
      <c r="F863" s="271" t="str">
        <f>IF(G863="","",VLOOKUP(G863,プルダウン用リスト!$K$1:$M$16,2,FALSE))</f>
        <v/>
      </c>
      <c r="G863" s="70"/>
      <c r="H863" s="58"/>
      <c r="I863" s="70"/>
      <c r="J863" s="135"/>
      <c r="K863" s="136"/>
      <c r="L863" s="71"/>
      <c r="M863" s="72"/>
      <c r="N863" s="72"/>
      <c r="O863" s="264" t="str">
        <f t="shared" si="94"/>
        <v/>
      </c>
      <c r="P863" s="230">
        <f t="shared" si="95"/>
        <v>0</v>
      </c>
      <c r="Q863" s="231" t="str">
        <f t="shared" si="91"/>
        <v>×</v>
      </c>
      <c r="R863" s="231" t="str">
        <f t="shared" si="96"/>
        <v>×</v>
      </c>
      <c r="S863" s="232" t="str">
        <f t="shared" si="97"/>
        <v/>
      </c>
    </row>
    <row r="864" spans="2:19">
      <c r="B864" s="68"/>
      <c r="C864" s="57"/>
      <c r="D864" s="259" t="str">
        <f t="shared" si="92"/>
        <v/>
      </c>
      <c r="E864" s="260" t="str">
        <f t="shared" si="93"/>
        <v/>
      </c>
      <c r="F864" s="271" t="str">
        <f>IF(G864="","",VLOOKUP(G864,プルダウン用リスト!$K$1:$M$16,2,FALSE))</f>
        <v/>
      </c>
      <c r="G864" s="70"/>
      <c r="H864" s="70"/>
      <c r="I864" s="70"/>
      <c r="J864" s="135"/>
      <c r="K864" s="136"/>
      <c r="L864" s="71"/>
      <c r="M864" s="72"/>
      <c r="N864" s="72"/>
      <c r="O864" s="264" t="str">
        <f t="shared" si="94"/>
        <v/>
      </c>
      <c r="P864" s="230">
        <f t="shared" si="95"/>
        <v>0</v>
      </c>
      <c r="Q864" s="231" t="str">
        <f t="shared" si="91"/>
        <v>×</v>
      </c>
      <c r="R864" s="231" t="str">
        <f t="shared" si="96"/>
        <v>×</v>
      </c>
      <c r="S864" s="232" t="str">
        <f t="shared" si="97"/>
        <v/>
      </c>
    </row>
    <row r="865" spans="2:19">
      <c r="B865" s="68"/>
      <c r="C865" s="57"/>
      <c r="D865" s="259" t="str">
        <f t="shared" si="92"/>
        <v/>
      </c>
      <c r="E865" s="260" t="str">
        <f t="shared" si="93"/>
        <v/>
      </c>
      <c r="F865" s="271" t="str">
        <f>IF(G865="","",VLOOKUP(G865,プルダウン用リスト!$K$1:$M$16,2,FALSE))</f>
        <v/>
      </c>
      <c r="G865" s="70"/>
      <c r="H865" s="58"/>
      <c r="I865" s="70"/>
      <c r="J865" s="135"/>
      <c r="K865" s="136"/>
      <c r="L865" s="71"/>
      <c r="M865" s="72"/>
      <c r="N865" s="72"/>
      <c r="O865" s="264" t="str">
        <f t="shared" si="94"/>
        <v/>
      </c>
      <c r="P865" s="230">
        <f t="shared" si="95"/>
        <v>0</v>
      </c>
      <c r="Q865" s="231" t="str">
        <f t="shared" si="91"/>
        <v>×</v>
      </c>
      <c r="R865" s="231" t="str">
        <f t="shared" si="96"/>
        <v>×</v>
      </c>
      <c r="S865" s="232" t="str">
        <f t="shared" si="97"/>
        <v/>
      </c>
    </row>
    <row r="866" spans="2:19">
      <c r="B866" s="68"/>
      <c r="C866" s="57"/>
      <c r="D866" s="259" t="str">
        <f t="shared" si="92"/>
        <v/>
      </c>
      <c r="E866" s="260" t="str">
        <f t="shared" si="93"/>
        <v/>
      </c>
      <c r="F866" s="271" t="str">
        <f>IF(G866="","",VLOOKUP(G866,プルダウン用リスト!$K$1:$M$16,2,FALSE))</f>
        <v/>
      </c>
      <c r="G866" s="70"/>
      <c r="H866" s="58"/>
      <c r="I866" s="70"/>
      <c r="J866" s="135"/>
      <c r="K866" s="136"/>
      <c r="L866" s="71"/>
      <c r="M866" s="72"/>
      <c r="N866" s="72"/>
      <c r="O866" s="264" t="str">
        <f t="shared" si="94"/>
        <v/>
      </c>
      <c r="P866" s="230">
        <f t="shared" si="95"/>
        <v>0</v>
      </c>
      <c r="Q866" s="231" t="str">
        <f t="shared" si="91"/>
        <v>×</v>
      </c>
      <c r="R866" s="231" t="str">
        <f t="shared" si="96"/>
        <v>×</v>
      </c>
      <c r="S866" s="232" t="str">
        <f t="shared" si="97"/>
        <v/>
      </c>
    </row>
    <row r="867" spans="2:19">
      <c r="B867" s="68"/>
      <c r="C867" s="57"/>
      <c r="D867" s="259" t="str">
        <f t="shared" si="92"/>
        <v/>
      </c>
      <c r="E867" s="260" t="str">
        <f t="shared" si="93"/>
        <v/>
      </c>
      <c r="F867" s="271" t="str">
        <f>IF(G867="","",VLOOKUP(G867,プルダウン用リスト!$K$1:$M$16,2,FALSE))</f>
        <v/>
      </c>
      <c r="G867" s="70"/>
      <c r="H867" s="70"/>
      <c r="I867" s="70"/>
      <c r="J867" s="135"/>
      <c r="K867" s="136"/>
      <c r="L867" s="71"/>
      <c r="M867" s="72"/>
      <c r="N867" s="72"/>
      <c r="O867" s="264" t="str">
        <f t="shared" si="94"/>
        <v/>
      </c>
      <c r="P867" s="230">
        <f t="shared" si="95"/>
        <v>0</v>
      </c>
      <c r="Q867" s="231" t="str">
        <f t="shared" si="91"/>
        <v>×</v>
      </c>
      <c r="R867" s="231" t="str">
        <f t="shared" si="96"/>
        <v>×</v>
      </c>
      <c r="S867" s="232" t="str">
        <f t="shared" si="97"/>
        <v/>
      </c>
    </row>
    <row r="868" spans="2:19">
      <c r="B868" s="68"/>
      <c r="C868" s="57"/>
      <c r="D868" s="259" t="str">
        <f t="shared" si="92"/>
        <v/>
      </c>
      <c r="E868" s="260" t="str">
        <f t="shared" si="93"/>
        <v/>
      </c>
      <c r="F868" s="271" t="str">
        <f>IF(G868="","",VLOOKUP(G868,プルダウン用リスト!$K$1:$M$16,2,FALSE))</f>
        <v/>
      </c>
      <c r="G868" s="70"/>
      <c r="H868" s="58"/>
      <c r="I868" s="70"/>
      <c r="J868" s="135"/>
      <c r="K868" s="136"/>
      <c r="L868" s="71"/>
      <c r="M868" s="72"/>
      <c r="N868" s="72"/>
      <c r="O868" s="264" t="str">
        <f t="shared" si="94"/>
        <v/>
      </c>
      <c r="P868" s="230">
        <f t="shared" si="95"/>
        <v>0</v>
      </c>
      <c r="Q868" s="231" t="str">
        <f t="shared" si="91"/>
        <v>×</v>
      </c>
      <c r="R868" s="231" t="str">
        <f t="shared" si="96"/>
        <v>×</v>
      </c>
      <c r="S868" s="232" t="str">
        <f t="shared" si="97"/>
        <v/>
      </c>
    </row>
    <row r="869" spans="2:19">
      <c r="B869" s="68"/>
      <c r="C869" s="57"/>
      <c r="D869" s="259" t="str">
        <f t="shared" si="92"/>
        <v/>
      </c>
      <c r="E869" s="260" t="str">
        <f t="shared" si="93"/>
        <v/>
      </c>
      <c r="F869" s="271" t="str">
        <f>IF(G869="","",VLOOKUP(G869,プルダウン用リスト!$K$1:$M$16,2,FALSE))</f>
        <v/>
      </c>
      <c r="G869" s="70"/>
      <c r="H869" s="58"/>
      <c r="I869" s="70"/>
      <c r="J869" s="135"/>
      <c r="K869" s="136"/>
      <c r="L869" s="71"/>
      <c r="M869" s="72"/>
      <c r="N869" s="72"/>
      <c r="O869" s="264" t="str">
        <f t="shared" si="94"/>
        <v/>
      </c>
      <c r="P869" s="230">
        <f t="shared" si="95"/>
        <v>0</v>
      </c>
      <c r="Q869" s="231" t="str">
        <f t="shared" si="91"/>
        <v>×</v>
      </c>
      <c r="R869" s="231" t="str">
        <f t="shared" si="96"/>
        <v>×</v>
      </c>
      <c r="S869" s="232" t="str">
        <f t="shared" si="97"/>
        <v/>
      </c>
    </row>
    <row r="870" spans="2:19">
      <c r="B870" s="68"/>
      <c r="C870" s="69"/>
      <c r="D870" s="259" t="str">
        <f t="shared" si="92"/>
        <v/>
      </c>
      <c r="E870" s="260" t="str">
        <f t="shared" si="93"/>
        <v/>
      </c>
      <c r="F870" s="271" t="str">
        <f>IF(G870="","",VLOOKUP(G870,プルダウン用リスト!$K$1:$M$16,2,FALSE))</f>
        <v/>
      </c>
      <c r="G870" s="70"/>
      <c r="H870" s="70"/>
      <c r="I870" s="70"/>
      <c r="J870" s="135"/>
      <c r="K870" s="136"/>
      <c r="L870" s="71"/>
      <c r="M870" s="72"/>
      <c r="N870" s="72"/>
      <c r="O870" s="264" t="str">
        <f t="shared" si="94"/>
        <v/>
      </c>
      <c r="P870" s="230">
        <f t="shared" si="95"/>
        <v>0</v>
      </c>
      <c r="Q870" s="231" t="str">
        <f t="shared" si="91"/>
        <v>×</v>
      </c>
      <c r="R870" s="231" t="str">
        <f t="shared" si="96"/>
        <v>×</v>
      </c>
      <c r="S870" s="232" t="str">
        <f t="shared" si="97"/>
        <v/>
      </c>
    </row>
    <row r="871" spans="2:19">
      <c r="B871" s="68"/>
      <c r="C871" s="57"/>
      <c r="D871" s="259" t="str">
        <f t="shared" si="92"/>
        <v/>
      </c>
      <c r="E871" s="260" t="str">
        <f t="shared" si="93"/>
        <v/>
      </c>
      <c r="F871" s="271" t="str">
        <f>IF(G871="","",VLOOKUP(G871,プルダウン用リスト!$K$1:$M$16,2,FALSE))</f>
        <v/>
      </c>
      <c r="G871" s="70"/>
      <c r="H871" s="58"/>
      <c r="I871" s="70"/>
      <c r="J871" s="135"/>
      <c r="K871" s="136"/>
      <c r="L871" s="71"/>
      <c r="M871" s="72"/>
      <c r="N871" s="72"/>
      <c r="O871" s="264" t="str">
        <f t="shared" si="94"/>
        <v/>
      </c>
      <c r="P871" s="230">
        <f t="shared" si="95"/>
        <v>0</v>
      </c>
      <c r="Q871" s="231" t="str">
        <f t="shared" si="91"/>
        <v>×</v>
      </c>
      <c r="R871" s="231" t="str">
        <f t="shared" si="96"/>
        <v>×</v>
      </c>
      <c r="S871" s="232" t="str">
        <f t="shared" si="97"/>
        <v/>
      </c>
    </row>
    <row r="872" spans="2:19">
      <c r="B872" s="68"/>
      <c r="C872" s="57"/>
      <c r="D872" s="259" t="str">
        <f t="shared" si="92"/>
        <v/>
      </c>
      <c r="E872" s="260" t="str">
        <f t="shared" si="93"/>
        <v/>
      </c>
      <c r="F872" s="271" t="str">
        <f>IF(G872="","",VLOOKUP(G872,プルダウン用リスト!$K$1:$M$16,2,FALSE))</f>
        <v/>
      </c>
      <c r="G872" s="70"/>
      <c r="H872" s="58"/>
      <c r="I872" s="70"/>
      <c r="J872" s="135"/>
      <c r="K872" s="136"/>
      <c r="L872" s="71"/>
      <c r="M872" s="72"/>
      <c r="N872" s="72"/>
      <c r="O872" s="264" t="str">
        <f t="shared" si="94"/>
        <v/>
      </c>
      <c r="P872" s="230">
        <f t="shared" si="95"/>
        <v>0</v>
      </c>
      <c r="Q872" s="231" t="str">
        <f t="shared" si="91"/>
        <v>×</v>
      </c>
      <c r="R872" s="231" t="str">
        <f t="shared" si="96"/>
        <v>×</v>
      </c>
      <c r="S872" s="232" t="str">
        <f t="shared" si="97"/>
        <v/>
      </c>
    </row>
    <row r="873" spans="2:19">
      <c r="B873" s="68"/>
      <c r="C873" s="57"/>
      <c r="D873" s="259" t="str">
        <f t="shared" si="92"/>
        <v/>
      </c>
      <c r="E873" s="260" t="str">
        <f t="shared" si="93"/>
        <v/>
      </c>
      <c r="F873" s="271" t="str">
        <f>IF(G873="","",VLOOKUP(G873,プルダウン用リスト!$K$1:$M$16,2,FALSE))</f>
        <v/>
      </c>
      <c r="G873" s="70"/>
      <c r="H873" s="70"/>
      <c r="I873" s="70"/>
      <c r="J873" s="135"/>
      <c r="K873" s="136"/>
      <c r="L873" s="71"/>
      <c r="M873" s="72"/>
      <c r="N873" s="72"/>
      <c r="O873" s="264" t="str">
        <f t="shared" si="94"/>
        <v/>
      </c>
      <c r="P873" s="230">
        <f t="shared" si="95"/>
        <v>0</v>
      </c>
      <c r="Q873" s="231" t="str">
        <f t="shared" si="91"/>
        <v>×</v>
      </c>
      <c r="R873" s="231" t="str">
        <f t="shared" si="96"/>
        <v>×</v>
      </c>
      <c r="S873" s="232" t="str">
        <f t="shared" si="97"/>
        <v/>
      </c>
    </row>
    <row r="874" spans="2:19">
      <c r="B874" s="68"/>
      <c r="C874" s="57"/>
      <c r="D874" s="259" t="str">
        <f t="shared" si="92"/>
        <v/>
      </c>
      <c r="E874" s="260" t="str">
        <f t="shared" si="93"/>
        <v/>
      </c>
      <c r="F874" s="271" t="str">
        <f>IF(G874="","",VLOOKUP(G874,プルダウン用リスト!$K$1:$M$16,2,FALSE))</f>
        <v/>
      </c>
      <c r="G874" s="70"/>
      <c r="H874" s="58"/>
      <c r="I874" s="70"/>
      <c r="J874" s="135"/>
      <c r="K874" s="136"/>
      <c r="L874" s="71"/>
      <c r="M874" s="72"/>
      <c r="N874" s="72"/>
      <c r="O874" s="264" t="str">
        <f t="shared" si="94"/>
        <v/>
      </c>
      <c r="P874" s="230">
        <f t="shared" si="95"/>
        <v>0</v>
      </c>
      <c r="Q874" s="231" t="str">
        <f t="shared" si="91"/>
        <v>×</v>
      </c>
      <c r="R874" s="231" t="str">
        <f t="shared" si="96"/>
        <v>×</v>
      </c>
      <c r="S874" s="232" t="str">
        <f t="shared" si="97"/>
        <v/>
      </c>
    </row>
    <row r="875" spans="2:19">
      <c r="B875" s="68"/>
      <c r="C875" s="57"/>
      <c r="D875" s="259" t="str">
        <f t="shared" si="92"/>
        <v/>
      </c>
      <c r="E875" s="260" t="str">
        <f t="shared" si="93"/>
        <v/>
      </c>
      <c r="F875" s="271" t="str">
        <f>IF(G875="","",VLOOKUP(G875,プルダウン用リスト!$K$1:$M$16,2,FALSE))</f>
        <v/>
      </c>
      <c r="G875" s="70"/>
      <c r="H875" s="58"/>
      <c r="I875" s="70"/>
      <c r="J875" s="135"/>
      <c r="K875" s="136"/>
      <c r="L875" s="71"/>
      <c r="M875" s="72"/>
      <c r="N875" s="72"/>
      <c r="O875" s="264" t="str">
        <f t="shared" si="94"/>
        <v/>
      </c>
      <c r="P875" s="230">
        <f t="shared" si="95"/>
        <v>0</v>
      </c>
      <c r="Q875" s="231" t="str">
        <f t="shared" si="91"/>
        <v>×</v>
      </c>
      <c r="R875" s="231" t="str">
        <f t="shared" si="96"/>
        <v>×</v>
      </c>
      <c r="S875" s="232" t="str">
        <f t="shared" si="97"/>
        <v/>
      </c>
    </row>
    <row r="876" spans="2:19">
      <c r="B876" s="68"/>
      <c r="C876" s="57"/>
      <c r="D876" s="259" t="str">
        <f t="shared" si="92"/>
        <v/>
      </c>
      <c r="E876" s="260" t="str">
        <f t="shared" si="93"/>
        <v/>
      </c>
      <c r="F876" s="271" t="str">
        <f>IF(G876="","",VLOOKUP(G876,プルダウン用リスト!$K$1:$M$16,2,FALSE))</f>
        <v/>
      </c>
      <c r="G876" s="70"/>
      <c r="H876" s="70"/>
      <c r="I876" s="70"/>
      <c r="J876" s="135"/>
      <c r="K876" s="136"/>
      <c r="L876" s="71"/>
      <c r="M876" s="72"/>
      <c r="N876" s="72"/>
      <c r="O876" s="264" t="str">
        <f t="shared" si="94"/>
        <v/>
      </c>
      <c r="P876" s="230">
        <f t="shared" si="95"/>
        <v>0</v>
      </c>
      <c r="Q876" s="231" t="str">
        <f t="shared" si="91"/>
        <v>×</v>
      </c>
      <c r="R876" s="231" t="str">
        <f t="shared" si="96"/>
        <v>×</v>
      </c>
      <c r="S876" s="232" t="str">
        <f t="shared" si="97"/>
        <v/>
      </c>
    </row>
    <row r="877" spans="2:19">
      <c r="B877" s="68"/>
      <c r="C877" s="57"/>
      <c r="D877" s="259" t="str">
        <f t="shared" si="92"/>
        <v/>
      </c>
      <c r="E877" s="260" t="str">
        <f t="shared" si="93"/>
        <v/>
      </c>
      <c r="F877" s="271" t="str">
        <f>IF(G877="","",VLOOKUP(G877,プルダウン用リスト!$K$1:$M$16,2,FALSE))</f>
        <v/>
      </c>
      <c r="G877" s="70"/>
      <c r="H877" s="58"/>
      <c r="I877" s="70"/>
      <c r="J877" s="135"/>
      <c r="K877" s="136"/>
      <c r="L877" s="71"/>
      <c r="M877" s="72"/>
      <c r="N877" s="72"/>
      <c r="O877" s="264" t="str">
        <f t="shared" si="94"/>
        <v/>
      </c>
      <c r="P877" s="230">
        <f t="shared" si="95"/>
        <v>0</v>
      </c>
      <c r="Q877" s="231" t="str">
        <f t="shared" si="91"/>
        <v>×</v>
      </c>
      <c r="R877" s="231" t="str">
        <f t="shared" si="96"/>
        <v>×</v>
      </c>
      <c r="S877" s="232" t="str">
        <f t="shared" si="97"/>
        <v/>
      </c>
    </row>
    <row r="878" spans="2:19">
      <c r="B878" s="68"/>
      <c r="C878" s="57"/>
      <c r="D878" s="259" t="str">
        <f t="shared" si="92"/>
        <v/>
      </c>
      <c r="E878" s="260" t="str">
        <f t="shared" si="93"/>
        <v/>
      </c>
      <c r="F878" s="271" t="str">
        <f>IF(G878="","",VLOOKUP(G878,プルダウン用リスト!$K$1:$M$16,2,FALSE))</f>
        <v/>
      </c>
      <c r="G878" s="70"/>
      <c r="H878" s="58"/>
      <c r="I878" s="70"/>
      <c r="J878" s="135"/>
      <c r="K878" s="136"/>
      <c r="L878" s="71"/>
      <c r="M878" s="72"/>
      <c r="N878" s="72"/>
      <c r="O878" s="264" t="str">
        <f t="shared" si="94"/>
        <v/>
      </c>
      <c r="P878" s="230">
        <f t="shared" si="95"/>
        <v>0</v>
      </c>
      <c r="Q878" s="231" t="str">
        <f t="shared" si="91"/>
        <v>×</v>
      </c>
      <c r="R878" s="231" t="str">
        <f t="shared" si="96"/>
        <v>×</v>
      </c>
      <c r="S878" s="232" t="str">
        <f t="shared" si="97"/>
        <v/>
      </c>
    </row>
    <row r="879" spans="2:19">
      <c r="B879" s="68"/>
      <c r="C879" s="57"/>
      <c r="D879" s="259" t="str">
        <f t="shared" si="92"/>
        <v/>
      </c>
      <c r="E879" s="260" t="str">
        <f t="shared" si="93"/>
        <v/>
      </c>
      <c r="F879" s="271" t="str">
        <f>IF(G879="","",VLOOKUP(G879,プルダウン用リスト!$K$1:$M$16,2,FALSE))</f>
        <v/>
      </c>
      <c r="G879" s="70"/>
      <c r="H879" s="70"/>
      <c r="I879" s="70"/>
      <c r="J879" s="135"/>
      <c r="K879" s="136"/>
      <c r="L879" s="71"/>
      <c r="M879" s="72"/>
      <c r="N879" s="72"/>
      <c r="O879" s="264" t="str">
        <f t="shared" si="94"/>
        <v/>
      </c>
      <c r="P879" s="230">
        <f t="shared" si="95"/>
        <v>0</v>
      </c>
      <c r="Q879" s="231" t="str">
        <f t="shared" si="91"/>
        <v>×</v>
      </c>
      <c r="R879" s="231" t="str">
        <f t="shared" si="96"/>
        <v>×</v>
      </c>
      <c r="S879" s="232" t="str">
        <f t="shared" si="97"/>
        <v/>
      </c>
    </row>
    <row r="880" spans="2:19">
      <c r="B880" s="68"/>
      <c r="C880" s="57"/>
      <c r="D880" s="259" t="str">
        <f t="shared" si="92"/>
        <v/>
      </c>
      <c r="E880" s="260" t="str">
        <f t="shared" si="93"/>
        <v/>
      </c>
      <c r="F880" s="271" t="str">
        <f>IF(G880="","",VLOOKUP(G880,プルダウン用リスト!$K$1:$M$16,2,FALSE))</f>
        <v/>
      </c>
      <c r="G880" s="70"/>
      <c r="H880" s="58"/>
      <c r="I880" s="70"/>
      <c r="J880" s="135"/>
      <c r="K880" s="136"/>
      <c r="L880" s="71"/>
      <c r="M880" s="72"/>
      <c r="N880" s="72"/>
      <c r="O880" s="264" t="str">
        <f t="shared" si="94"/>
        <v/>
      </c>
      <c r="P880" s="230">
        <f t="shared" si="95"/>
        <v>0</v>
      </c>
      <c r="Q880" s="231" t="str">
        <f t="shared" si="91"/>
        <v>×</v>
      </c>
      <c r="R880" s="231" t="str">
        <f t="shared" si="96"/>
        <v>×</v>
      </c>
      <c r="S880" s="232" t="str">
        <f t="shared" si="97"/>
        <v/>
      </c>
    </row>
    <row r="881" spans="2:19">
      <c r="B881" s="68"/>
      <c r="C881" s="57"/>
      <c r="D881" s="259" t="str">
        <f t="shared" si="92"/>
        <v/>
      </c>
      <c r="E881" s="260" t="str">
        <f t="shared" si="93"/>
        <v/>
      </c>
      <c r="F881" s="271" t="str">
        <f>IF(G881="","",VLOOKUP(G881,プルダウン用リスト!$K$1:$M$16,2,FALSE))</f>
        <v/>
      </c>
      <c r="G881" s="70"/>
      <c r="H881" s="58"/>
      <c r="I881" s="70"/>
      <c r="J881" s="135"/>
      <c r="K881" s="136"/>
      <c r="L881" s="71"/>
      <c r="M881" s="72"/>
      <c r="N881" s="72"/>
      <c r="O881" s="264" t="str">
        <f t="shared" si="94"/>
        <v/>
      </c>
      <c r="P881" s="230">
        <f t="shared" si="95"/>
        <v>0</v>
      </c>
      <c r="Q881" s="231" t="str">
        <f t="shared" si="91"/>
        <v>×</v>
      </c>
      <c r="R881" s="231" t="str">
        <f t="shared" si="96"/>
        <v>×</v>
      </c>
      <c r="S881" s="232" t="str">
        <f t="shared" si="97"/>
        <v/>
      </c>
    </row>
    <row r="882" spans="2:19">
      <c r="B882" s="68"/>
      <c r="C882" s="69"/>
      <c r="D882" s="259" t="str">
        <f t="shared" si="92"/>
        <v/>
      </c>
      <c r="E882" s="260" t="str">
        <f t="shared" si="93"/>
        <v/>
      </c>
      <c r="F882" s="271" t="str">
        <f>IF(G882="","",VLOOKUP(G882,プルダウン用リスト!$K$1:$M$16,2,FALSE))</f>
        <v/>
      </c>
      <c r="G882" s="70"/>
      <c r="H882" s="70"/>
      <c r="I882" s="70"/>
      <c r="J882" s="135"/>
      <c r="K882" s="136"/>
      <c r="L882" s="71"/>
      <c r="M882" s="72"/>
      <c r="N882" s="72"/>
      <c r="O882" s="264" t="str">
        <f t="shared" si="94"/>
        <v/>
      </c>
      <c r="P882" s="230">
        <f t="shared" si="95"/>
        <v>0</v>
      </c>
      <c r="Q882" s="231" t="str">
        <f t="shared" si="91"/>
        <v>×</v>
      </c>
      <c r="R882" s="231" t="str">
        <f t="shared" si="96"/>
        <v>×</v>
      </c>
      <c r="S882" s="232" t="str">
        <f t="shared" si="97"/>
        <v/>
      </c>
    </row>
    <row r="883" spans="2:19">
      <c r="B883" s="68"/>
      <c r="C883" s="57"/>
      <c r="D883" s="259" t="str">
        <f t="shared" si="92"/>
        <v/>
      </c>
      <c r="E883" s="260" t="str">
        <f t="shared" si="93"/>
        <v/>
      </c>
      <c r="F883" s="271" t="str">
        <f>IF(G883="","",VLOOKUP(G883,プルダウン用リスト!$K$1:$M$16,2,FALSE))</f>
        <v/>
      </c>
      <c r="G883" s="70"/>
      <c r="H883" s="58"/>
      <c r="I883" s="70"/>
      <c r="J883" s="135"/>
      <c r="K883" s="136"/>
      <c r="L883" s="71"/>
      <c r="M883" s="72"/>
      <c r="N883" s="72"/>
      <c r="O883" s="264" t="str">
        <f t="shared" si="94"/>
        <v/>
      </c>
      <c r="P883" s="230">
        <f t="shared" si="95"/>
        <v>0</v>
      </c>
      <c r="Q883" s="231" t="str">
        <f t="shared" si="91"/>
        <v>×</v>
      </c>
      <c r="R883" s="231" t="str">
        <f t="shared" si="96"/>
        <v>×</v>
      </c>
      <c r="S883" s="232" t="str">
        <f t="shared" si="97"/>
        <v/>
      </c>
    </row>
    <row r="884" spans="2:19">
      <c r="B884" s="68"/>
      <c r="C884" s="57"/>
      <c r="D884" s="259" t="str">
        <f t="shared" si="92"/>
        <v/>
      </c>
      <c r="E884" s="260" t="str">
        <f t="shared" si="93"/>
        <v/>
      </c>
      <c r="F884" s="271" t="str">
        <f>IF(G884="","",VLOOKUP(G884,プルダウン用リスト!$K$1:$M$16,2,FALSE))</f>
        <v/>
      </c>
      <c r="G884" s="70"/>
      <c r="H884" s="58"/>
      <c r="I884" s="70"/>
      <c r="J884" s="135"/>
      <c r="K884" s="136"/>
      <c r="L884" s="71"/>
      <c r="M884" s="72"/>
      <c r="N884" s="72"/>
      <c r="O884" s="264" t="str">
        <f t="shared" si="94"/>
        <v/>
      </c>
      <c r="P884" s="230">
        <f t="shared" si="95"/>
        <v>0</v>
      </c>
      <c r="Q884" s="231" t="str">
        <f t="shared" si="91"/>
        <v>×</v>
      </c>
      <c r="R884" s="231" t="str">
        <f t="shared" si="96"/>
        <v>×</v>
      </c>
      <c r="S884" s="232" t="str">
        <f t="shared" si="97"/>
        <v/>
      </c>
    </row>
    <row r="885" spans="2:19">
      <c r="B885" s="68"/>
      <c r="C885" s="57"/>
      <c r="D885" s="259" t="str">
        <f t="shared" si="92"/>
        <v/>
      </c>
      <c r="E885" s="260" t="str">
        <f t="shared" si="93"/>
        <v/>
      </c>
      <c r="F885" s="271" t="str">
        <f>IF(G885="","",VLOOKUP(G885,プルダウン用リスト!$K$1:$M$16,2,FALSE))</f>
        <v/>
      </c>
      <c r="G885" s="70"/>
      <c r="H885" s="70"/>
      <c r="I885" s="70"/>
      <c r="J885" s="135"/>
      <c r="K885" s="136"/>
      <c r="L885" s="71"/>
      <c r="M885" s="72"/>
      <c r="N885" s="72"/>
      <c r="O885" s="264" t="str">
        <f t="shared" si="94"/>
        <v/>
      </c>
      <c r="P885" s="230">
        <f t="shared" si="95"/>
        <v>0</v>
      </c>
      <c r="Q885" s="231" t="str">
        <f t="shared" si="91"/>
        <v>×</v>
      </c>
      <c r="R885" s="231" t="str">
        <f t="shared" si="96"/>
        <v>×</v>
      </c>
      <c r="S885" s="232" t="str">
        <f t="shared" si="97"/>
        <v/>
      </c>
    </row>
    <row r="886" spans="2:19">
      <c r="B886" s="68"/>
      <c r="C886" s="57"/>
      <c r="D886" s="259" t="str">
        <f t="shared" si="92"/>
        <v/>
      </c>
      <c r="E886" s="260" t="str">
        <f t="shared" si="93"/>
        <v/>
      </c>
      <c r="F886" s="271" t="str">
        <f>IF(G886="","",VLOOKUP(G886,プルダウン用リスト!$K$1:$M$16,2,FALSE))</f>
        <v/>
      </c>
      <c r="G886" s="70"/>
      <c r="H886" s="58"/>
      <c r="I886" s="70"/>
      <c r="J886" s="135"/>
      <c r="K886" s="136"/>
      <c r="L886" s="71"/>
      <c r="M886" s="72"/>
      <c r="N886" s="72"/>
      <c r="O886" s="264" t="str">
        <f t="shared" si="94"/>
        <v/>
      </c>
      <c r="P886" s="230">
        <f t="shared" si="95"/>
        <v>0</v>
      </c>
      <c r="Q886" s="231" t="str">
        <f t="shared" si="91"/>
        <v>×</v>
      </c>
      <c r="R886" s="231" t="str">
        <f t="shared" si="96"/>
        <v>×</v>
      </c>
      <c r="S886" s="232" t="str">
        <f t="shared" si="97"/>
        <v/>
      </c>
    </row>
    <row r="887" spans="2:19">
      <c r="B887" s="68"/>
      <c r="C887" s="57"/>
      <c r="D887" s="259" t="str">
        <f t="shared" si="92"/>
        <v/>
      </c>
      <c r="E887" s="260" t="str">
        <f t="shared" si="93"/>
        <v/>
      </c>
      <c r="F887" s="271" t="str">
        <f>IF(G887="","",VLOOKUP(G887,プルダウン用リスト!$K$1:$M$16,2,FALSE))</f>
        <v/>
      </c>
      <c r="G887" s="70"/>
      <c r="H887" s="58"/>
      <c r="I887" s="70"/>
      <c r="J887" s="135"/>
      <c r="K887" s="136"/>
      <c r="L887" s="71"/>
      <c r="M887" s="72"/>
      <c r="N887" s="72"/>
      <c r="O887" s="264" t="str">
        <f t="shared" si="94"/>
        <v/>
      </c>
      <c r="P887" s="230">
        <f t="shared" si="95"/>
        <v>0</v>
      </c>
      <c r="Q887" s="231" t="str">
        <f t="shared" si="91"/>
        <v>×</v>
      </c>
      <c r="R887" s="231" t="str">
        <f t="shared" si="96"/>
        <v>×</v>
      </c>
      <c r="S887" s="232" t="str">
        <f t="shared" si="97"/>
        <v/>
      </c>
    </row>
    <row r="888" spans="2:19">
      <c r="B888" s="68"/>
      <c r="C888" s="57"/>
      <c r="D888" s="259" t="str">
        <f t="shared" si="92"/>
        <v/>
      </c>
      <c r="E888" s="260" t="str">
        <f t="shared" si="93"/>
        <v/>
      </c>
      <c r="F888" s="271" t="str">
        <f>IF(G888="","",VLOOKUP(G888,プルダウン用リスト!$K$1:$M$16,2,FALSE))</f>
        <v/>
      </c>
      <c r="G888" s="70"/>
      <c r="H888" s="70"/>
      <c r="I888" s="70"/>
      <c r="J888" s="135"/>
      <c r="K888" s="136"/>
      <c r="L888" s="71"/>
      <c r="M888" s="72"/>
      <c r="N888" s="72"/>
      <c r="O888" s="264" t="str">
        <f t="shared" si="94"/>
        <v/>
      </c>
      <c r="P888" s="230">
        <f t="shared" si="95"/>
        <v>0</v>
      </c>
      <c r="Q888" s="231" t="str">
        <f t="shared" si="91"/>
        <v>×</v>
      </c>
      <c r="R888" s="231" t="str">
        <f t="shared" si="96"/>
        <v>×</v>
      </c>
      <c r="S888" s="232" t="str">
        <f t="shared" si="97"/>
        <v/>
      </c>
    </row>
    <row r="889" spans="2:19">
      <c r="B889" s="68"/>
      <c r="C889" s="57"/>
      <c r="D889" s="259" t="str">
        <f t="shared" si="92"/>
        <v/>
      </c>
      <c r="E889" s="260" t="str">
        <f t="shared" si="93"/>
        <v/>
      </c>
      <c r="F889" s="271" t="str">
        <f>IF(G889="","",VLOOKUP(G889,プルダウン用リスト!$K$1:$M$16,2,FALSE))</f>
        <v/>
      </c>
      <c r="G889" s="70"/>
      <c r="H889" s="58"/>
      <c r="I889" s="70"/>
      <c r="J889" s="135"/>
      <c r="K889" s="136"/>
      <c r="L889" s="71"/>
      <c r="M889" s="72"/>
      <c r="N889" s="72"/>
      <c r="O889" s="264" t="str">
        <f t="shared" si="94"/>
        <v/>
      </c>
      <c r="P889" s="230">
        <f t="shared" si="95"/>
        <v>0</v>
      </c>
      <c r="Q889" s="231" t="str">
        <f t="shared" si="91"/>
        <v>×</v>
      </c>
      <c r="R889" s="231" t="str">
        <f t="shared" si="96"/>
        <v>×</v>
      </c>
      <c r="S889" s="232" t="str">
        <f t="shared" si="97"/>
        <v/>
      </c>
    </row>
    <row r="890" spans="2:19">
      <c r="B890" s="68"/>
      <c r="C890" s="57"/>
      <c r="D890" s="259" t="str">
        <f t="shared" si="92"/>
        <v/>
      </c>
      <c r="E890" s="260" t="str">
        <f t="shared" si="93"/>
        <v/>
      </c>
      <c r="F890" s="271" t="str">
        <f>IF(G890="","",VLOOKUP(G890,プルダウン用リスト!$K$1:$M$16,2,FALSE))</f>
        <v/>
      </c>
      <c r="G890" s="70"/>
      <c r="H890" s="58"/>
      <c r="I890" s="70"/>
      <c r="J890" s="135"/>
      <c r="K890" s="136"/>
      <c r="L890" s="71"/>
      <c r="M890" s="72"/>
      <c r="N890" s="72"/>
      <c r="O890" s="264" t="str">
        <f t="shared" si="94"/>
        <v/>
      </c>
      <c r="P890" s="230">
        <f t="shared" si="95"/>
        <v>0</v>
      </c>
      <c r="Q890" s="231" t="str">
        <f t="shared" si="91"/>
        <v>×</v>
      </c>
      <c r="R890" s="231" t="str">
        <f t="shared" si="96"/>
        <v>×</v>
      </c>
      <c r="S890" s="232" t="str">
        <f t="shared" si="97"/>
        <v/>
      </c>
    </row>
    <row r="891" spans="2:19">
      <c r="B891" s="68"/>
      <c r="C891" s="57"/>
      <c r="D891" s="259" t="str">
        <f t="shared" si="92"/>
        <v/>
      </c>
      <c r="E891" s="260" t="str">
        <f t="shared" si="93"/>
        <v/>
      </c>
      <c r="F891" s="271" t="str">
        <f>IF(G891="","",VLOOKUP(G891,プルダウン用リスト!$K$1:$M$16,2,FALSE))</f>
        <v/>
      </c>
      <c r="G891" s="70"/>
      <c r="H891" s="70"/>
      <c r="I891" s="70"/>
      <c r="J891" s="135"/>
      <c r="K891" s="136"/>
      <c r="L891" s="71"/>
      <c r="M891" s="72"/>
      <c r="N891" s="72"/>
      <c r="O891" s="264" t="str">
        <f t="shared" si="94"/>
        <v/>
      </c>
      <c r="P891" s="230">
        <f t="shared" si="95"/>
        <v>0</v>
      </c>
      <c r="Q891" s="231" t="str">
        <f t="shared" si="91"/>
        <v>×</v>
      </c>
      <c r="R891" s="231" t="str">
        <f t="shared" si="96"/>
        <v>×</v>
      </c>
      <c r="S891" s="232" t="str">
        <f t="shared" si="97"/>
        <v/>
      </c>
    </row>
    <row r="892" spans="2:19">
      <c r="B892" s="68"/>
      <c r="C892" s="57"/>
      <c r="D892" s="259" t="str">
        <f t="shared" si="92"/>
        <v/>
      </c>
      <c r="E892" s="260" t="str">
        <f t="shared" si="93"/>
        <v/>
      </c>
      <c r="F892" s="271" t="str">
        <f>IF(G892="","",VLOOKUP(G892,プルダウン用リスト!$K$1:$M$16,2,FALSE))</f>
        <v/>
      </c>
      <c r="G892" s="70"/>
      <c r="H892" s="58"/>
      <c r="I892" s="70"/>
      <c r="J892" s="135"/>
      <c r="K892" s="136"/>
      <c r="L892" s="71"/>
      <c r="M892" s="72"/>
      <c r="N892" s="72"/>
      <c r="O892" s="264" t="str">
        <f t="shared" si="94"/>
        <v/>
      </c>
      <c r="P892" s="230">
        <f t="shared" si="95"/>
        <v>0</v>
      </c>
      <c r="Q892" s="231" t="str">
        <f t="shared" si="91"/>
        <v>×</v>
      </c>
      <c r="R892" s="231" t="str">
        <f t="shared" si="96"/>
        <v>×</v>
      </c>
      <c r="S892" s="232" t="str">
        <f t="shared" si="97"/>
        <v/>
      </c>
    </row>
    <row r="893" spans="2:19">
      <c r="B893" s="68"/>
      <c r="C893" s="57"/>
      <c r="D893" s="259" t="str">
        <f t="shared" si="92"/>
        <v/>
      </c>
      <c r="E893" s="260" t="str">
        <f t="shared" si="93"/>
        <v/>
      </c>
      <c r="F893" s="271" t="str">
        <f>IF(G893="","",VLOOKUP(G893,プルダウン用リスト!$K$1:$M$16,2,FALSE))</f>
        <v/>
      </c>
      <c r="G893" s="70"/>
      <c r="H893" s="58"/>
      <c r="I893" s="70"/>
      <c r="J893" s="135"/>
      <c r="K893" s="136"/>
      <c r="L893" s="71"/>
      <c r="M893" s="72"/>
      <c r="N893" s="72"/>
      <c r="O893" s="264" t="str">
        <f t="shared" si="94"/>
        <v/>
      </c>
      <c r="P893" s="230">
        <f t="shared" si="95"/>
        <v>0</v>
      </c>
      <c r="Q893" s="231" t="str">
        <f t="shared" si="91"/>
        <v>×</v>
      </c>
      <c r="R893" s="231" t="str">
        <f t="shared" si="96"/>
        <v>×</v>
      </c>
      <c r="S893" s="232" t="str">
        <f t="shared" si="97"/>
        <v/>
      </c>
    </row>
    <row r="894" spans="2:19">
      <c r="B894" s="68"/>
      <c r="C894" s="69"/>
      <c r="D894" s="259" t="str">
        <f t="shared" si="92"/>
        <v/>
      </c>
      <c r="E894" s="260" t="str">
        <f t="shared" si="93"/>
        <v/>
      </c>
      <c r="F894" s="271" t="str">
        <f>IF(G894="","",VLOOKUP(G894,プルダウン用リスト!$K$1:$M$16,2,FALSE))</f>
        <v/>
      </c>
      <c r="G894" s="70"/>
      <c r="H894" s="70"/>
      <c r="I894" s="70"/>
      <c r="J894" s="135"/>
      <c r="K894" s="136"/>
      <c r="L894" s="71"/>
      <c r="M894" s="72"/>
      <c r="N894" s="72"/>
      <c r="O894" s="264" t="str">
        <f t="shared" si="94"/>
        <v/>
      </c>
      <c r="P894" s="230">
        <f t="shared" si="95"/>
        <v>0</v>
      </c>
      <c r="Q894" s="231" t="str">
        <f t="shared" si="91"/>
        <v>×</v>
      </c>
      <c r="R894" s="231" t="str">
        <f t="shared" si="96"/>
        <v>×</v>
      </c>
      <c r="S894" s="232" t="str">
        <f t="shared" si="97"/>
        <v/>
      </c>
    </row>
    <row r="895" spans="2:19">
      <c r="B895" s="68"/>
      <c r="C895" s="57"/>
      <c r="D895" s="259" t="str">
        <f t="shared" si="92"/>
        <v/>
      </c>
      <c r="E895" s="260" t="str">
        <f t="shared" si="93"/>
        <v/>
      </c>
      <c r="F895" s="271" t="str">
        <f>IF(G895="","",VLOOKUP(G895,プルダウン用リスト!$K$1:$M$16,2,FALSE))</f>
        <v/>
      </c>
      <c r="G895" s="70"/>
      <c r="H895" s="58"/>
      <c r="I895" s="70"/>
      <c r="J895" s="135"/>
      <c r="K895" s="136"/>
      <c r="L895" s="71"/>
      <c r="M895" s="72"/>
      <c r="N895" s="72"/>
      <c r="O895" s="264" t="str">
        <f t="shared" si="94"/>
        <v/>
      </c>
      <c r="P895" s="230">
        <f t="shared" si="95"/>
        <v>0</v>
      </c>
      <c r="Q895" s="231" t="str">
        <f t="shared" si="91"/>
        <v>×</v>
      </c>
      <c r="R895" s="231" t="str">
        <f t="shared" si="96"/>
        <v>×</v>
      </c>
      <c r="S895" s="232" t="str">
        <f t="shared" si="97"/>
        <v/>
      </c>
    </row>
    <row r="896" spans="2:19">
      <c r="B896" s="68"/>
      <c r="C896" s="57"/>
      <c r="D896" s="259" t="str">
        <f t="shared" si="92"/>
        <v/>
      </c>
      <c r="E896" s="260" t="str">
        <f t="shared" si="93"/>
        <v/>
      </c>
      <c r="F896" s="271" t="str">
        <f>IF(G896="","",VLOOKUP(G896,プルダウン用リスト!$K$1:$M$16,2,FALSE))</f>
        <v/>
      </c>
      <c r="G896" s="70"/>
      <c r="H896" s="58"/>
      <c r="I896" s="70"/>
      <c r="J896" s="135"/>
      <c r="K896" s="136"/>
      <c r="L896" s="71"/>
      <c r="M896" s="72"/>
      <c r="N896" s="72"/>
      <c r="O896" s="264" t="str">
        <f t="shared" si="94"/>
        <v/>
      </c>
      <c r="P896" s="230">
        <f t="shared" si="95"/>
        <v>0</v>
      </c>
      <c r="Q896" s="231" t="str">
        <f t="shared" si="91"/>
        <v>×</v>
      </c>
      <c r="R896" s="231" t="str">
        <f t="shared" si="96"/>
        <v>×</v>
      </c>
      <c r="S896" s="232" t="str">
        <f t="shared" si="97"/>
        <v/>
      </c>
    </row>
    <row r="897" spans="2:19">
      <c r="B897" s="68"/>
      <c r="C897" s="57"/>
      <c r="D897" s="259" t="str">
        <f t="shared" si="92"/>
        <v/>
      </c>
      <c r="E897" s="260" t="str">
        <f t="shared" si="93"/>
        <v/>
      </c>
      <c r="F897" s="271" t="str">
        <f>IF(G897="","",VLOOKUP(G897,プルダウン用リスト!$K$1:$M$16,2,FALSE))</f>
        <v/>
      </c>
      <c r="G897" s="70"/>
      <c r="H897" s="70"/>
      <c r="I897" s="70"/>
      <c r="J897" s="135"/>
      <c r="K897" s="136"/>
      <c r="L897" s="71"/>
      <c r="M897" s="72"/>
      <c r="N897" s="72"/>
      <c r="O897" s="264" t="str">
        <f t="shared" si="94"/>
        <v/>
      </c>
      <c r="P897" s="230">
        <f t="shared" si="95"/>
        <v>0</v>
      </c>
      <c r="Q897" s="231" t="str">
        <f t="shared" si="91"/>
        <v>×</v>
      </c>
      <c r="R897" s="231" t="str">
        <f t="shared" si="96"/>
        <v>×</v>
      </c>
      <c r="S897" s="232" t="str">
        <f t="shared" si="97"/>
        <v/>
      </c>
    </row>
    <row r="898" spans="2:19">
      <c r="B898" s="68"/>
      <c r="C898" s="57"/>
      <c r="D898" s="259" t="str">
        <f t="shared" si="92"/>
        <v/>
      </c>
      <c r="E898" s="260" t="str">
        <f t="shared" si="93"/>
        <v/>
      </c>
      <c r="F898" s="271" t="str">
        <f>IF(G898="","",VLOOKUP(G898,プルダウン用リスト!$K$1:$M$16,2,FALSE))</f>
        <v/>
      </c>
      <c r="G898" s="70"/>
      <c r="H898" s="58"/>
      <c r="I898" s="70"/>
      <c r="J898" s="135"/>
      <c r="K898" s="136"/>
      <c r="L898" s="71"/>
      <c r="M898" s="72"/>
      <c r="N898" s="72"/>
      <c r="O898" s="264" t="str">
        <f t="shared" si="94"/>
        <v/>
      </c>
      <c r="P898" s="230">
        <f t="shared" si="95"/>
        <v>0</v>
      </c>
      <c r="Q898" s="231" t="str">
        <f t="shared" si="91"/>
        <v>×</v>
      </c>
      <c r="R898" s="231" t="str">
        <f t="shared" si="96"/>
        <v>×</v>
      </c>
      <c r="S898" s="232" t="str">
        <f t="shared" si="97"/>
        <v/>
      </c>
    </row>
    <row r="899" spans="2:19">
      <c r="B899" s="68"/>
      <c r="C899" s="57"/>
      <c r="D899" s="259" t="str">
        <f t="shared" si="92"/>
        <v/>
      </c>
      <c r="E899" s="260" t="str">
        <f t="shared" si="93"/>
        <v/>
      </c>
      <c r="F899" s="271" t="str">
        <f>IF(G899="","",VLOOKUP(G899,プルダウン用リスト!$K$1:$M$16,2,FALSE))</f>
        <v/>
      </c>
      <c r="G899" s="70"/>
      <c r="H899" s="58"/>
      <c r="I899" s="70"/>
      <c r="J899" s="135"/>
      <c r="K899" s="136"/>
      <c r="L899" s="71"/>
      <c r="M899" s="72"/>
      <c r="N899" s="72"/>
      <c r="O899" s="264" t="str">
        <f t="shared" si="94"/>
        <v/>
      </c>
      <c r="P899" s="230">
        <f t="shared" si="95"/>
        <v>0</v>
      </c>
      <c r="Q899" s="231" t="str">
        <f t="shared" si="91"/>
        <v>×</v>
      </c>
      <c r="R899" s="231" t="str">
        <f t="shared" si="96"/>
        <v>×</v>
      </c>
      <c r="S899" s="232" t="str">
        <f t="shared" si="97"/>
        <v/>
      </c>
    </row>
    <row r="900" spans="2:19">
      <c r="B900" s="68"/>
      <c r="C900" s="57"/>
      <c r="D900" s="259" t="str">
        <f t="shared" si="92"/>
        <v/>
      </c>
      <c r="E900" s="260" t="str">
        <f t="shared" si="93"/>
        <v/>
      </c>
      <c r="F900" s="271" t="str">
        <f>IF(G900="","",VLOOKUP(G900,プルダウン用リスト!$K$1:$M$16,2,FALSE))</f>
        <v/>
      </c>
      <c r="G900" s="70"/>
      <c r="H900" s="70"/>
      <c r="I900" s="70"/>
      <c r="J900" s="135"/>
      <c r="K900" s="136"/>
      <c r="L900" s="71"/>
      <c r="M900" s="72"/>
      <c r="N900" s="72"/>
      <c r="O900" s="264" t="str">
        <f t="shared" si="94"/>
        <v/>
      </c>
      <c r="P900" s="230">
        <f t="shared" si="95"/>
        <v>0</v>
      </c>
      <c r="Q900" s="231" t="str">
        <f t="shared" si="91"/>
        <v>×</v>
      </c>
      <c r="R900" s="231" t="str">
        <f t="shared" si="96"/>
        <v>×</v>
      </c>
      <c r="S900" s="232" t="str">
        <f t="shared" si="97"/>
        <v/>
      </c>
    </row>
    <row r="901" spans="2:19">
      <c r="B901" s="68"/>
      <c r="C901" s="57"/>
      <c r="D901" s="259" t="str">
        <f t="shared" si="92"/>
        <v/>
      </c>
      <c r="E901" s="260" t="str">
        <f t="shared" si="93"/>
        <v/>
      </c>
      <c r="F901" s="271" t="str">
        <f>IF(G901="","",VLOOKUP(G901,プルダウン用リスト!$K$1:$M$16,2,FALSE))</f>
        <v/>
      </c>
      <c r="G901" s="70"/>
      <c r="H901" s="58"/>
      <c r="I901" s="70"/>
      <c r="J901" s="135"/>
      <c r="K901" s="136"/>
      <c r="L901" s="71"/>
      <c r="M901" s="72"/>
      <c r="N901" s="72"/>
      <c r="O901" s="264" t="str">
        <f t="shared" si="94"/>
        <v/>
      </c>
      <c r="P901" s="230">
        <f t="shared" si="95"/>
        <v>0</v>
      </c>
      <c r="Q901" s="231" t="str">
        <f t="shared" si="91"/>
        <v>×</v>
      </c>
      <c r="R901" s="231" t="str">
        <f t="shared" si="96"/>
        <v>×</v>
      </c>
      <c r="S901" s="232" t="str">
        <f t="shared" si="97"/>
        <v/>
      </c>
    </row>
    <row r="902" spans="2:19">
      <c r="B902" s="68"/>
      <c r="C902" s="57"/>
      <c r="D902" s="259" t="str">
        <f t="shared" si="92"/>
        <v/>
      </c>
      <c r="E902" s="260" t="str">
        <f t="shared" si="93"/>
        <v/>
      </c>
      <c r="F902" s="271" t="str">
        <f>IF(G902="","",VLOOKUP(G902,プルダウン用リスト!$K$1:$M$16,2,FALSE))</f>
        <v/>
      </c>
      <c r="G902" s="70"/>
      <c r="H902" s="58"/>
      <c r="I902" s="70"/>
      <c r="J902" s="135"/>
      <c r="K902" s="136"/>
      <c r="L902" s="71"/>
      <c r="M902" s="72"/>
      <c r="N902" s="72"/>
      <c r="O902" s="264" t="str">
        <f t="shared" si="94"/>
        <v/>
      </c>
      <c r="P902" s="230">
        <f t="shared" si="95"/>
        <v>0</v>
      </c>
      <c r="Q902" s="231" t="str">
        <f t="shared" ref="Q902:Q965" si="98">IF(G902="旅費","〇","×")</f>
        <v>×</v>
      </c>
      <c r="R902" s="231" t="str">
        <f t="shared" si="96"/>
        <v>×</v>
      </c>
      <c r="S902" s="232" t="str">
        <f t="shared" si="97"/>
        <v/>
      </c>
    </row>
    <row r="903" spans="2:19">
      <c r="B903" s="68"/>
      <c r="C903" s="57"/>
      <c r="D903" s="259" t="str">
        <f t="shared" ref="D903:D966" si="99">IF(E903="","",IF(E903="謝金","01.",IF(E903="旅費","02.",IF(E903="その他","04.","03."))))</f>
        <v/>
      </c>
      <c r="E903" s="260" t="str">
        <f t="shared" ref="E903:E966" si="100">IF(G903="","",IF(OR(G903="謝金（内部）",G903="謝金（外部）"),"謝金",IF(G903="旅費","旅費",IF(G903="対象外経費","その他","所費"))))</f>
        <v/>
      </c>
      <c r="F903" s="271" t="str">
        <f>IF(G903="","",VLOOKUP(G903,プルダウン用リスト!$K$1:$M$16,2,FALSE))</f>
        <v/>
      </c>
      <c r="G903" s="70"/>
      <c r="H903" s="70"/>
      <c r="I903" s="70"/>
      <c r="J903" s="135"/>
      <c r="K903" s="136"/>
      <c r="L903" s="71"/>
      <c r="M903" s="72"/>
      <c r="N903" s="72"/>
      <c r="O903" s="264" t="str">
        <f t="shared" ref="O903:O966" si="101">IF(G903="対象外経費",M903,IF(N903="","",M903-N903))</f>
        <v/>
      </c>
      <c r="P903" s="230">
        <f t="shared" si="95"/>
        <v>0</v>
      </c>
      <c r="Q903" s="231" t="str">
        <f t="shared" si="98"/>
        <v>×</v>
      </c>
      <c r="R903" s="231" t="str">
        <f t="shared" si="96"/>
        <v>×</v>
      </c>
      <c r="S903" s="232" t="str">
        <f t="shared" si="97"/>
        <v/>
      </c>
    </row>
    <row r="904" spans="2:19">
      <c r="B904" s="68"/>
      <c r="C904" s="57"/>
      <c r="D904" s="259" t="str">
        <f t="shared" si="99"/>
        <v/>
      </c>
      <c r="E904" s="260" t="str">
        <f t="shared" si="100"/>
        <v/>
      </c>
      <c r="F904" s="271" t="str">
        <f>IF(G904="","",VLOOKUP(G904,プルダウン用リスト!$K$1:$M$16,2,FALSE))</f>
        <v/>
      </c>
      <c r="G904" s="70"/>
      <c r="H904" s="58"/>
      <c r="I904" s="70"/>
      <c r="J904" s="135"/>
      <c r="K904" s="136"/>
      <c r="L904" s="71"/>
      <c r="M904" s="72"/>
      <c r="N904" s="72"/>
      <c r="O904" s="264" t="str">
        <f t="shared" si="101"/>
        <v/>
      </c>
      <c r="P904" s="230">
        <f t="shared" ref="P904:P967" si="102">COUNTA(B904,C904,G904,H904,I904,L904,M904,J904,K904,N904)</f>
        <v>0</v>
      </c>
      <c r="Q904" s="231" t="str">
        <f t="shared" si="98"/>
        <v>×</v>
      </c>
      <c r="R904" s="231" t="str">
        <f t="shared" si="96"/>
        <v>×</v>
      </c>
      <c r="S904" s="232" t="str">
        <f t="shared" si="97"/>
        <v/>
      </c>
    </row>
    <row r="905" spans="2:19">
      <c r="B905" s="68"/>
      <c r="C905" s="57"/>
      <c r="D905" s="259" t="str">
        <f t="shared" si="99"/>
        <v/>
      </c>
      <c r="E905" s="260" t="str">
        <f t="shared" si="100"/>
        <v/>
      </c>
      <c r="F905" s="271" t="str">
        <f>IF(G905="","",VLOOKUP(G905,プルダウン用リスト!$K$1:$M$16,2,FALSE))</f>
        <v/>
      </c>
      <c r="G905" s="70"/>
      <c r="H905" s="58"/>
      <c r="I905" s="70"/>
      <c r="J905" s="135"/>
      <c r="K905" s="136"/>
      <c r="L905" s="71"/>
      <c r="M905" s="72"/>
      <c r="N905" s="72"/>
      <c r="O905" s="264" t="str">
        <f t="shared" si="101"/>
        <v/>
      </c>
      <c r="P905" s="230">
        <f t="shared" si="102"/>
        <v>0</v>
      </c>
      <c r="Q905" s="231" t="str">
        <f t="shared" si="98"/>
        <v>×</v>
      </c>
      <c r="R905" s="231" t="str">
        <f t="shared" ref="R905:R968" si="103">IF(E905="謝金","〇","×")</f>
        <v>×</v>
      </c>
      <c r="S905" s="232" t="str">
        <f t="shared" ref="S905:S968" si="104">_xlfn.IFS(P905=0,"",AND(G905="対象外経費",P905=7),"OK",P905&lt;=7,"ピンク色のセルを全て入力してください",P905=9,"OK",Q905="〇","ピンク色のセルを全て入力してください",R905="〇","ピンク色のセルを全て入力してください",P905=8,"OK")</f>
        <v/>
      </c>
    </row>
    <row r="906" spans="2:19">
      <c r="B906" s="68"/>
      <c r="C906" s="69"/>
      <c r="D906" s="259" t="str">
        <f t="shared" si="99"/>
        <v/>
      </c>
      <c r="E906" s="260" t="str">
        <f t="shared" si="100"/>
        <v/>
      </c>
      <c r="F906" s="271" t="str">
        <f>IF(G906="","",VLOOKUP(G906,プルダウン用リスト!$K$1:$M$16,2,FALSE))</f>
        <v/>
      </c>
      <c r="G906" s="70"/>
      <c r="H906" s="70"/>
      <c r="I906" s="70"/>
      <c r="J906" s="135"/>
      <c r="K906" s="136"/>
      <c r="L906" s="71"/>
      <c r="M906" s="72"/>
      <c r="N906" s="72"/>
      <c r="O906" s="264" t="str">
        <f t="shared" si="101"/>
        <v/>
      </c>
      <c r="P906" s="230">
        <f t="shared" si="102"/>
        <v>0</v>
      </c>
      <c r="Q906" s="231" t="str">
        <f t="shared" si="98"/>
        <v>×</v>
      </c>
      <c r="R906" s="231" t="str">
        <f t="shared" si="103"/>
        <v>×</v>
      </c>
      <c r="S906" s="232" t="str">
        <f t="shared" si="104"/>
        <v/>
      </c>
    </row>
    <row r="907" spans="2:19">
      <c r="B907" s="68"/>
      <c r="C907" s="57"/>
      <c r="D907" s="259" t="str">
        <f t="shared" si="99"/>
        <v/>
      </c>
      <c r="E907" s="260" t="str">
        <f t="shared" si="100"/>
        <v/>
      </c>
      <c r="F907" s="271" t="str">
        <f>IF(G907="","",VLOOKUP(G907,プルダウン用リスト!$K$1:$M$16,2,FALSE))</f>
        <v/>
      </c>
      <c r="G907" s="70"/>
      <c r="H907" s="58"/>
      <c r="I907" s="70"/>
      <c r="J907" s="135"/>
      <c r="K907" s="136"/>
      <c r="L907" s="71"/>
      <c r="M907" s="72"/>
      <c r="N907" s="72"/>
      <c r="O907" s="264" t="str">
        <f t="shared" si="101"/>
        <v/>
      </c>
      <c r="P907" s="230">
        <f t="shared" si="102"/>
        <v>0</v>
      </c>
      <c r="Q907" s="231" t="str">
        <f t="shared" si="98"/>
        <v>×</v>
      </c>
      <c r="R907" s="231" t="str">
        <f t="shared" si="103"/>
        <v>×</v>
      </c>
      <c r="S907" s="232" t="str">
        <f t="shared" si="104"/>
        <v/>
      </c>
    </row>
    <row r="908" spans="2:19">
      <c r="B908" s="68"/>
      <c r="C908" s="57"/>
      <c r="D908" s="259" t="str">
        <f t="shared" si="99"/>
        <v/>
      </c>
      <c r="E908" s="260" t="str">
        <f t="shared" si="100"/>
        <v/>
      </c>
      <c r="F908" s="271" t="str">
        <f>IF(G908="","",VLOOKUP(G908,プルダウン用リスト!$K$1:$M$16,2,FALSE))</f>
        <v/>
      </c>
      <c r="G908" s="70"/>
      <c r="H908" s="58"/>
      <c r="I908" s="70"/>
      <c r="J908" s="135"/>
      <c r="K908" s="136"/>
      <c r="L908" s="71"/>
      <c r="M908" s="72"/>
      <c r="N908" s="72"/>
      <c r="O908" s="264" t="str">
        <f t="shared" si="101"/>
        <v/>
      </c>
      <c r="P908" s="230">
        <f t="shared" si="102"/>
        <v>0</v>
      </c>
      <c r="Q908" s="231" t="str">
        <f t="shared" si="98"/>
        <v>×</v>
      </c>
      <c r="R908" s="231" t="str">
        <f t="shared" si="103"/>
        <v>×</v>
      </c>
      <c r="S908" s="232" t="str">
        <f t="shared" si="104"/>
        <v/>
      </c>
    </row>
    <row r="909" spans="2:19">
      <c r="B909" s="68"/>
      <c r="C909" s="57"/>
      <c r="D909" s="259" t="str">
        <f t="shared" si="99"/>
        <v/>
      </c>
      <c r="E909" s="260" t="str">
        <f t="shared" si="100"/>
        <v/>
      </c>
      <c r="F909" s="271" t="str">
        <f>IF(G909="","",VLOOKUP(G909,プルダウン用リスト!$K$1:$M$16,2,FALSE))</f>
        <v/>
      </c>
      <c r="G909" s="70"/>
      <c r="H909" s="70"/>
      <c r="I909" s="70"/>
      <c r="J909" s="135"/>
      <c r="K909" s="136"/>
      <c r="L909" s="71"/>
      <c r="M909" s="72"/>
      <c r="N909" s="72"/>
      <c r="O909" s="264" t="str">
        <f t="shared" si="101"/>
        <v/>
      </c>
      <c r="P909" s="230">
        <f t="shared" si="102"/>
        <v>0</v>
      </c>
      <c r="Q909" s="231" t="str">
        <f t="shared" si="98"/>
        <v>×</v>
      </c>
      <c r="R909" s="231" t="str">
        <f t="shared" si="103"/>
        <v>×</v>
      </c>
      <c r="S909" s="232" t="str">
        <f t="shared" si="104"/>
        <v/>
      </c>
    </row>
    <row r="910" spans="2:19">
      <c r="B910" s="68"/>
      <c r="C910" s="57"/>
      <c r="D910" s="259" t="str">
        <f t="shared" si="99"/>
        <v/>
      </c>
      <c r="E910" s="260" t="str">
        <f t="shared" si="100"/>
        <v/>
      </c>
      <c r="F910" s="271" t="str">
        <f>IF(G910="","",VLOOKUP(G910,プルダウン用リスト!$K$1:$M$16,2,FALSE))</f>
        <v/>
      </c>
      <c r="G910" s="70"/>
      <c r="H910" s="58"/>
      <c r="I910" s="70"/>
      <c r="J910" s="135"/>
      <c r="K910" s="136"/>
      <c r="L910" s="71"/>
      <c r="M910" s="72"/>
      <c r="N910" s="72"/>
      <c r="O910" s="264" t="str">
        <f t="shared" si="101"/>
        <v/>
      </c>
      <c r="P910" s="230">
        <f t="shared" si="102"/>
        <v>0</v>
      </c>
      <c r="Q910" s="231" t="str">
        <f t="shared" si="98"/>
        <v>×</v>
      </c>
      <c r="R910" s="231" t="str">
        <f t="shared" si="103"/>
        <v>×</v>
      </c>
      <c r="S910" s="232" t="str">
        <f t="shared" si="104"/>
        <v/>
      </c>
    </row>
    <row r="911" spans="2:19">
      <c r="B911" s="68"/>
      <c r="C911" s="57"/>
      <c r="D911" s="259" t="str">
        <f t="shared" si="99"/>
        <v/>
      </c>
      <c r="E911" s="260" t="str">
        <f t="shared" si="100"/>
        <v/>
      </c>
      <c r="F911" s="271" t="str">
        <f>IF(G911="","",VLOOKUP(G911,プルダウン用リスト!$K$1:$M$16,2,FALSE))</f>
        <v/>
      </c>
      <c r="G911" s="70"/>
      <c r="H911" s="58"/>
      <c r="I911" s="70"/>
      <c r="J911" s="135"/>
      <c r="K911" s="136"/>
      <c r="L911" s="71"/>
      <c r="M911" s="72"/>
      <c r="N911" s="72"/>
      <c r="O911" s="264" t="str">
        <f t="shared" si="101"/>
        <v/>
      </c>
      <c r="P911" s="230">
        <f t="shared" si="102"/>
        <v>0</v>
      </c>
      <c r="Q911" s="231" t="str">
        <f t="shared" si="98"/>
        <v>×</v>
      </c>
      <c r="R911" s="231" t="str">
        <f t="shared" si="103"/>
        <v>×</v>
      </c>
      <c r="S911" s="232" t="str">
        <f t="shared" si="104"/>
        <v/>
      </c>
    </row>
    <row r="912" spans="2:19">
      <c r="B912" s="68"/>
      <c r="C912" s="57"/>
      <c r="D912" s="259" t="str">
        <f t="shared" si="99"/>
        <v/>
      </c>
      <c r="E912" s="260" t="str">
        <f t="shared" si="100"/>
        <v/>
      </c>
      <c r="F912" s="271" t="str">
        <f>IF(G912="","",VLOOKUP(G912,プルダウン用リスト!$K$1:$M$16,2,FALSE))</f>
        <v/>
      </c>
      <c r="G912" s="70"/>
      <c r="H912" s="70"/>
      <c r="I912" s="70"/>
      <c r="J912" s="135"/>
      <c r="K912" s="136"/>
      <c r="L912" s="71"/>
      <c r="M912" s="72"/>
      <c r="N912" s="72"/>
      <c r="O912" s="264" t="str">
        <f t="shared" si="101"/>
        <v/>
      </c>
      <c r="P912" s="230">
        <f t="shared" si="102"/>
        <v>0</v>
      </c>
      <c r="Q912" s="231" t="str">
        <f t="shared" si="98"/>
        <v>×</v>
      </c>
      <c r="R912" s="231" t="str">
        <f t="shared" si="103"/>
        <v>×</v>
      </c>
      <c r="S912" s="232" t="str">
        <f t="shared" si="104"/>
        <v/>
      </c>
    </row>
    <row r="913" spans="2:19">
      <c r="B913" s="68"/>
      <c r="C913" s="57"/>
      <c r="D913" s="259" t="str">
        <f t="shared" si="99"/>
        <v/>
      </c>
      <c r="E913" s="260" t="str">
        <f t="shared" si="100"/>
        <v/>
      </c>
      <c r="F913" s="271" t="str">
        <f>IF(G913="","",VLOOKUP(G913,プルダウン用リスト!$K$1:$M$16,2,FALSE))</f>
        <v/>
      </c>
      <c r="G913" s="70"/>
      <c r="H913" s="58"/>
      <c r="I913" s="70"/>
      <c r="J913" s="135"/>
      <c r="K913" s="136"/>
      <c r="L913" s="71"/>
      <c r="M913" s="72"/>
      <c r="N913" s="72"/>
      <c r="O913" s="264" t="str">
        <f t="shared" si="101"/>
        <v/>
      </c>
      <c r="P913" s="230">
        <f t="shared" si="102"/>
        <v>0</v>
      </c>
      <c r="Q913" s="231" t="str">
        <f t="shared" si="98"/>
        <v>×</v>
      </c>
      <c r="R913" s="231" t="str">
        <f t="shared" si="103"/>
        <v>×</v>
      </c>
      <c r="S913" s="232" t="str">
        <f t="shared" si="104"/>
        <v/>
      </c>
    </row>
    <row r="914" spans="2:19">
      <c r="B914" s="68"/>
      <c r="C914" s="57"/>
      <c r="D914" s="259" t="str">
        <f t="shared" si="99"/>
        <v/>
      </c>
      <c r="E914" s="260" t="str">
        <f t="shared" si="100"/>
        <v/>
      </c>
      <c r="F914" s="271" t="str">
        <f>IF(G914="","",VLOOKUP(G914,プルダウン用リスト!$K$1:$M$16,2,FALSE))</f>
        <v/>
      </c>
      <c r="G914" s="70"/>
      <c r="H914" s="58"/>
      <c r="I914" s="70"/>
      <c r="J914" s="135"/>
      <c r="K914" s="136"/>
      <c r="L914" s="71"/>
      <c r="M914" s="72"/>
      <c r="N914" s="72"/>
      <c r="O914" s="264" t="str">
        <f t="shared" si="101"/>
        <v/>
      </c>
      <c r="P914" s="230">
        <f t="shared" si="102"/>
        <v>0</v>
      </c>
      <c r="Q914" s="231" t="str">
        <f t="shared" si="98"/>
        <v>×</v>
      </c>
      <c r="R914" s="231" t="str">
        <f t="shared" si="103"/>
        <v>×</v>
      </c>
      <c r="S914" s="232" t="str">
        <f t="shared" si="104"/>
        <v/>
      </c>
    </row>
    <row r="915" spans="2:19">
      <c r="B915" s="68"/>
      <c r="C915" s="57"/>
      <c r="D915" s="259" t="str">
        <f t="shared" si="99"/>
        <v/>
      </c>
      <c r="E915" s="260" t="str">
        <f t="shared" si="100"/>
        <v/>
      </c>
      <c r="F915" s="271" t="str">
        <f>IF(G915="","",VLOOKUP(G915,プルダウン用リスト!$K$1:$M$16,2,FALSE))</f>
        <v/>
      </c>
      <c r="G915" s="70"/>
      <c r="H915" s="70"/>
      <c r="I915" s="70"/>
      <c r="J915" s="135"/>
      <c r="K915" s="136"/>
      <c r="L915" s="71"/>
      <c r="M915" s="72"/>
      <c r="N915" s="72"/>
      <c r="O915" s="264" t="str">
        <f t="shared" si="101"/>
        <v/>
      </c>
      <c r="P915" s="230">
        <f t="shared" si="102"/>
        <v>0</v>
      </c>
      <c r="Q915" s="231" t="str">
        <f t="shared" si="98"/>
        <v>×</v>
      </c>
      <c r="R915" s="231" t="str">
        <f t="shared" si="103"/>
        <v>×</v>
      </c>
      <c r="S915" s="232" t="str">
        <f t="shared" si="104"/>
        <v/>
      </c>
    </row>
    <row r="916" spans="2:19">
      <c r="B916" s="68"/>
      <c r="C916" s="57"/>
      <c r="D916" s="259" t="str">
        <f t="shared" si="99"/>
        <v/>
      </c>
      <c r="E916" s="260" t="str">
        <f t="shared" si="100"/>
        <v/>
      </c>
      <c r="F916" s="271" t="str">
        <f>IF(G916="","",VLOOKUP(G916,プルダウン用リスト!$K$1:$M$16,2,FALSE))</f>
        <v/>
      </c>
      <c r="G916" s="70"/>
      <c r="H916" s="58"/>
      <c r="I916" s="70"/>
      <c r="J916" s="135"/>
      <c r="K916" s="136"/>
      <c r="L916" s="71"/>
      <c r="M916" s="72"/>
      <c r="N916" s="72"/>
      <c r="O916" s="264" t="str">
        <f t="shared" si="101"/>
        <v/>
      </c>
      <c r="P916" s="230">
        <f t="shared" si="102"/>
        <v>0</v>
      </c>
      <c r="Q916" s="231" t="str">
        <f t="shared" si="98"/>
        <v>×</v>
      </c>
      <c r="R916" s="231" t="str">
        <f t="shared" si="103"/>
        <v>×</v>
      </c>
      <c r="S916" s="232" t="str">
        <f t="shared" si="104"/>
        <v/>
      </c>
    </row>
    <row r="917" spans="2:19">
      <c r="B917" s="68"/>
      <c r="C917" s="57"/>
      <c r="D917" s="259" t="str">
        <f t="shared" si="99"/>
        <v/>
      </c>
      <c r="E917" s="260" t="str">
        <f t="shared" si="100"/>
        <v/>
      </c>
      <c r="F917" s="271" t="str">
        <f>IF(G917="","",VLOOKUP(G917,プルダウン用リスト!$K$1:$M$16,2,FALSE))</f>
        <v/>
      </c>
      <c r="G917" s="70"/>
      <c r="H917" s="58"/>
      <c r="I917" s="70"/>
      <c r="J917" s="135"/>
      <c r="K917" s="136"/>
      <c r="L917" s="71"/>
      <c r="M917" s="72"/>
      <c r="N917" s="72"/>
      <c r="O917" s="264" t="str">
        <f t="shared" si="101"/>
        <v/>
      </c>
      <c r="P917" s="230">
        <f t="shared" si="102"/>
        <v>0</v>
      </c>
      <c r="Q917" s="231" t="str">
        <f t="shared" si="98"/>
        <v>×</v>
      </c>
      <c r="R917" s="231" t="str">
        <f t="shared" si="103"/>
        <v>×</v>
      </c>
      <c r="S917" s="232" t="str">
        <f t="shared" si="104"/>
        <v/>
      </c>
    </row>
    <row r="918" spans="2:19">
      <c r="B918" s="68"/>
      <c r="C918" s="69"/>
      <c r="D918" s="259" t="str">
        <f t="shared" si="99"/>
        <v/>
      </c>
      <c r="E918" s="260" t="str">
        <f t="shared" si="100"/>
        <v/>
      </c>
      <c r="F918" s="271" t="str">
        <f>IF(G918="","",VLOOKUP(G918,プルダウン用リスト!$K$1:$M$16,2,FALSE))</f>
        <v/>
      </c>
      <c r="G918" s="70"/>
      <c r="H918" s="70"/>
      <c r="I918" s="70"/>
      <c r="J918" s="135"/>
      <c r="K918" s="136"/>
      <c r="L918" s="71"/>
      <c r="M918" s="72"/>
      <c r="N918" s="72"/>
      <c r="O918" s="264" t="str">
        <f t="shared" si="101"/>
        <v/>
      </c>
      <c r="P918" s="230">
        <f t="shared" si="102"/>
        <v>0</v>
      </c>
      <c r="Q918" s="231" t="str">
        <f t="shared" si="98"/>
        <v>×</v>
      </c>
      <c r="R918" s="231" t="str">
        <f t="shared" si="103"/>
        <v>×</v>
      </c>
      <c r="S918" s="232" t="str">
        <f t="shared" si="104"/>
        <v/>
      </c>
    </row>
    <row r="919" spans="2:19">
      <c r="B919" s="68"/>
      <c r="C919" s="57"/>
      <c r="D919" s="259" t="str">
        <f t="shared" si="99"/>
        <v/>
      </c>
      <c r="E919" s="260" t="str">
        <f t="shared" si="100"/>
        <v/>
      </c>
      <c r="F919" s="271" t="str">
        <f>IF(G919="","",VLOOKUP(G919,プルダウン用リスト!$K$1:$M$16,2,FALSE))</f>
        <v/>
      </c>
      <c r="G919" s="70"/>
      <c r="H919" s="58"/>
      <c r="I919" s="70"/>
      <c r="J919" s="135"/>
      <c r="K919" s="136"/>
      <c r="L919" s="71"/>
      <c r="M919" s="72"/>
      <c r="N919" s="72"/>
      <c r="O919" s="264" t="str">
        <f t="shared" si="101"/>
        <v/>
      </c>
      <c r="P919" s="230">
        <f t="shared" si="102"/>
        <v>0</v>
      </c>
      <c r="Q919" s="231" t="str">
        <f t="shared" si="98"/>
        <v>×</v>
      </c>
      <c r="R919" s="231" t="str">
        <f t="shared" si="103"/>
        <v>×</v>
      </c>
      <c r="S919" s="232" t="str">
        <f t="shared" si="104"/>
        <v/>
      </c>
    </row>
    <row r="920" spans="2:19">
      <c r="B920" s="68"/>
      <c r="C920" s="57"/>
      <c r="D920" s="259" t="str">
        <f t="shared" si="99"/>
        <v/>
      </c>
      <c r="E920" s="260" t="str">
        <f t="shared" si="100"/>
        <v/>
      </c>
      <c r="F920" s="271" t="str">
        <f>IF(G920="","",VLOOKUP(G920,プルダウン用リスト!$K$1:$M$16,2,FALSE))</f>
        <v/>
      </c>
      <c r="G920" s="70"/>
      <c r="H920" s="58"/>
      <c r="I920" s="70"/>
      <c r="J920" s="135"/>
      <c r="K920" s="136"/>
      <c r="L920" s="71"/>
      <c r="M920" s="72"/>
      <c r="N920" s="72"/>
      <c r="O920" s="264" t="str">
        <f t="shared" si="101"/>
        <v/>
      </c>
      <c r="P920" s="230">
        <f t="shared" si="102"/>
        <v>0</v>
      </c>
      <c r="Q920" s="231" t="str">
        <f t="shared" si="98"/>
        <v>×</v>
      </c>
      <c r="R920" s="231" t="str">
        <f t="shared" si="103"/>
        <v>×</v>
      </c>
      <c r="S920" s="232" t="str">
        <f t="shared" si="104"/>
        <v/>
      </c>
    </row>
    <row r="921" spans="2:19">
      <c r="B921" s="68"/>
      <c r="C921" s="57"/>
      <c r="D921" s="259" t="str">
        <f t="shared" si="99"/>
        <v/>
      </c>
      <c r="E921" s="260" t="str">
        <f t="shared" si="100"/>
        <v/>
      </c>
      <c r="F921" s="271" t="str">
        <f>IF(G921="","",VLOOKUP(G921,プルダウン用リスト!$K$1:$M$16,2,FALSE))</f>
        <v/>
      </c>
      <c r="G921" s="70"/>
      <c r="H921" s="70"/>
      <c r="I921" s="70"/>
      <c r="J921" s="135"/>
      <c r="K921" s="136"/>
      <c r="L921" s="71"/>
      <c r="M921" s="72"/>
      <c r="N921" s="72"/>
      <c r="O921" s="264" t="str">
        <f t="shared" si="101"/>
        <v/>
      </c>
      <c r="P921" s="230">
        <f t="shared" si="102"/>
        <v>0</v>
      </c>
      <c r="Q921" s="231" t="str">
        <f t="shared" si="98"/>
        <v>×</v>
      </c>
      <c r="R921" s="231" t="str">
        <f t="shared" si="103"/>
        <v>×</v>
      </c>
      <c r="S921" s="232" t="str">
        <f t="shared" si="104"/>
        <v/>
      </c>
    </row>
    <row r="922" spans="2:19">
      <c r="B922" s="68"/>
      <c r="C922" s="57"/>
      <c r="D922" s="259" t="str">
        <f t="shared" si="99"/>
        <v/>
      </c>
      <c r="E922" s="260" t="str">
        <f t="shared" si="100"/>
        <v/>
      </c>
      <c r="F922" s="271" t="str">
        <f>IF(G922="","",VLOOKUP(G922,プルダウン用リスト!$K$1:$M$16,2,FALSE))</f>
        <v/>
      </c>
      <c r="G922" s="70"/>
      <c r="H922" s="58"/>
      <c r="I922" s="70"/>
      <c r="J922" s="135"/>
      <c r="K922" s="136"/>
      <c r="L922" s="71"/>
      <c r="M922" s="72"/>
      <c r="N922" s="72"/>
      <c r="O922" s="264" t="str">
        <f t="shared" si="101"/>
        <v/>
      </c>
      <c r="P922" s="230">
        <f t="shared" si="102"/>
        <v>0</v>
      </c>
      <c r="Q922" s="231" t="str">
        <f t="shared" si="98"/>
        <v>×</v>
      </c>
      <c r="R922" s="231" t="str">
        <f t="shared" si="103"/>
        <v>×</v>
      </c>
      <c r="S922" s="232" t="str">
        <f t="shared" si="104"/>
        <v/>
      </c>
    </row>
    <row r="923" spans="2:19">
      <c r="B923" s="68"/>
      <c r="C923" s="57"/>
      <c r="D923" s="259" t="str">
        <f t="shared" si="99"/>
        <v/>
      </c>
      <c r="E923" s="260" t="str">
        <f t="shared" si="100"/>
        <v/>
      </c>
      <c r="F923" s="271" t="str">
        <f>IF(G923="","",VLOOKUP(G923,プルダウン用リスト!$K$1:$M$16,2,FALSE))</f>
        <v/>
      </c>
      <c r="G923" s="70"/>
      <c r="H923" s="58"/>
      <c r="I923" s="70"/>
      <c r="J923" s="135"/>
      <c r="K923" s="136"/>
      <c r="L923" s="71"/>
      <c r="M923" s="72"/>
      <c r="N923" s="72"/>
      <c r="O923" s="264" t="str">
        <f t="shared" si="101"/>
        <v/>
      </c>
      <c r="P923" s="230">
        <f t="shared" si="102"/>
        <v>0</v>
      </c>
      <c r="Q923" s="231" t="str">
        <f t="shared" si="98"/>
        <v>×</v>
      </c>
      <c r="R923" s="231" t="str">
        <f t="shared" si="103"/>
        <v>×</v>
      </c>
      <c r="S923" s="232" t="str">
        <f t="shared" si="104"/>
        <v/>
      </c>
    </row>
    <row r="924" spans="2:19">
      <c r="B924" s="68"/>
      <c r="C924" s="57"/>
      <c r="D924" s="259" t="str">
        <f t="shared" si="99"/>
        <v/>
      </c>
      <c r="E924" s="260" t="str">
        <f t="shared" si="100"/>
        <v/>
      </c>
      <c r="F924" s="271" t="str">
        <f>IF(G924="","",VLOOKUP(G924,プルダウン用リスト!$K$1:$M$16,2,FALSE))</f>
        <v/>
      </c>
      <c r="G924" s="70"/>
      <c r="H924" s="70"/>
      <c r="I924" s="70"/>
      <c r="J924" s="135"/>
      <c r="K924" s="136"/>
      <c r="L924" s="71"/>
      <c r="M924" s="72"/>
      <c r="N924" s="72"/>
      <c r="O924" s="264" t="str">
        <f t="shared" si="101"/>
        <v/>
      </c>
      <c r="P924" s="230">
        <f t="shared" si="102"/>
        <v>0</v>
      </c>
      <c r="Q924" s="231" t="str">
        <f t="shared" si="98"/>
        <v>×</v>
      </c>
      <c r="R924" s="231" t="str">
        <f t="shared" si="103"/>
        <v>×</v>
      </c>
      <c r="S924" s="232" t="str">
        <f t="shared" si="104"/>
        <v/>
      </c>
    </row>
    <row r="925" spans="2:19">
      <c r="B925" s="68"/>
      <c r="C925" s="57"/>
      <c r="D925" s="259" t="str">
        <f t="shared" si="99"/>
        <v/>
      </c>
      <c r="E925" s="260" t="str">
        <f t="shared" si="100"/>
        <v/>
      </c>
      <c r="F925" s="271" t="str">
        <f>IF(G925="","",VLOOKUP(G925,プルダウン用リスト!$K$1:$M$16,2,FALSE))</f>
        <v/>
      </c>
      <c r="G925" s="70"/>
      <c r="H925" s="58"/>
      <c r="I925" s="70"/>
      <c r="J925" s="135"/>
      <c r="K925" s="136"/>
      <c r="L925" s="71"/>
      <c r="M925" s="72"/>
      <c r="N925" s="72"/>
      <c r="O925" s="264" t="str">
        <f t="shared" si="101"/>
        <v/>
      </c>
      <c r="P925" s="230">
        <f t="shared" si="102"/>
        <v>0</v>
      </c>
      <c r="Q925" s="231" t="str">
        <f t="shared" si="98"/>
        <v>×</v>
      </c>
      <c r="R925" s="231" t="str">
        <f t="shared" si="103"/>
        <v>×</v>
      </c>
      <c r="S925" s="232" t="str">
        <f t="shared" si="104"/>
        <v/>
      </c>
    </row>
    <row r="926" spans="2:19">
      <c r="B926" s="68"/>
      <c r="C926" s="57"/>
      <c r="D926" s="259" t="str">
        <f t="shared" si="99"/>
        <v/>
      </c>
      <c r="E926" s="260" t="str">
        <f t="shared" si="100"/>
        <v/>
      </c>
      <c r="F926" s="271" t="str">
        <f>IF(G926="","",VLOOKUP(G926,プルダウン用リスト!$K$1:$M$16,2,FALSE))</f>
        <v/>
      </c>
      <c r="G926" s="70"/>
      <c r="H926" s="58"/>
      <c r="I926" s="70"/>
      <c r="J926" s="135"/>
      <c r="K926" s="136"/>
      <c r="L926" s="71"/>
      <c r="M926" s="72"/>
      <c r="N926" s="72"/>
      <c r="O926" s="264" t="str">
        <f t="shared" si="101"/>
        <v/>
      </c>
      <c r="P926" s="230">
        <f t="shared" si="102"/>
        <v>0</v>
      </c>
      <c r="Q926" s="231" t="str">
        <f t="shared" si="98"/>
        <v>×</v>
      </c>
      <c r="R926" s="231" t="str">
        <f t="shared" si="103"/>
        <v>×</v>
      </c>
      <c r="S926" s="232" t="str">
        <f t="shared" si="104"/>
        <v/>
      </c>
    </row>
    <row r="927" spans="2:19">
      <c r="B927" s="68"/>
      <c r="C927" s="57"/>
      <c r="D927" s="259" t="str">
        <f t="shared" si="99"/>
        <v/>
      </c>
      <c r="E927" s="260" t="str">
        <f t="shared" si="100"/>
        <v/>
      </c>
      <c r="F927" s="271" t="str">
        <f>IF(G927="","",VLOOKUP(G927,プルダウン用リスト!$K$1:$M$16,2,FALSE))</f>
        <v/>
      </c>
      <c r="G927" s="70"/>
      <c r="H927" s="70"/>
      <c r="I927" s="70"/>
      <c r="J927" s="135"/>
      <c r="K927" s="136"/>
      <c r="L927" s="71"/>
      <c r="M927" s="72"/>
      <c r="N927" s="72"/>
      <c r="O927" s="264" t="str">
        <f t="shared" si="101"/>
        <v/>
      </c>
      <c r="P927" s="230">
        <f t="shared" si="102"/>
        <v>0</v>
      </c>
      <c r="Q927" s="231" t="str">
        <f t="shared" si="98"/>
        <v>×</v>
      </c>
      <c r="R927" s="231" t="str">
        <f t="shared" si="103"/>
        <v>×</v>
      </c>
      <c r="S927" s="232" t="str">
        <f t="shared" si="104"/>
        <v/>
      </c>
    </row>
    <row r="928" spans="2:19">
      <c r="B928" s="68"/>
      <c r="C928" s="57"/>
      <c r="D928" s="259" t="str">
        <f t="shared" si="99"/>
        <v/>
      </c>
      <c r="E928" s="260" t="str">
        <f t="shared" si="100"/>
        <v/>
      </c>
      <c r="F928" s="271" t="str">
        <f>IF(G928="","",VLOOKUP(G928,プルダウン用リスト!$K$1:$M$16,2,FALSE))</f>
        <v/>
      </c>
      <c r="G928" s="70"/>
      <c r="H928" s="58"/>
      <c r="I928" s="70"/>
      <c r="J928" s="135"/>
      <c r="K928" s="136"/>
      <c r="L928" s="71"/>
      <c r="M928" s="72"/>
      <c r="N928" s="72"/>
      <c r="O928" s="264" t="str">
        <f t="shared" si="101"/>
        <v/>
      </c>
      <c r="P928" s="230">
        <f t="shared" si="102"/>
        <v>0</v>
      </c>
      <c r="Q928" s="231" t="str">
        <f t="shared" si="98"/>
        <v>×</v>
      </c>
      <c r="R928" s="231" t="str">
        <f t="shared" si="103"/>
        <v>×</v>
      </c>
      <c r="S928" s="232" t="str">
        <f t="shared" si="104"/>
        <v/>
      </c>
    </row>
    <row r="929" spans="2:19">
      <c r="B929" s="68"/>
      <c r="C929" s="57"/>
      <c r="D929" s="259" t="str">
        <f t="shared" si="99"/>
        <v/>
      </c>
      <c r="E929" s="260" t="str">
        <f t="shared" si="100"/>
        <v/>
      </c>
      <c r="F929" s="271" t="str">
        <f>IF(G929="","",VLOOKUP(G929,プルダウン用リスト!$K$1:$M$16,2,FALSE))</f>
        <v/>
      </c>
      <c r="G929" s="70"/>
      <c r="H929" s="58"/>
      <c r="I929" s="70"/>
      <c r="J929" s="135"/>
      <c r="K929" s="136"/>
      <c r="L929" s="71"/>
      <c r="M929" s="72"/>
      <c r="N929" s="72"/>
      <c r="O929" s="264" t="str">
        <f t="shared" si="101"/>
        <v/>
      </c>
      <c r="P929" s="230">
        <f t="shared" si="102"/>
        <v>0</v>
      </c>
      <c r="Q929" s="231" t="str">
        <f t="shared" si="98"/>
        <v>×</v>
      </c>
      <c r="R929" s="231" t="str">
        <f t="shared" si="103"/>
        <v>×</v>
      </c>
      <c r="S929" s="232" t="str">
        <f t="shared" si="104"/>
        <v/>
      </c>
    </row>
    <row r="930" spans="2:19">
      <c r="B930" s="68"/>
      <c r="C930" s="69"/>
      <c r="D930" s="259" t="str">
        <f t="shared" si="99"/>
        <v/>
      </c>
      <c r="E930" s="260" t="str">
        <f t="shared" si="100"/>
        <v/>
      </c>
      <c r="F930" s="271" t="str">
        <f>IF(G930="","",VLOOKUP(G930,プルダウン用リスト!$K$1:$M$16,2,FALSE))</f>
        <v/>
      </c>
      <c r="G930" s="70"/>
      <c r="H930" s="70"/>
      <c r="I930" s="70"/>
      <c r="J930" s="135"/>
      <c r="K930" s="136"/>
      <c r="L930" s="71"/>
      <c r="M930" s="72"/>
      <c r="N930" s="72"/>
      <c r="O930" s="264" t="str">
        <f t="shared" si="101"/>
        <v/>
      </c>
      <c r="P930" s="230">
        <f t="shared" si="102"/>
        <v>0</v>
      </c>
      <c r="Q930" s="231" t="str">
        <f t="shared" si="98"/>
        <v>×</v>
      </c>
      <c r="R930" s="231" t="str">
        <f t="shared" si="103"/>
        <v>×</v>
      </c>
      <c r="S930" s="232" t="str">
        <f t="shared" si="104"/>
        <v/>
      </c>
    </row>
    <row r="931" spans="2:19">
      <c r="B931" s="68"/>
      <c r="C931" s="57"/>
      <c r="D931" s="259" t="str">
        <f t="shared" si="99"/>
        <v/>
      </c>
      <c r="E931" s="260" t="str">
        <f t="shared" si="100"/>
        <v/>
      </c>
      <c r="F931" s="271" t="str">
        <f>IF(G931="","",VLOOKUP(G931,プルダウン用リスト!$K$1:$M$16,2,FALSE))</f>
        <v/>
      </c>
      <c r="G931" s="70"/>
      <c r="H931" s="58"/>
      <c r="I931" s="70"/>
      <c r="J931" s="135"/>
      <c r="K931" s="136"/>
      <c r="L931" s="71"/>
      <c r="M931" s="72"/>
      <c r="N931" s="72"/>
      <c r="O931" s="264" t="str">
        <f t="shared" si="101"/>
        <v/>
      </c>
      <c r="P931" s="230">
        <f t="shared" si="102"/>
        <v>0</v>
      </c>
      <c r="Q931" s="231" t="str">
        <f t="shared" si="98"/>
        <v>×</v>
      </c>
      <c r="R931" s="231" t="str">
        <f t="shared" si="103"/>
        <v>×</v>
      </c>
      <c r="S931" s="232" t="str">
        <f t="shared" si="104"/>
        <v/>
      </c>
    </row>
    <row r="932" spans="2:19">
      <c r="B932" s="68"/>
      <c r="C932" s="57"/>
      <c r="D932" s="259" t="str">
        <f t="shared" si="99"/>
        <v/>
      </c>
      <c r="E932" s="260" t="str">
        <f t="shared" si="100"/>
        <v/>
      </c>
      <c r="F932" s="271" t="str">
        <f>IF(G932="","",VLOOKUP(G932,プルダウン用リスト!$K$1:$M$16,2,FALSE))</f>
        <v/>
      </c>
      <c r="G932" s="70"/>
      <c r="H932" s="58"/>
      <c r="I932" s="70"/>
      <c r="J932" s="135"/>
      <c r="K932" s="136"/>
      <c r="L932" s="71"/>
      <c r="M932" s="72"/>
      <c r="N932" s="72"/>
      <c r="O932" s="264" t="str">
        <f t="shared" si="101"/>
        <v/>
      </c>
      <c r="P932" s="230">
        <f t="shared" si="102"/>
        <v>0</v>
      </c>
      <c r="Q932" s="231" t="str">
        <f t="shared" si="98"/>
        <v>×</v>
      </c>
      <c r="R932" s="231" t="str">
        <f t="shared" si="103"/>
        <v>×</v>
      </c>
      <c r="S932" s="232" t="str">
        <f t="shared" si="104"/>
        <v/>
      </c>
    </row>
    <row r="933" spans="2:19">
      <c r="B933" s="68"/>
      <c r="C933" s="57"/>
      <c r="D933" s="259" t="str">
        <f t="shared" si="99"/>
        <v/>
      </c>
      <c r="E933" s="260" t="str">
        <f t="shared" si="100"/>
        <v/>
      </c>
      <c r="F933" s="271" t="str">
        <f>IF(G933="","",VLOOKUP(G933,プルダウン用リスト!$K$1:$M$16,2,FALSE))</f>
        <v/>
      </c>
      <c r="G933" s="70"/>
      <c r="H933" s="70"/>
      <c r="I933" s="70"/>
      <c r="J933" s="135"/>
      <c r="K933" s="136"/>
      <c r="L933" s="71"/>
      <c r="M933" s="72"/>
      <c r="N933" s="72"/>
      <c r="O933" s="264" t="str">
        <f t="shared" si="101"/>
        <v/>
      </c>
      <c r="P933" s="230">
        <f t="shared" si="102"/>
        <v>0</v>
      </c>
      <c r="Q933" s="231" t="str">
        <f t="shared" si="98"/>
        <v>×</v>
      </c>
      <c r="R933" s="231" t="str">
        <f t="shared" si="103"/>
        <v>×</v>
      </c>
      <c r="S933" s="232" t="str">
        <f t="shared" si="104"/>
        <v/>
      </c>
    </row>
    <row r="934" spans="2:19">
      <c r="B934" s="68"/>
      <c r="C934" s="57"/>
      <c r="D934" s="259" t="str">
        <f t="shared" si="99"/>
        <v/>
      </c>
      <c r="E934" s="260" t="str">
        <f t="shared" si="100"/>
        <v/>
      </c>
      <c r="F934" s="271" t="str">
        <f>IF(G934="","",VLOOKUP(G934,プルダウン用リスト!$K$1:$M$16,2,FALSE))</f>
        <v/>
      </c>
      <c r="G934" s="70"/>
      <c r="H934" s="58"/>
      <c r="I934" s="70"/>
      <c r="J934" s="135"/>
      <c r="K934" s="136"/>
      <c r="L934" s="71"/>
      <c r="M934" s="72"/>
      <c r="N934" s="72"/>
      <c r="O934" s="264" t="str">
        <f t="shared" si="101"/>
        <v/>
      </c>
      <c r="P934" s="230">
        <f t="shared" si="102"/>
        <v>0</v>
      </c>
      <c r="Q934" s="231" t="str">
        <f t="shared" si="98"/>
        <v>×</v>
      </c>
      <c r="R934" s="231" t="str">
        <f t="shared" si="103"/>
        <v>×</v>
      </c>
      <c r="S934" s="232" t="str">
        <f t="shared" si="104"/>
        <v/>
      </c>
    </row>
    <row r="935" spans="2:19">
      <c r="B935" s="68"/>
      <c r="C935" s="57"/>
      <c r="D935" s="259" t="str">
        <f t="shared" si="99"/>
        <v/>
      </c>
      <c r="E935" s="260" t="str">
        <f t="shared" si="100"/>
        <v/>
      </c>
      <c r="F935" s="271" t="str">
        <f>IF(G935="","",VLOOKUP(G935,プルダウン用リスト!$K$1:$M$16,2,FALSE))</f>
        <v/>
      </c>
      <c r="G935" s="70"/>
      <c r="H935" s="58"/>
      <c r="I935" s="70"/>
      <c r="J935" s="135"/>
      <c r="K935" s="136"/>
      <c r="L935" s="71"/>
      <c r="M935" s="72"/>
      <c r="N935" s="72"/>
      <c r="O935" s="264" t="str">
        <f t="shared" si="101"/>
        <v/>
      </c>
      <c r="P935" s="230">
        <f t="shared" si="102"/>
        <v>0</v>
      </c>
      <c r="Q935" s="231" t="str">
        <f t="shared" si="98"/>
        <v>×</v>
      </c>
      <c r="R935" s="231" t="str">
        <f t="shared" si="103"/>
        <v>×</v>
      </c>
      <c r="S935" s="232" t="str">
        <f t="shared" si="104"/>
        <v/>
      </c>
    </row>
    <row r="936" spans="2:19">
      <c r="B936" s="68"/>
      <c r="C936" s="57"/>
      <c r="D936" s="259" t="str">
        <f t="shared" si="99"/>
        <v/>
      </c>
      <c r="E936" s="260" t="str">
        <f t="shared" si="100"/>
        <v/>
      </c>
      <c r="F936" s="271" t="str">
        <f>IF(G936="","",VLOOKUP(G936,プルダウン用リスト!$K$1:$M$16,2,FALSE))</f>
        <v/>
      </c>
      <c r="G936" s="70"/>
      <c r="H936" s="70"/>
      <c r="I936" s="70"/>
      <c r="J936" s="135"/>
      <c r="K936" s="136"/>
      <c r="L936" s="71"/>
      <c r="M936" s="72"/>
      <c r="N936" s="72"/>
      <c r="O936" s="264" t="str">
        <f t="shared" si="101"/>
        <v/>
      </c>
      <c r="P936" s="230">
        <f t="shared" si="102"/>
        <v>0</v>
      </c>
      <c r="Q936" s="231" t="str">
        <f t="shared" si="98"/>
        <v>×</v>
      </c>
      <c r="R936" s="231" t="str">
        <f t="shared" si="103"/>
        <v>×</v>
      </c>
      <c r="S936" s="232" t="str">
        <f t="shared" si="104"/>
        <v/>
      </c>
    </row>
    <row r="937" spans="2:19">
      <c r="B937" s="68"/>
      <c r="C937" s="57"/>
      <c r="D937" s="259" t="str">
        <f t="shared" si="99"/>
        <v/>
      </c>
      <c r="E937" s="260" t="str">
        <f t="shared" si="100"/>
        <v/>
      </c>
      <c r="F937" s="271" t="str">
        <f>IF(G937="","",VLOOKUP(G937,プルダウン用リスト!$K$1:$M$16,2,FALSE))</f>
        <v/>
      </c>
      <c r="G937" s="70"/>
      <c r="H937" s="58"/>
      <c r="I937" s="70"/>
      <c r="J937" s="135"/>
      <c r="K937" s="136"/>
      <c r="L937" s="71"/>
      <c r="M937" s="72"/>
      <c r="N937" s="72"/>
      <c r="O937" s="264" t="str">
        <f t="shared" si="101"/>
        <v/>
      </c>
      <c r="P937" s="230">
        <f t="shared" si="102"/>
        <v>0</v>
      </c>
      <c r="Q937" s="231" t="str">
        <f t="shared" si="98"/>
        <v>×</v>
      </c>
      <c r="R937" s="231" t="str">
        <f t="shared" si="103"/>
        <v>×</v>
      </c>
      <c r="S937" s="232" t="str">
        <f t="shared" si="104"/>
        <v/>
      </c>
    </row>
    <row r="938" spans="2:19">
      <c r="B938" s="68"/>
      <c r="C938" s="57"/>
      <c r="D938" s="259" t="str">
        <f t="shared" si="99"/>
        <v/>
      </c>
      <c r="E938" s="260" t="str">
        <f t="shared" si="100"/>
        <v/>
      </c>
      <c r="F938" s="271" t="str">
        <f>IF(G938="","",VLOOKUP(G938,プルダウン用リスト!$K$1:$M$16,2,FALSE))</f>
        <v/>
      </c>
      <c r="G938" s="70"/>
      <c r="H938" s="58"/>
      <c r="I938" s="70"/>
      <c r="J938" s="135"/>
      <c r="K938" s="136"/>
      <c r="L938" s="71"/>
      <c r="M938" s="72"/>
      <c r="N938" s="72"/>
      <c r="O938" s="264" t="str">
        <f t="shared" si="101"/>
        <v/>
      </c>
      <c r="P938" s="230">
        <f t="shared" si="102"/>
        <v>0</v>
      </c>
      <c r="Q938" s="231" t="str">
        <f t="shared" si="98"/>
        <v>×</v>
      </c>
      <c r="R938" s="231" t="str">
        <f t="shared" si="103"/>
        <v>×</v>
      </c>
      <c r="S938" s="232" t="str">
        <f t="shared" si="104"/>
        <v/>
      </c>
    </row>
    <row r="939" spans="2:19">
      <c r="B939" s="68"/>
      <c r="C939" s="57"/>
      <c r="D939" s="259" t="str">
        <f t="shared" si="99"/>
        <v/>
      </c>
      <c r="E939" s="260" t="str">
        <f t="shared" si="100"/>
        <v/>
      </c>
      <c r="F939" s="271" t="str">
        <f>IF(G939="","",VLOOKUP(G939,プルダウン用リスト!$K$1:$M$16,2,FALSE))</f>
        <v/>
      </c>
      <c r="G939" s="70"/>
      <c r="H939" s="70"/>
      <c r="I939" s="70"/>
      <c r="J939" s="135"/>
      <c r="K939" s="136"/>
      <c r="L939" s="71"/>
      <c r="M939" s="72"/>
      <c r="N939" s="72"/>
      <c r="O939" s="264" t="str">
        <f t="shared" si="101"/>
        <v/>
      </c>
      <c r="P939" s="230">
        <f t="shared" si="102"/>
        <v>0</v>
      </c>
      <c r="Q939" s="231" t="str">
        <f t="shared" si="98"/>
        <v>×</v>
      </c>
      <c r="R939" s="231" t="str">
        <f t="shared" si="103"/>
        <v>×</v>
      </c>
      <c r="S939" s="232" t="str">
        <f t="shared" si="104"/>
        <v/>
      </c>
    </row>
    <row r="940" spans="2:19">
      <c r="B940" s="68"/>
      <c r="C940" s="57"/>
      <c r="D940" s="259" t="str">
        <f t="shared" si="99"/>
        <v/>
      </c>
      <c r="E940" s="260" t="str">
        <f t="shared" si="100"/>
        <v/>
      </c>
      <c r="F940" s="271" t="str">
        <f>IF(G940="","",VLOOKUP(G940,プルダウン用リスト!$K$1:$M$16,2,FALSE))</f>
        <v/>
      </c>
      <c r="G940" s="70"/>
      <c r="H940" s="58"/>
      <c r="I940" s="70"/>
      <c r="J940" s="135"/>
      <c r="K940" s="136"/>
      <c r="L940" s="71"/>
      <c r="M940" s="72"/>
      <c r="N940" s="72"/>
      <c r="O940" s="264" t="str">
        <f t="shared" si="101"/>
        <v/>
      </c>
      <c r="P940" s="230">
        <f t="shared" si="102"/>
        <v>0</v>
      </c>
      <c r="Q940" s="231" t="str">
        <f t="shared" si="98"/>
        <v>×</v>
      </c>
      <c r="R940" s="231" t="str">
        <f t="shared" si="103"/>
        <v>×</v>
      </c>
      <c r="S940" s="232" t="str">
        <f t="shared" si="104"/>
        <v/>
      </c>
    </row>
    <row r="941" spans="2:19">
      <c r="B941" s="68"/>
      <c r="C941" s="57"/>
      <c r="D941" s="259" t="str">
        <f t="shared" si="99"/>
        <v/>
      </c>
      <c r="E941" s="260" t="str">
        <f t="shared" si="100"/>
        <v/>
      </c>
      <c r="F941" s="271" t="str">
        <f>IF(G941="","",VLOOKUP(G941,プルダウン用リスト!$K$1:$M$16,2,FALSE))</f>
        <v/>
      </c>
      <c r="G941" s="70"/>
      <c r="H941" s="58"/>
      <c r="I941" s="70"/>
      <c r="J941" s="135"/>
      <c r="K941" s="136"/>
      <c r="L941" s="71"/>
      <c r="M941" s="72"/>
      <c r="N941" s="72"/>
      <c r="O941" s="264" t="str">
        <f t="shared" si="101"/>
        <v/>
      </c>
      <c r="P941" s="230">
        <f t="shared" si="102"/>
        <v>0</v>
      </c>
      <c r="Q941" s="231" t="str">
        <f t="shared" si="98"/>
        <v>×</v>
      </c>
      <c r="R941" s="231" t="str">
        <f t="shared" si="103"/>
        <v>×</v>
      </c>
      <c r="S941" s="232" t="str">
        <f t="shared" si="104"/>
        <v/>
      </c>
    </row>
    <row r="942" spans="2:19">
      <c r="B942" s="68"/>
      <c r="C942" s="69"/>
      <c r="D942" s="259" t="str">
        <f t="shared" si="99"/>
        <v/>
      </c>
      <c r="E942" s="260" t="str">
        <f t="shared" si="100"/>
        <v/>
      </c>
      <c r="F942" s="271" t="str">
        <f>IF(G942="","",VLOOKUP(G942,プルダウン用リスト!$K$1:$M$16,2,FALSE))</f>
        <v/>
      </c>
      <c r="G942" s="70"/>
      <c r="H942" s="70"/>
      <c r="I942" s="70"/>
      <c r="J942" s="135"/>
      <c r="K942" s="136"/>
      <c r="L942" s="71"/>
      <c r="M942" s="72"/>
      <c r="N942" s="72"/>
      <c r="O942" s="264" t="str">
        <f t="shared" si="101"/>
        <v/>
      </c>
      <c r="P942" s="230">
        <f t="shared" si="102"/>
        <v>0</v>
      </c>
      <c r="Q942" s="231" t="str">
        <f t="shared" si="98"/>
        <v>×</v>
      </c>
      <c r="R942" s="231" t="str">
        <f t="shared" si="103"/>
        <v>×</v>
      </c>
      <c r="S942" s="232" t="str">
        <f t="shared" si="104"/>
        <v/>
      </c>
    </row>
    <row r="943" spans="2:19">
      <c r="B943" s="68"/>
      <c r="C943" s="57"/>
      <c r="D943" s="259" t="str">
        <f t="shared" si="99"/>
        <v/>
      </c>
      <c r="E943" s="260" t="str">
        <f t="shared" si="100"/>
        <v/>
      </c>
      <c r="F943" s="271" t="str">
        <f>IF(G943="","",VLOOKUP(G943,プルダウン用リスト!$K$1:$M$16,2,FALSE))</f>
        <v/>
      </c>
      <c r="G943" s="70"/>
      <c r="H943" s="58"/>
      <c r="I943" s="70"/>
      <c r="J943" s="135"/>
      <c r="K943" s="136"/>
      <c r="L943" s="71"/>
      <c r="M943" s="72"/>
      <c r="N943" s="72"/>
      <c r="O943" s="264" t="str">
        <f t="shared" si="101"/>
        <v/>
      </c>
      <c r="P943" s="230">
        <f t="shared" si="102"/>
        <v>0</v>
      </c>
      <c r="Q943" s="231" t="str">
        <f t="shared" si="98"/>
        <v>×</v>
      </c>
      <c r="R943" s="231" t="str">
        <f t="shared" si="103"/>
        <v>×</v>
      </c>
      <c r="S943" s="232" t="str">
        <f t="shared" si="104"/>
        <v/>
      </c>
    </row>
    <row r="944" spans="2:19">
      <c r="B944" s="68"/>
      <c r="C944" s="57"/>
      <c r="D944" s="259" t="str">
        <f t="shared" si="99"/>
        <v/>
      </c>
      <c r="E944" s="260" t="str">
        <f t="shared" si="100"/>
        <v/>
      </c>
      <c r="F944" s="271" t="str">
        <f>IF(G944="","",VLOOKUP(G944,プルダウン用リスト!$K$1:$M$16,2,FALSE))</f>
        <v/>
      </c>
      <c r="G944" s="70"/>
      <c r="H944" s="58"/>
      <c r="I944" s="70"/>
      <c r="J944" s="135"/>
      <c r="K944" s="136"/>
      <c r="L944" s="71"/>
      <c r="M944" s="72"/>
      <c r="N944" s="72"/>
      <c r="O944" s="264" t="str">
        <f t="shared" si="101"/>
        <v/>
      </c>
      <c r="P944" s="230">
        <f t="shared" si="102"/>
        <v>0</v>
      </c>
      <c r="Q944" s="231" t="str">
        <f t="shared" si="98"/>
        <v>×</v>
      </c>
      <c r="R944" s="231" t="str">
        <f t="shared" si="103"/>
        <v>×</v>
      </c>
      <c r="S944" s="232" t="str">
        <f t="shared" si="104"/>
        <v/>
      </c>
    </row>
    <row r="945" spans="2:19">
      <c r="B945" s="68"/>
      <c r="C945" s="57"/>
      <c r="D945" s="259" t="str">
        <f t="shared" si="99"/>
        <v/>
      </c>
      <c r="E945" s="260" t="str">
        <f t="shared" si="100"/>
        <v/>
      </c>
      <c r="F945" s="271" t="str">
        <f>IF(G945="","",VLOOKUP(G945,プルダウン用リスト!$K$1:$M$16,2,FALSE))</f>
        <v/>
      </c>
      <c r="G945" s="70"/>
      <c r="H945" s="70"/>
      <c r="I945" s="70"/>
      <c r="J945" s="135"/>
      <c r="K945" s="136"/>
      <c r="L945" s="71"/>
      <c r="M945" s="72"/>
      <c r="N945" s="72"/>
      <c r="O945" s="264" t="str">
        <f t="shared" si="101"/>
        <v/>
      </c>
      <c r="P945" s="230">
        <f t="shared" si="102"/>
        <v>0</v>
      </c>
      <c r="Q945" s="231" t="str">
        <f t="shared" si="98"/>
        <v>×</v>
      </c>
      <c r="R945" s="231" t="str">
        <f t="shared" si="103"/>
        <v>×</v>
      </c>
      <c r="S945" s="232" t="str">
        <f t="shared" si="104"/>
        <v/>
      </c>
    </row>
    <row r="946" spans="2:19">
      <c r="B946" s="68"/>
      <c r="C946" s="57"/>
      <c r="D946" s="259" t="str">
        <f t="shared" si="99"/>
        <v/>
      </c>
      <c r="E946" s="260" t="str">
        <f t="shared" si="100"/>
        <v/>
      </c>
      <c r="F946" s="271" t="str">
        <f>IF(G946="","",VLOOKUP(G946,プルダウン用リスト!$K$1:$M$16,2,FALSE))</f>
        <v/>
      </c>
      <c r="G946" s="70"/>
      <c r="H946" s="58"/>
      <c r="I946" s="70"/>
      <c r="J946" s="135"/>
      <c r="K946" s="136"/>
      <c r="L946" s="71"/>
      <c r="M946" s="72"/>
      <c r="N946" s="72"/>
      <c r="O946" s="264" t="str">
        <f t="shared" si="101"/>
        <v/>
      </c>
      <c r="P946" s="230">
        <f t="shared" si="102"/>
        <v>0</v>
      </c>
      <c r="Q946" s="231" t="str">
        <f t="shared" si="98"/>
        <v>×</v>
      </c>
      <c r="R946" s="231" t="str">
        <f t="shared" si="103"/>
        <v>×</v>
      </c>
      <c r="S946" s="232" t="str">
        <f t="shared" si="104"/>
        <v/>
      </c>
    </row>
    <row r="947" spans="2:19">
      <c r="B947" s="68"/>
      <c r="C947" s="57"/>
      <c r="D947" s="259" t="str">
        <f t="shared" si="99"/>
        <v/>
      </c>
      <c r="E947" s="260" t="str">
        <f t="shared" si="100"/>
        <v/>
      </c>
      <c r="F947" s="271" t="str">
        <f>IF(G947="","",VLOOKUP(G947,プルダウン用リスト!$K$1:$M$16,2,FALSE))</f>
        <v/>
      </c>
      <c r="G947" s="70"/>
      <c r="H947" s="58"/>
      <c r="I947" s="70"/>
      <c r="J947" s="135"/>
      <c r="K947" s="136"/>
      <c r="L947" s="71"/>
      <c r="M947" s="72"/>
      <c r="N947" s="72"/>
      <c r="O947" s="264" t="str">
        <f t="shared" si="101"/>
        <v/>
      </c>
      <c r="P947" s="230">
        <f t="shared" si="102"/>
        <v>0</v>
      </c>
      <c r="Q947" s="231" t="str">
        <f t="shared" si="98"/>
        <v>×</v>
      </c>
      <c r="R947" s="231" t="str">
        <f t="shared" si="103"/>
        <v>×</v>
      </c>
      <c r="S947" s="232" t="str">
        <f t="shared" si="104"/>
        <v/>
      </c>
    </row>
    <row r="948" spans="2:19">
      <c r="B948" s="68"/>
      <c r="C948" s="57"/>
      <c r="D948" s="259" t="str">
        <f t="shared" si="99"/>
        <v/>
      </c>
      <c r="E948" s="260" t="str">
        <f t="shared" si="100"/>
        <v/>
      </c>
      <c r="F948" s="271" t="str">
        <f>IF(G948="","",VLOOKUP(G948,プルダウン用リスト!$K$1:$M$16,2,FALSE))</f>
        <v/>
      </c>
      <c r="G948" s="70"/>
      <c r="H948" s="70"/>
      <c r="I948" s="70"/>
      <c r="J948" s="135"/>
      <c r="K948" s="136"/>
      <c r="L948" s="71"/>
      <c r="M948" s="72"/>
      <c r="N948" s="72"/>
      <c r="O948" s="264" t="str">
        <f t="shared" si="101"/>
        <v/>
      </c>
      <c r="P948" s="230">
        <f t="shared" si="102"/>
        <v>0</v>
      </c>
      <c r="Q948" s="231" t="str">
        <f t="shared" si="98"/>
        <v>×</v>
      </c>
      <c r="R948" s="231" t="str">
        <f t="shared" si="103"/>
        <v>×</v>
      </c>
      <c r="S948" s="232" t="str">
        <f t="shared" si="104"/>
        <v/>
      </c>
    </row>
    <row r="949" spans="2:19">
      <c r="B949" s="68"/>
      <c r="C949" s="57"/>
      <c r="D949" s="259" t="str">
        <f t="shared" si="99"/>
        <v/>
      </c>
      <c r="E949" s="260" t="str">
        <f t="shared" si="100"/>
        <v/>
      </c>
      <c r="F949" s="271" t="str">
        <f>IF(G949="","",VLOOKUP(G949,プルダウン用リスト!$K$1:$M$16,2,FALSE))</f>
        <v/>
      </c>
      <c r="G949" s="70"/>
      <c r="H949" s="58"/>
      <c r="I949" s="70"/>
      <c r="J949" s="135"/>
      <c r="K949" s="136"/>
      <c r="L949" s="71"/>
      <c r="M949" s="72"/>
      <c r="N949" s="72"/>
      <c r="O949" s="264" t="str">
        <f t="shared" si="101"/>
        <v/>
      </c>
      <c r="P949" s="230">
        <f t="shared" si="102"/>
        <v>0</v>
      </c>
      <c r="Q949" s="231" t="str">
        <f t="shared" si="98"/>
        <v>×</v>
      </c>
      <c r="R949" s="231" t="str">
        <f t="shared" si="103"/>
        <v>×</v>
      </c>
      <c r="S949" s="232" t="str">
        <f t="shared" si="104"/>
        <v/>
      </c>
    </row>
    <row r="950" spans="2:19">
      <c r="B950" s="68"/>
      <c r="C950" s="57"/>
      <c r="D950" s="259" t="str">
        <f t="shared" si="99"/>
        <v/>
      </c>
      <c r="E950" s="260" t="str">
        <f t="shared" si="100"/>
        <v/>
      </c>
      <c r="F950" s="271" t="str">
        <f>IF(G950="","",VLOOKUP(G950,プルダウン用リスト!$K$1:$M$16,2,FALSE))</f>
        <v/>
      </c>
      <c r="G950" s="70"/>
      <c r="H950" s="58"/>
      <c r="I950" s="70"/>
      <c r="J950" s="135"/>
      <c r="K950" s="136"/>
      <c r="L950" s="71"/>
      <c r="M950" s="72"/>
      <c r="N950" s="72"/>
      <c r="O950" s="264" t="str">
        <f t="shared" si="101"/>
        <v/>
      </c>
      <c r="P950" s="230">
        <f t="shared" si="102"/>
        <v>0</v>
      </c>
      <c r="Q950" s="231" t="str">
        <f t="shared" si="98"/>
        <v>×</v>
      </c>
      <c r="R950" s="231" t="str">
        <f t="shared" si="103"/>
        <v>×</v>
      </c>
      <c r="S950" s="232" t="str">
        <f t="shared" si="104"/>
        <v/>
      </c>
    </row>
    <row r="951" spans="2:19">
      <c r="B951" s="68"/>
      <c r="C951" s="57"/>
      <c r="D951" s="259" t="str">
        <f t="shared" si="99"/>
        <v/>
      </c>
      <c r="E951" s="260" t="str">
        <f t="shared" si="100"/>
        <v/>
      </c>
      <c r="F951" s="271" t="str">
        <f>IF(G951="","",VLOOKUP(G951,プルダウン用リスト!$K$1:$M$16,2,FALSE))</f>
        <v/>
      </c>
      <c r="G951" s="70"/>
      <c r="H951" s="70"/>
      <c r="I951" s="70"/>
      <c r="J951" s="135"/>
      <c r="K951" s="136"/>
      <c r="L951" s="71"/>
      <c r="M951" s="72"/>
      <c r="N951" s="72"/>
      <c r="O951" s="264" t="str">
        <f t="shared" si="101"/>
        <v/>
      </c>
      <c r="P951" s="230">
        <f t="shared" si="102"/>
        <v>0</v>
      </c>
      <c r="Q951" s="231" t="str">
        <f t="shared" si="98"/>
        <v>×</v>
      </c>
      <c r="R951" s="231" t="str">
        <f t="shared" si="103"/>
        <v>×</v>
      </c>
      <c r="S951" s="232" t="str">
        <f t="shared" si="104"/>
        <v/>
      </c>
    </row>
    <row r="952" spans="2:19">
      <c r="B952" s="68"/>
      <c r="C952" s="57"/>
      <c r="D952" s="259" t="str">
        <f t="shared" si="99"/>
        <v/>
      </c>
      <c r="E952" s="260" t="str">
        <f t="shared" si="100"/>
        <v/>
      </c>
      <c r="F952" s="271" t="str">
        <f>IF(G952="","",VLOOKUP(G952,プルダウン用リスト!$K$1:$M$16,2,FALSE))</f>
        <v/>
      </c>
      <c r="G952" s="70"/>
      <c r="H952" s="58"/>
      <c r="I952" s="70"/>
      <c r="J952" s="135"/>
      <c r="K952" s="136"/>
      <c r="L952" s="71"/>
      <c r="M952" s="72"/>
      <c r="N952" s="72"/>
      <c r="O952" s="264" t="str">
        <f t="shared" si="101"/>
        <v/>
      </c>
      <c r="P952" s="230">
        <f t="shared" si="102"/>
        <v>0</v>
      </c>
      <c r="Q952" s="231" t="str">
        <f t="shared" si="98"/>
        <v>×</v>
      </c>
      <c r="R952" s="231" t="str">
        <f t="shared" si="103"/>
        <v>×</v>
      </c>
      <c r="S952" s="232" t="str">
        <f t="shared" si="104"/>
        <v/>
      </c>
    </row>
    <row r="953" spans="2:19">
      <c r="B953" s="68"/>
      <c r="C953" s="57"/>
      <c r="D953" s="259" t="str">
        <f t="shared" si="99"/>
        <v/>
      </c>
      <c r="E953" s="260" t="str">
        <f t="shared" si="100"/>
        <v/>
      </c>
      <c r="F953" s="271" t="str">
        <f>IF(G953="","",VLOOKUP(G953,プルダウン用リスト!$K$1:$M$16,2,FALSE))</f>
        <v/>
      </c>
      <c r="G953" s="70"/>
      <c r="H953" s="58"/>
      <c r="I953" s="70"/>
      <c r="J953" s="135"/>
      <c r="K953" s="136"/>
      <c r="L953" s="71"/>
      <c r="M953" s="72"/>
      <c r="N953" s="72"/>
      <c r="O953" s="264" t="str">
        <f t="shared" si="101"/>
        <v/>
      </c>
      <c r="P953" s="230">
        <f t="shared" si="102"/>
        <v>0</v>
      </c>
      <c r="Q953" s="231" t="str">
        <f t="shared" si="98"/>
        <v>×</v>
      </c>
      <c r="R953" s="231" t="str">
        <f t="shared" si="103"/>
        <v>×</v>
      </c>
      <c r="S953" s="232" t="str">
        <f t="shared" si="104"/>
        <v/>
      </c>
    </row>
    <row r="954" spans="2:19">
      <c r="B954" s="68"/>
      <c r="C954" s="69"/>
      <c r="D954" s="259" t="str">
        <f t="shared" si="99"/>
        <v/>
      </c>
      <c r="E954" s="260" t="str">
        <f t="shared" si="100"/>
        <v/>
      </c>
      <c r="F954" s="271" t="str">
        <f>IF(G954="","",VLOOKUP(G954,プルダウン用リスト!$K$1:$M$16,2,FALSE))</f>
        <v/>
      </c>
      <c r="G954" s="70"/>
      <c r="H954" s="70"/>
      <c r="I954" s="70"/>
      <c r="J954" s="135"/>
      <c r="K954" s="136"/>
      <c r="L954" s="71"/>
      <c r="M954" s="72"/>
      <c r="N954" s="72"/>
      <c r="O954" s="264" t="str">
        <f t="shared" si="101"/>
        <v/>
      </c>
      <c r="P954" s="230">
        <f t="shared" si="102"/>
        <v>0</v>
      </c>
      <c r="Q954" s="231" t="str">
        <f t="shared" si="98"/>
        <v>×</v>
      </c>
      <c r="R954" s="231" t="str">
        <f t="shared" si="103"/>
        <v>×</v>
      </c>
      <c r="S954" s="232" t="str">
        <f t="shared" si="104"/>
        <v/>
      </c>
    </row>
    <row r="955" spans="2:19">
      <c r="B955" s="68"/>
      <c r="C955" s="57"/>
      <c r="D955" s="259" t="str">
        <f t="shared" si="99"/>
        <v/>
      </c>
      <c r="E955" s="260" t="str">
        <f t="shared" si="100"/>
        <v/>
      </c>
      <c r="F955" s="271" t="str">
        <f>IF(G955="","",VLOOKUP(G955,プルダウン用リスト!$K$1:$M$16,2,FALSE))</f>
        <v/>
      </c>
      <c r="G955" s="70"/>
      <c r="H955" s="58"/>
      <c r="I955" s="70"/>
      <c r="J955" s="135"/>
      <c r="K955" s="136"/>
      <c r="L955" s="71"/>
      <c r="M955" s="72"/>
      <c r="N955" s="72"/>
      <c r="O955" s="264" t="str">
        <f t="shared" si="101"/>
        <v/>
      </c>
      <c r="P955" s="230">
        <f t="shared" si="102"/>
        <v>0</v>
      </c>
      <c r="Q955" s="231" t="str">
        <f t="shared" si="98"/>
        <v>×</v>
      </c>
      <c r="R955" s="231" t="str">
        <f t="shared" si="103"/>
        <v>×</v>
      </c>
      <c r="S955" s="232" t="str">
        <f t="shared" si="104"/>
        <v/>
      </c>
    </row>
    <row r="956" spans="2:19">
      <c r="B956" s="68"/>
      <c r="C956" s="57"/>
      <c r="D956" s="259" t="str">
        <f t="shared" si="99"/>
        <v/>
      </c>
      <c r="E956" s="260" t="str">
        <f t="shared" si="100"/>
        <v/>
      </c>
      <c r="F956" s="271" t="str">
        <f>IF(G956="","",VLOOKUP(G956,プルダウン用リスト!$K$1:$M$16,2,FALSE))</f>
        <v/>
      </c>
      <c r="G956" s="70"/>
      <c r="H956" s="58"/>
      <c r="I956" s="70"/>
      <c r="J956" s="135"/>
      <c r="K956" s="136"/>
      <c r="L956" s="71"/>
      <c r="M956" s="72"/>
      <c r="N956" s="72"/>
      <c r="O956" s="264" t="str">
        <f t="shared" si="101"/>
        <v/>
      </c>
      <c r="P956" s="230">
        <f t="shared" si="102"/>
        <v>0</v>
      </c>
      <c r="Q956" s="231" t="str">
        <f t="shared" si="98"/>
        <v>×</v>
      </c>
      <c r="R956" s="231" t="str">
        <f t="shared" si="103"/>
        <v>×</v>
      </c>
      <c r="S956" s="232" t="str">
        <f t="shared" si="104"/>
        <v/>
      </c>
    </row>
    <row r="957" spans="2:19">
      <c r="B957" s="68"/>
      <c r="C957" s="57"/>
      <c r="D957" s="259" t="str">
        <f t="shared" si="99"/>
        <v/>
      </c>
      <c r="E957" s="260" t="str">
        <f t="shared" si="100"/>
        <v/>
      </c>
      <c r="F957" s="271" t="str">
        <f>IF(G957="","",VLOOKUP(G957,プルダウン用リスト!$K$1:$M$16,2,FALSE))</f>
        <v/>
      </c>
      <c r="G957" s="70"/>
      <c r="H957" s="70"/>
      <c r="I957" s="70"/>
      <c r="J957" s="135"/>
      <c r="K957" s="136"/>
      <c r="L957" s="71"/>
      <c r="M957" s="72"/>
      <c r="N957" s="72"/>
      <c r="O957" s="264" t="str">
        <f t="shared" si="101"/>
        <v/>
      </c>
      <c r="P957" s="230">
        <f t="shared" si="102"/>
        <v>0</v>
      </c>
      <c r="Q957" s="231" t="str">
        <f t="shared" si="98"/>
        <v>×</v>
      </c>
      <c r="R957" s="231" t="str">
        <f t="shared" si="103"/>
        <v>×</v>
      </c>
      <c r="S957" s="232" t="str">
        <f t="shared" si="104"/>
        <v/>
      </c>
    </row>
    <row r="958" spans="2:19">
      <c r="B958" s="68"/>
      <c r="C958" s="57"/>
      <c r="D958" s="259" t="str">
        <f t="shared" si="99"/>
        <v/>
      </c>
      <c r="E958" s="260" t="str">
        <f t="shared" si="100"/>
        <v/>
      </c>
      <c r="F958" s="271" t="str">
        <f>IF(G958="","",VLOOKUP(G958,プルダウン用リスト!$K$1:$M$16,2,FALSE))</f>
        <v/>
      </c>
      <c r="G958" s="70"/>
      <c r="H958" s="58"/>
      <c r="I958" s="70"/>
      <c r="J958" s="135"/>
      <c r="K958" s="136"/>
      <c r="L958" s="71"/>
      <c r="M958" s="72"/>
      <c r="N958" s="72"/>
      <c r="O958" s="264" t="str">
        <f t="shared" si="101"/>
        <v/>
      </c>
      <c r="P958" s="230">
        <f t="shared" si="102"/>
        <v>0</v>
      </c>
      <c r="Q958" s="231" t="str">
        <f t="shared" si="98"/>
        <v>×</v>
      </c>
      <c r="R958" s="231" t="str">
        <f t="shared" si="103"/>
        <v>×</v>
      </c>
      <c r="S958" s="232" t="str">
        <f t="shared" si="104"/>
        <v/>
      </c>
    </row>
    <row r="959" spans="2:19">
      <c r="B959" s="68"/>
      <c r="C959" s="57"/>
      <c r="D959" s="259" t="str">
        <f t="shared" si="99"/>
        <v/>
      </c>
      <c r="E959" s="260" t="str">
        <f t="shared" si="100"/>
        <v/>
      </c>
      <c r="F959" s="271" t="str">
        <f>IF(G959="","",VLOOKUP(G959,プルダウン用リスト!$K$1:$M$16,2,FALSE))</f>
        <v/>
      </c>
      <c r="G959" s="70"/>
      <c r="H959" s="58"/>
      <c r="I959" s="70"/>
      <c r="J959" s="135"/>
      <c r="K959" s="136"/>
      <c r="L959" s="71"/>
      <c r="M959" s="72"/>
      <c r="N959" s="72"/>
      <c r="O959" s="264" t="str">
        <f t="shared" si="101"/>
        <v/>
      </c>
      <c r="P959" s="230">
        <f t="shared" si="102"/>
        <v>0</v>
      </c>
      <c r="Q959" s="231" t="str">
        <f t="shared" si="98"/>
        <v>×</v>
      </c>
      <c r="R959" s="231" t="str">
        <f t="shared" si="103"/>
        <v>×</v>
      </c>
      <c r="S959" s="232" t="str">
        <f t="shared" si="104"/>
        <v/>
      </c>
    </row>
    <row r="960" spans="2:19">
      <c r="B960" s="68"/>
      <c r="C960" s="57"/>
      <c r="D960" s="259" t="str">
        <f t="shared" si="99"/>
        <v/>
      </c>
      <c r="E960" s="260" t="str">
        <f t="shared" si="100"/>
        <v/>
      </c>
      <c r="F960" s="271" t="str">
        <f>IF(G960="","",VLOOKUP(G960,プルダウン用リスト!$K$1:$M$16,2,FALSE))</f>
        <v/>
      </c>
      <c r="G960" s="70"/>
      <c r="H960" s="70"/>
      <c r="I960" s="70"/>
      <c r="J960" s="135"/>
      <c r="K960" s="136"/>
      <c r="L960" s="71"/>
      <c r="M960" s="72"/>
      <c r="N960" s="72"/>
      <c r="O960" s="264" t="str">
        <f t="shared" si="101"/>
        <v/>
      </c>
      <c r="P960" s="230">
        <f t="shared" si="102"/>
        <v>0</v>
      </c>
      <c r="Q960" s="231" t="str">
        <f t="shared" si="98"/>
        <v>×</v>
      </c>
      <c r="R960" s="231" t="str">
        <f t="shared" si="103"/>
        <v>×</v>
      </c>
      <c r="S960" s="232" t="str">
        <f t="shared" si="104"/>
        <v/>
      </c>
    </row>
    <row r="961" spans="2:19">
      <c r="B961" s="68"/>
      <c r="C961" s="57"/>
      <c r="D961" s="259" t="str">
        <f t="shared" si="99"/>
        <v/>
      </c>
      <c r="E961" s="260" t="str">
        <f t="shared" si="100"/>
        <v/>
      </c>
      <c r="F961" s="271" t="str">
        <f>IF(G961="","",VLOOKUP(G961,プルダウン用リスト!$K$1:$M$16,2,FALSE))</f>
        <v/>
      </c>
      <c r="G961" s="70"/>
      <c r="H961" s="58"/>
      <c r="I961" s="70"/>
      <c r="J961" s="135"/>
      <c r="K961" s="136"/>
      <c r="L961" s="71"/>
      <c r="M961" s="72"/>
      <c r="N961" s="72"/>
      <c r="O961" s="264" t="str">
        <f t="shared" si="101"/>
        <v/>
      </c>
      <c r="P961" s="230">
        <f t="shared" si="102"/>
        <v>0</v>
      </c>
      <c r="Q961" s="231" t="str">
        <f t="shared" si="98"/>
        <v>×</v>
      </c>
      <c r="R961" s="231" t="str">
        <f t="shared" si="103"/>
        <v>×</v>
      </c>
      <c r="S961" s="232" t="str">
        <f t="shared" si="104"/>
        <v/>
      </c>
    </row>
    <row r="962" spans="2:19">
      <c r="B962" s="68"/>
      <c r="C962" s="57"/>
      <c r="D962" s="259" t="str">
        <f t="shared" si="99"/>
        <v/>
      </c>
      <c r="E962" s="260" t="str">
        <f t="shared" si="100"/>
        <v/>
      </c>
      <c r="F962" s="271" t="str">
        <f>IF(G962="","",VLOOKUP(G962,プルダウン用リスト!$K$1:$M$16,2,FALSE))</f>
        <v/>
      </c>
      <c r="G962" s="70"/>
      <c r="H962" s="58"/>
      <c r="I962" s="70"/>
      <c r="J962" s="135"/>
      <c r="K962" s="136"/>
      <c r="L962" s="71"/>
      <c r="M962" s="72"/>
      <c r="N962" s="72"/>
      <c r="O962" s="264" t="str">
        <f t="shared" si="101"/>
        <v/>
      </c>
      <c r="P962" s="230">
        <f t="shared" si="102"/>
        <v>0</v>
      </c>
      <c r="Q962" s="231" t="str">
        <f t="shared" si="98"/>
        <v>×</v>
      </c>
      <c r="R962" s="231" t="str">
        <f t="shared" si="103"/>
        <v>×</v>
      </c>
      <c r="S962" s="232" t="str">
        <f t="shared" si="104"/>
        <v/>
      </c>
    </row>
    <row r="963" spans="2:19">
      <c r="B963" s="68"/>
      <c r="C963" s="57"/>
      <c r="D963" s="259" t="str">
        <f t="shared" si="99"/>
        <v/>
      </c>
      <c r="E963" s="260" t="str">
        <f t="shared" si="100"/>
        <v/>
      </c>
      <c r="F963" s="271" t="str">
        <f>IF(G963="","",VLOOKUP(G963,プルダウン用リスト!$K$1:$M$16,2,FALSE))</f>
        <v/>
      </c>
      <c r="G963" s="70"/>
      <c r="H963" s="70"/>
      <c r="I963" s="70"/>
      <c r="J963" s="135"/>
      <c r="K963" s="136"/>
      <c r="L963" s="71"/>
      <c r="M963" s="72"/>
      <c r="N963" s="72"/>
      <c r="O963" s="264" t="str">
        <f t="shared" si="101"/>
        <v/>
      </c>
      <c r="P963" s="230">
        <f t="shared" si="102"/>
        <v>0</v>
      </c>
      <c r="Q963" s="231" t="str">
        <f t="shared" si="98"/>
        <v>×</v>
      </c>
      <c r="R963" s="231" t="str">
        <f t="shared" si="103"/>
        <v>×</v>
      </c>
      <c r="S963" s="232" t="str">
        <f t="shared" si="104"/>
        <v/>
      </c>
    </row>
    <row r="964" spans="2:19">
      <c r="B964" s="68"/>
      <c r="C964" s="57"/>
      <c r="D964" s="259" t="str">
        <f t="shared" si="99"/>
        <v/>
      </c>
      <c r="E964" s="260" t="str">
        <f t="shared" si="100"/>
        <v/>
      </c>
      <c r="F964" s="271" t="str">
        <f>IF(G964="","",VLOOKUP(G964,プルダウン用リスト!$K$1:$M$16,2,FALSE))</f>
        <v/>
      </c>
      <c r="G964" s="70"/>
      <c r="H964" s="58"/>
      <c r="I964" s="70"/>
      <c r="J964" s="135"/>
      <c r="K964" s="136"/>
      <c r="L964" s="71"/>
      <c r="M964" s="72"/>
      <c r="N964" s="72"/>
      <c r="O964" s="264" t="str">
        <f t="shared" si="101"/>
        <v/>
      </c>
      <c r="P964" s="230">
        <f t="shared" si="102"/>
        <v>0</v>
      </c>
      <c r="Q964" s="231" t="str">
        <f t="shared" si="98"/>
        <v>×</v>
      </c>
      <c r="R964" s="231" t="str">
        <f t="shared" si="103"/>
        <v>×</v>
      </c>
      <c r="S964" s="232" t="str">
        <f t="shared" si="104"/>
        <v/>
      </c>
    </row>
    <row r="965" spans="2:19">
      <c r="B965" s="68"/>
      <c r="C965" s="57"/>
      <c r="D965" s="259" t="str">
        <f t="shared" si="99"/>
        <v/>
      </c>
      <c r="E965" s="260" t="str">
        <f t="shared" si="100"/>
        <v/>
      </c>
      <c r="F965" s="271" t="str">
        <f>IF(G965="","",VLOOKUP(G965,プルダウン用リスト!$K$1:$M$16,2,FALSE))</f>
        <v/>
      </c>
      <c r="G965" s="70"/>
      <c r="H965" s="58"/>
      <c r="I965" s="70"/>
      <c r="J965" s="135"/>
      <c r="K965" s="136"/>
      <c r="L965" s="71"/>
      <c r="M965" s="72"/>
      <c r="N965" s="72"/>
      <c r="O965" s="264" t="str">
        <f t="shared" si="101"/>
        <v/>
      </c>
      <c r="P965" s="230">
        <f t="shared" si="102"/>
        <v>0</v>
      </c>
      <c r="Q965" s="231" t="str">
        <f t="shared" si="98"/>
        <v>×</v>
      </c>
      <c r="R965" s="231" t="str">
        <f t="shared" si="103"/>
        <v>×</v>
      </c>
      <c r="S965" s="232" t="str">
        <f t="shared" si="104"/>
        <v/>
      </c>
    </row>
    <row r="966" spans="2:19">
      <c r="B966" s="68"/>
      <c r="C966" s="69"/>
      <c r="D966" s="259" t="str">
        <f t="shared" si="99"/>
        <v/>
      </c>
      <c r="E966" s="260" t="str">
        <f t="shared" si="100"/>
        <v/>
      </c>
      <c r="F966" s="271" t="str">
        <f>IF(G966="","",VLOOKUP(G966,プルダウン用リスト!$K$1:$M$16,2,FALSE))</f>
        <v/>
      </c>
      <c r="G966" s="70"/>
      <c r="H966" s="70"/>
      <c r="I966" s="70"/>
      <c r="J966" s="135"/>
      <c r="K966" s="136"/>
      <c r="L966" s="71"/>
      <c r="M966" s="72"/>
      <c r="N966" s="72"/>
      <c r="O966" s="264" t="str">
        <f t="shared" si="101"/>
        <v/>
      </c>
      <c r="P966" s="230">
        <f t="shared" si="102"/>
        <v>0</v>
      </c>
      <c r="Q966" s="231" t="str">
        <f t="shared" ref="Q966:Q1000" si="105">IF(G966="旅費","〇","×")</f>
        <v>×</v>
      </c>
      <c r="R966" s="231" t="str">
        <f t="shared" si="103"/>
        <v>×</v>
      </c>
      <c r="S966" s="232" t="str">
        <f t="shared" si="104"/>
        <v/>
      </c>
    </row>
    <row r="967" spans="2:19">
      <c r="B967" s="68"/>
      <c r="C967" s="57"/>
      <c r="D967" s="259" t="str">
        <f t="shared" ref="D967:D1000" si="106">IF(E967="","",IF(E967="謝金","01.",IF(E967="旅費","02.",IF(E967="その他","04.","03."))))</f>
        <v/>
      </c>
      <c r="E967" s="260" t="str">
        <f t="shared" ref="E967:E1000" si="107">IF(G967="","",IF(OR(G967="謝金（内部）",G967="謝金（外部）"),"謝金",IF(G967="旅費","旅費",IF(G967="対象外経費","その他","所費"))))</f>
        <v/>
      </c>
      <c r="F967" s="271" t="str">
        <f>IF(G967="","",VLOOKUP(G967,プルダウン用リスト!$K$1:$M$16,2,FALSE))</f>
        <v/>
      </c>
      <c r="G967" s="70"/>
      <c r="H967" s="58"/>
      <c r="I967" s="70"/>
      <c r="J967" s="135"/>
      <c r="K967" s="136"/>
      <c r="L967" s="71"/>
      <c r="M967" s="72"/>
      <c r="N967" s="72"/>
      <c r="O967" s="264" t="str">
        <f t="shared" ref="O967:O1000" si="108">IF(G967="対象外経費",M967,IF(N967="","",M967-N967))</f>
        <v/>
      </c>
      <c r="P967" s="230">
        <f t="shared" si="102"/>
        <v>0</v>
      </c>
      <c r="Q967" s="231" t="str">
        <f t="shared" si="105"/>
        <v>×</v>
      </c>
      <c r="R967" s="231" t="str">
        <f t="shared" si="103"/>
        <v>×</v>
      </c>
      <c r="S967" s="232" t="str">
        <f t="shared" si="104"/>
        <v/>
      </c>
    </row>
    <row r="968" spans="2:19">
      <c r="B968" s="68"/>
      <c r="C968" s="57"/>
      <c r="D968" s="259" t="str">
        <f t="shared" si="106"/>
        <v/>
      </c>
      <c r="E968" s="260" t="str">
        <f t="shared" si="107"/>
        <v/>
      </c>
      <c r="F968" s="271" t="str">
        <f>IF(G968="","",VLOOKUP(G968,プルダウン用リスト!$K$1:$M$16,2,FALSE))</f>
        <v/>
      </c>
      <c r="G968" s="70"/>
      <c r="H968" s="58"/>
      <c r="I968" s="70"/>
      <c r="J968" s="135"/>
      <c r="K968" s="136"/>
      <c r="L968" s="71"/>
      <c r="M968" s="72"/>
      <c r="N968" s="72"/>
      <c r="O968" s="264" t="str">
        <f t="shared" si="108"/>
        <v/>
      </c>
      <c r="P968" s="230">
        <f t="shared" ref="P968:P1000" si="109">COUNTA(B968,C968,G968,H968,I968,L968,M968,J968,K968,N968)</f>
        <v>0</v>
      </c>
      <c r="Q968" s="231" t="str">
        <f t="shared" si="105"/>
        <v>×</v>
      </c>
      <c r="R968" s="231" t="str">
        <f t="shared" si="103"/>
        <v>×</v>
      </c>
      <c r="S968" s="232" t="str">
        <f t="shared" si="104"/>
        <v/>
      </c>
    </row>
    <row r="969" spans="2:19">
      <c r="B969" s="68"/>
      <c r="C969" s="57"/>
      <c r="D969" s="259" t="str">
        <f t="shared" si="106"/>
        <v/>
      </c>
      <c r="E969" s="260" t="str">
        <f t="shared" si="107"/>
        <v/>
      </c>
      <c r="F969" s="271" t="str">
        <f>IF(G969="","",VLOOKUP(G969,プルダウン用リスト!$K$1:$M$16,2,FALSE))</f>
        <v/>
      </c>
      <c r="G969" s="70"/>
      <c r="H969" s="70"/>
      <c r="I969" s="70"/>
      <c r="J969" s="135"/>
      <c r="K969" s="136"/>
      <c r="L969" s="71"/>
      <c r="M969" s="72"/>
      <c r="N969" s="72"/>
      <c r="O969" s="264" t="str">
        <f t="shared" si="108"/>
        <v/>
      </c>
      <c r="P969" s="230">
        <f t="shared" si="109"/>
        <v>0</v>
      </c>
      <c r="Q969" s="231" t="str">
        <f t="shared" si="105"/>
        <v>×</v>
      </c>
      <c r="R969" s="231" t="str">
        <f t="shared" ref="R969:R1000" si="110">IF(E969="謝金","〇","×")</f>
        <v>×</v>
      </c>
      <c r="S969" s="232" t="str">
        <f t="shared" ref="S969:S1000" si="111">_xlfn.IFS(P969=0,"",AND(G969="対象外経費",P969=7),"OK",P969&lt;=7,"ピンク色のセルを全て入力してください",P969=9,"OK",Q969="〇","ピンク色のセルを全て入力してください",R969="〇","ピンク色のセルを全て入力してください",P969=8,"OK")</f>
        <v/>
      </c>
    </row>
    <row r="970" spans="2:19">
      <c r="B970" s="68"/>
      <c r="C970" s="57"/>
      <c r="D970" s="259" t="str">
        <f t="shared" si="106"/>
        <v/>
      </c>
      <c r="E970" s="260" t="str">
        <f t="shared" si="107"/>
        <v/>
      </c>
      <c r="F970" s="271" t="str">
        <f>IF(G970="","",VLOOKUP(G970,プルダウン用リスト!$K$1:$M$16,2,FALSE))</f>
        <v/>
      </c>
      <c r="G970" s="70"/>
      <c r="H970" s="58"/>
      <c r="I970" s="70"/>
      <c r="J970" s="135"/>
      <c r="K970" s="136"/>
      <c r="L970" s="71"/>
      <c r="M970" s="72"/>
      <c r="N970" s="72"/>
      <c r="O970" s="264" t="str">
        <f t="shared" si="108"/>
        <v/>
      </c>
      <c r="P970" s="230">
        <f t="shared" si="109"/>
        <v>0</v>
      </c>
      <c r="Q970" s="231" t="str">
        <f t="shared" si="105"/>
        <v>×</v>
      </c>
      <c r="R970" s="231" t="str">
        <f t="shared" si="110"/>
        <v>×</v>
      </c>
      <c r="S970" s="232" t="str">
        <f t="shared" si="111"/>
        <v/>
      </c>
    </row>
    <row r="971" spans="2:19">
      <c r="B971" s="68"/>
      <c r="C971" s="57"/>
      <c r="D971" s="259" t="str">
        <f t="shared" si="106"/>
        <v/>
      </c>
      <c r="E971" s="260" t="str">
        <f t="shared" si="107"/>
        <v/>
      </c>
      <c r="F971" s="271" t="str">
        <f>IF(G971="","",VLOOKUP(G971,プルダウン用リスト!$K$1:$M$16,2,FALSE))</f>
        <v/>
      </c>
      <c r="G971" s="70"/>
      <c r="H971" s="58"/>
      <c r="I971" s="70"/>
      <c r="J971" s="135"/>
      <c r="K971" s="136"/>
      <c r="L971" s="71"/>
      <c r="M971" s="72"/>
      <c r="N971" s="72"/>
      <c r="O971" s="264" t="str">
        <f t="shared" si="108"/>
        <v/>
      </c>
      <c r="P971" s="230">
        <f t="shared" si="109"/>
        <v>0</v>
      </c>
      <c r="Q971" s="231" t="str">
        <f t="shared" si="105"/>
        <v>×</v>
      </c>
      <c r="R971" s="231" t="str">
        <f t="shared" si="110"/>
        <v>×</v>
      </c>
      <c r="S971" s="232" t="str">
        <f t="shared" si="111"/>
        <v/>
      </c>
    </row>
    <row r="972" spans="2:19">
      <c r="B972" s="68"/>
      <c r="C972" s="57"/>
      <c r="D972" s="259" t="str">
        <f t="shared" si="106"/>
        <v/>
      </c>
      <c r="E972" s="260" t="str">
        <f t="shared" si="107"/>
        <v/>
      </c>
      <c r="F972" s="271" t="str">
        <f>IF(G972="","",VLOOKUP(G972,プルダウン用リスト!$K$1:$M$16,2,FALSE))</f>
        <v/>
      </c>
      <c r="G972" s="70"/>
      <c r="H972" s="70"/>
      <c r="I972" s="70"/>
      <c r="J972" s="135"/>
      <c r="K972" s="136"/>
      <c r="L972" s="71"/>
      <c r="M972" s="72"/>
      <c r="N972" s="72"/>
      <c r="O972" s="264" t="str">
        <f t="shared" si="108"/>
        <v/>
      </c>
      <c r="P972" s="230">
        <f t="shared" si="109"/>
        <v>0</v>
      </c>
      <c r="Q972" s="231" t="str">
        <f t="shared" si="105"/>
        <v>×</v>
      </c>
      <c r="R972" s="231" t="str">
        <f t="shared" si="110"/>
        <v>×</v>
      </c>
      <c r="S972" s="232" t="str">
        <f t="shared" si="111"/>
        <v/>
      </c>
    </row>
    <row r="973" spans="2:19">
      <c r="B973" s="68"/>
      <c r="C973" s="57"/>
      <c r="D973" s="259" t="str">
        <f t="shared" si="106"/>
        <v/>
      </c>
      <c r="E973" s="260" t="str">
        <f t="shared" si="107"/>
        <v/>
      </c>
      <c r="F973" s="271" t="str">
        <f>IF(G973="","",VLOOKUP(G973,プルダウン用リスト!$K$1:$M$16,2,FALSE))</f>
        <v/>
      </c>
      <c r="G973" s="70"/>
      <c r="H973" s="58"/>
      <c r="I973" s="70"/>
      <c r="J973" s="135"/>
      <c r="K973" s="136"/>
      <c r="L973" s="71"/>
      <c r="M973" s="72"/>
      <c r="N973" s="72"/>
      <c r="O973" s="264" t="str">
        <f t="shared" si="108"/>
        <v/>
      </c>
      <c r="P973" s="230">
        <f t="shared" si="109"/>
        <v>0</v>
      </c>
      <c r="Q973" s="231" t="str">
        <f t="shared" si="105"/>
        <v>×</v>
      </c>
      <c r="R973" s="231" t="str">
        <f t="shared" si="110"/>
        <v>×</v>
      </c>
      <c r="S973" s="232" t="str">
        <f t="shared" si="111"/>
        <v/>
      </c>
    </row>
    <row r="974" spans="2:19">
      <c r="B974" s="68"/>
      <c r="C974" s="57"/>
      <c r="D974" s="259" t="str">
        <f t="shared" si="106"/>
        <v/>
      </c>
      <c r="E974" s="260" t="str">
        <f t="shared" si="107"/>
        <v/>
      </c>
      <c r="F974" s="271" t="str">
        <f>IF(G974="","",VLOOKUP(G974,プルダウン用リスト!$K$1:$M$16,2,FALSE))</f>
        <v/>
      </c>
      <c r="G974" s="70"/>
      <c r="H974" s="58"/>
      <c r="I974" s="70"/>
      <c r="J974" s="135"/>
      <c r="K974" s="136"/>
      <c r="L974" s="71"/>
      <c r="M974" s="72"/>
      <c r="N974" s="72"/>
      <c r="O974" s="264" t="str">
        <f t="shared" si="108"/>
        <v/>
      </c>
      <c r="P974" s="230">
        <f t="shared" si="109"/>
        <v>0</v>
      </c>
      <c r="Q974" s="231" t="str">
        <f t="shared" si="105"/>
        <v>×</v>
      </c>
      <c r="R974" s="231" t="str">
        <f t="shared" si="110"/>
        <v>×</v>
      </c>
      <c r="S974" s="232" t="str">
        <f t="shared" si="111"/>
        <v/>
      </c>
    </row>
    <row r="975" spans="2:19">
      <c r="B975" s="68"/>
      <c r="C975" s="57"/>
      <c r="D975" s="259" t="str">
        <f t="shared" si="106"/>
        <v/>
      </c>
      <c r="E975" s="260" t="str">
        <f t="shared" si="107"/>
        <v/>
      </c>
      <c r="F975" s="271" t="str">
        <f>IF(G975="","",VLOOKUP(G975,プルダウン用リスト!$K$1:$M$16,2,FALSE))</f>
        <v/>
      </c>
      <c r="G975" s="70"/>
      <c r="H975" s="70"/>
      <c r="I975" s="70"/>
      <c r="J975" s="135"/>
      <c r="K975" s="136"/>
      <c r="L975" s="71"/>
      <c r="M975" s="72"/>
      <c r="N975" s="72"/>
      <c r="O975" s="264" t="str">
        <f t="shared" si="108"/>
        <v/>
      </c>
      <c r="P975" s="230">
        <f t="shared" si="109"/>
        <v>0</v>
      </c>
      <c r="Q975" s="231" t="str">
        <f t="shared" si="105"/>
        <v>×</v>
      </c>
      <c r="R975" s="231" t="str">
        <f t="shared" si="110"/>
        <v>×</v>
      </c>
      <c r="S975" s="232" t="str">
        <f t="shared" si="111"/>
        <v/>
      </c>
    </row>
    <row r="976" spans="2:19">
      <c r="B976" s="68"/>
      <c r="C976" s="57"/>
      <c r="D976" s="259" t="str">
        <f t="shared" si="106"/>
        <v/>
      </c>
      <c r="E976" s="260" t="str">
        <f t="shared" si="107"/>
        <v/>
      </c>
      <c r="F976" s="271" t="str">
        <f>IF(G976="","",VLOOKUP(G976,プルダウン用リスト!$K$1:$M$16,2,FALSE))</f>
        <v/>
      </c>
      <c r="G976" s="70"/>
      <c r="H976" s="58"/>
      <c r="I976" s="70"/>
      <c r="J976" s="135"/>
      <c r="K976" s="136"/>
      <c r="L976" s="71"/>
      <c r="M976" s="72"/>
      <c r="N976" s="72"/>
      <c r="O976" s="264" t="str">
        <f t="shared" si="108"/>
        <v/>
      </c>
      <c r="P976" s="230">
        <f t="shared" si="109"/>
        <v>0</v>
      </c>
      <c r="Q976" s="231" t="str">
        <f t="shared" si="105"/>
        <v>×</v>
      </c>
      <c r="R976" s="231" t="str">
        <f t="shared" si="110"/>
        <v>×</v>
      </c>
      <c r="S976" s="232" t="str">
        <f t="shared" si="111"/>
        <v/>
      </c>
    </row>
    <row r="977" spans="2:19">
      <c r="B977" s="68"/>
      <c r="C977" s="57"/>
      <c r="D977" s="259" t="str">
        <f t="shared" si="106"/>
        <v/>
      </c>
      <c r="E977" s="260" t="str">
        <f t="shared" si="107"/>
        <v/>
      </c>
      <c r="F977" s="271" t="str">
        <f>IF(G977="","",VLOOKUP(G977,プルダウン用リスト!$K$1:$M$16,2,FALSE))</f>
        <v/>
      </c>
      <c r="G977" s="70"/>
      <c r="H977" s="58"/>
      <c r="I977" s="70"/>
      <c r="J977" s="135"/>
      <c r="K977" s="136"/>
      <c r="L977" s="71"/>
      <c r="M977" s="72"/>
      <c r="N977" s="72"/>
      <c r="O977" s="264" t="str">
        <f t="shared" si="108"/>
        <v/>
      </c>
      <c r="P977" s="230">
        <f t="shared" si="109"/>
        <v>0</v>
      </c>
      <c r="Q977" s="231" t="str">
        <f t="shared" si="105"/>
        <v>×</v>
      </c>
      <c r="R977" s="231" t="str">
        <f t="shared" si="110"/>
        <v>×</v>
      </c>
      <c r="S977" s="232" t="str">
        <f t="shared" si="111"/>
        <v/>
      </c>
    </row>
    <row r="978" spans="2:19">
      <c r="B978" s="68"/>
      <c r="C978" s="69"/>
      <c r="D978" s="259" t="str">
        <f t="shared" si="106"/>
        <v/>
      </c>
      <c r="E978" s="260" t="str">
        <f t="shared" si="107"/>
        <v/>
      </c>
      <c r="F978" s="271" t="str">
        <f>IF(G978="","",VLOOKUP(G978,プルダウン用リスト!$K$1:$M$16,2,FALSE))</f>
        <v/>
      </c>
      <c r="G978" s="70"/>
      <c r="H978" s="70"/>
      <c r="I978" s="70"/>
      <c r="J978" s="135"/>
      <c r="K978" s="136"/>
      <c r="L978" s="71"/>
      <c r="M978" s="72"/>
      <c r="N978" s="72"/>
      <c r="O978" s="264" t="str">
        <f t="shared" si="108"/>
        <v/>
      </c>
      <c r="P978" s="230">
        <f t="shared" si="109"/>
        <v>0</v>
      </c>
      <c r="Q978" s="231" t="str">
        <f t="shared" si="105"/>
        <v>×</v>
      </c>
      <c r="R978" s="231" t="str">
        <f t="shared" si="110"/>
        <v>×</v>
      </c>
      <c r="S978" s="232" t="str">
        <f t="shared" si="111"/>
        <v/>
      </c>
    </row>
    <row r="979" spans="2:19">
      <c r="B979" s="68"/>
      <c r="C979" s="57"/>
      <c r="D979" s="259" t="str">
        <f t="shared" si="106"/>
        <v/>
      </c>
      <c r="E979" s="260" t="str">
        <f t="shared" si="107"/>
        <v/>
      </c>
      <c r="F979" s="271" t="str">
        <f>IF(G979="","",VLOOKUP(G979,プルダウン用リスト!$K$1:$M$16,2,FALSE))</f>
        <v/>
      </c>
      <c r="G979" s="70"/>
      <c r="H979" s="58"/>
      <c r="I979" s="70"/>
      <c r="J979" s="135"/>
      <c r="K979" s="136"/>
      <c r="L979" s="71"/>
      <c r="M979" s="72"/>
      <c r="N979" s="72"/>
      <c r="O979" s="264" t="str">
        <f t="shared" si="108"/>
        <v/>
      </c>
      <c r="P979" s="230">
        <f t="shared" si="109"/>
        <v>0</v>
      </c>
      <c r="Q979" s="231" t="str">
        <f t="shared" si="105"/>
        <v>×</v>
      </c>
      <c r="R979" s="231" t="str">
        <f t="shared" si="110"/>
        <v>×</v>
      </c>
      <c r="S979" s="232" t="str">
        <f t="shared" si="111"/>
        <v/>
      </c>
    </row>
    <row r="980" spans="2:19">
      <c r="B980" s="68"/>
      <c r="C980" s="57"/>
      <c r="D980" s="259" t="str">
        <f t="shared" si="106"/>
        <v/>
      </c>
      <c r="E980" s="260" t="str">
        <f t="shared" si="107"/>
        <v/>
      </c>
      <c r="F980" s="271" t="str">
        <f>IF(G980="","",VLOOKUP(G980,プルダウン用リスト!$K$1:$M$16,2,FALSE))</f>
        <v/>
      </c>
      <c r="G980" s="70"/>
      <c r="H980" s="58"/>
      <c r="I980" s="70"/>
      <c r="J980" s="135"/>
      <c r="K980" s="136"/>
      <c r="L980" s="71"/>
      <c r="M980" s="72"/>
      <c r="N980" s="72"/>
      <c r="O980" s="264" t="str">
        <f t="shared" si="108"/>
        <v/>
      </c>
      <c r="P980" s="230">
        <f t="shared" si="109"/>
        <v>0</v>
      </c>
      <c r="Q980" s="231" t="str">
        <f t="shared" si="105"/>
        <v>×</v>
      </c>
      <c r="R980" s="231" t="str">
        <f t="shared" si="110"/>
        <v>×</v>
      </c>
      <c r="S980" s="232" t="str">
        <f t="shared" si="111"/>
        <v/>
      </c>
    </row>
    <row r="981" spans="2:19">
      <c r="B981" s="68"/>
      <c r="C981" s="57"/>
      <c r="D981" s="259" t="str">
        <f t="shared" si="106"/>
        <v/>
      </c>
      <c r="E981" s="260" t="str">
        <f t="shared" si="107"/>
        <v/>
      </c>
      <c r="F981" s="271" t="str">
        <f>IF(G981="","",VLOOKUP(G981,プルダウン用リスト!$K$1:$M$16,2,FALSE))</f>
        <v/>
      </c>
      <c r="G981" s="70"/>
      <c r="H981" s="70"/>
      <c r="I981" s="70"/>
      <c r="J981" s="135"/>
      <c r="K981" s="136"/>
      <c r="L981" s="71"/>
      <c r="M981" s="72"/>
      <c r="N981" s="72"/>
      <c r="O981" s="264" t="str">
        <f t="shared" si="108"/>
        <v/>
      </c>
      <c r="P981" s="230">
        <f t="shared" si="109"/>
        <v>0</v>
      </c>
      <c r="Q981" s="231" t="str">
        <f t="shared" si="105"/>
        <v>×</v>
      </c>
      <c r="R981" s="231" t="str">
        <f t="shared" si="110"/>
        <v>×</v>
      </c>
      <c r="S981" s="232" t="str">
        <f t="shared" si="111"/>
        <v/>
      </c>
    </row>
    <row r="982" spans="2:19">
      <c r="B982" s="68"/>
      <c r="C982" s="57"/>
      <c r="D982" s="259" t="str">
        <f t="shared" si="106"/>
        <v/>
      </c>
      <c r="E982" s="260" t="str">
        <f t="shared" si="107"/>
        <v/>
      </c>
      <c r="F982" s="271" t="str">
        <f>IF(G982="","",VLOOKUP(G982,プルダウン用リスト!$K$1:$M$16,2,FALSE))</f>
        <v/>
      </c>
      <c r="G982" s="70"/>
      <c r="H982" s="58"/>
      <c r="I982" s="70"/>
      <c r="J982" s="135"/>
      <c r="K982" s="136"/>
      <c r="L982" s="71"/>
      <c r="M982" s="72"/>
      <c r="N982" s="72"/>
      <c r="O982" s="264" t="str">
        <f t="shared" si="108"/>
        <v/>
      </c>
      <c r="P982" s="230">
        <f t="shared" si="109"/>
        <v>0</v>
      </c>
      <c r="Q982" s="231" t="str">
        <f t="shared" si="105"/>
        <v>×</v>
      </c>
      <c r="R982" s="231" t="str">
        <f t="shared" si="110"/>
        <v>×</v>
      </c>
      <c r="S982" s="232" t="str">
        <f t="shared" si="111"/>
        <v/>
      </c>
    </row>
    <row r="983" spans="2:19">
      <c r="B983" s="68"/>
      <c r="C983" s="57"/>
      <c r="D983" s="259" t="str">
        <f t="shared" si="106"/>
        <v/>
      </c>
      <c r="E983" s="260" t="str">
        <f t="shared" si="107"/>
        <v/>
      </c>
      <c r="F983" s="271" t="str">
        <f>IF(G983="","",VLOOKUP(G983,プルダウン用リスト!$K$1:$M$16,2,FALSE))</f>
        <v/>
      </c>
      <c r="G983" s="70"/>
      <c r="H983" s="58"/>
      <c r="I983" s="70"/>
      <c r="J983" s="135"/>
      <c r="K983" s="136"/>
      <c r="L983" s="71"/>
      <c r="M983" s="72"/>
      <c r="N983" s="72"/>
      <c r="O983" s="264" t="str">
        <f t="shared" si="108"/>
        <v/>
      </c>
      <c r="P983" s="230">
        <f t="shared" si="109"/>
        <v>0</v>
      </c>
      <c r="Q983" s="231" t="str">
        <f t="shared" si="105"/>
        <v>×</v>
      </c>
      <c r="R983" s="231" t="str">
        <f t="shared" si="110"/>
        <v>×</v>
      </c>
      <c r="S983" s="232" t="str">
        <f t="shared" si="111"/>
        <v/>
      </c>
    </row>
    <row r="984" spans="2:19">
      <c r="B984" s="68"/>
      <c r="C984" s="57"/>
      <c r="D984" s="259" t="str">
        <f t="shared" si="106"/>
        <v/>
      </c>
      <c r="E984" s="260" t="str">
        <f t="shared" si="107"/>
        <v/>
      </c>
      <c r="F984" s="271" t="str">
        <f>IF(G984="","",VLOOKUP(G984,プルダウン用リスト!$K$1:$M$16,2,FALSE))</f>
        <v/>
      </c>
      <c r="G984" s="70"/>
      <c r="H984" s="70"/>
      <c r="I984" s="70"/>
      <c r="J984" s="135"/>
      <c r="K984" s="136"/>
      <c r="L984" s="71"/>
      <c r="M984" s="72"/>
      <c r="N984" s="72"/>
      <c r="O984" s="264" t="str">
        <f t="shared" si="108"/>
        <v/>
      </c>
      <c r="P984" s="230">
        <f t="shared" si="109"/>
        <v>0</v>
      </c>
      <c r="Q984" s="231" t="str">
        <f t="shared" si="105"/>
        <v>×</v>
      </c>
      <c r="R984" s="231" t="str">
        <f t="shared" si="110"/>
        <v>×</v>
      </c>
      <c r="S984" s="232" t="str">
        <f t="shared" si="111"/>
        <v/>
      </c>
    </row>
    <row r="985" spans="2:19">
      <c r="B985" s="68"/>
      <c r="C985" s="57"/>
      <c r="D985" s="259" t="str">
        <f t="shared" si="106"/>
        <v/>
      </c>
      <c r="E985" s="260" t="str">
        <f t="shared" si="107"/>
        <v/>
      </c>
      <c r="F985" s="271" t="str">
        <f>IF(G985="","",VLOOKUP(G985,プルダウン用リスト!$K$1:$M$16,2,FALSE))</f>
        <v/>
      </c>
      <c r="G985" s="70"/>
      <c r="H985" s="58"/>
      <c r="I985" s="70"/>
      <c r="J985" s="135"/>
      <c r="K985" s="136"/>
      <c r="L985" s="71"/>
      <c r="M985" s="72"/>
      <c r="N985" s="72"/>
      <c r="O985" s="264" t="str">
        <f t="shared" si="108"/>
        <v/>
      </c>
      <c r="P985" s="230">
        <f t="shared" si="109"/>
        <v>0</v>
      </c>
      <c r="Q985" s="231" t="str">
        <f t="shared" si="105"/>
        <v>×</v>
      </c>
      <c r="R985" s="231" t="str">
        <f t="shared" si="110"/>
        <v>×</v>
      </c>
      <c r="S985" s="232" t="str">
        <f t="shared" si="111"/>
        <v/>
      </c>
    </row>
    <row r="986" spans="2:19">
      <c r="B986" s="68"/>
      <c r="C986" s="57"/>
      <c r="D986" s="259" t="str">
        <f t="shared" si="106"/>
        <v/>
      </c>
      <c r="E986" s="260" t="str">
        <f t="shared" si="107"/>
        <v/>
      </c>
      <c r="F986" s="271" t="str">
        <f>IF(G986="","",VLOOKUP(G986,プルダウン用リスト!$K$1:$M$16,2,FALSE))</f>
        <v/>
      </c>
      <c r="G986" s="70"/>
      <c r="H986" s="58"/>
      <c r="I986" s="70"/>
      <c r="J986" s="135"/>
      <c r="K986" s="136"/>
      <c r="L986" s="71"/>
      <c r="M986" s="72"/>
      <c r="N986" s="72"/>
      <c r="O986" s="264" t="str">
        <f t="shared" si="108"/>
        <v/>
      </c>
      <c r="P986" s="230">
        <f t="shared" si="109"/>
        <v>0</v>
      </c>
      <c r="Q986" s="231" t="str">
        <f t="shared" si="105"/>
        <v>×</v>
      </c>
      <c r="R986" s="231" t="str">
        <f t="shared" si="110"/>
        <v>×</v>
      </c>
      <c r="S986" s="232" t="str">
        <f t="shared" si="111"/>
        <v/>
      </c>
    </row>
    <row r="987" spans="2:19">
      <c r="B987" s="68"/>
      <c r="C987" s="57"/>
      <c r="D987" s="259" t="str">
        <f t="shared" si="106"/>
        <v/>
      </c>
      <c r="E987" s="260" t="str">
        <f t="shared" si="107"/>
        <v/>
      </c>
      <c r="F987" s="271" t="str">
        <f>IF(G987="","",VLOOKUP(G987,プルダウン用リスト!$K$1:$M$16,2,FALSE))</f>
        <v/>
      </c>
      <c r="G987" s="70"/>
      <c r="H987" s="70"/>
      <c r="I987" s="70"/>
      <c r="J987" s="135"/>
      <c r="K987" s="136"/>
      <c r="L987" s="71"/>
      <c r="M987" s="72"/>
      <c r="N987" s="72"/>
      <c r="O987" s="264" t="str">
        <f t="shared" si="108"/>
        <v/>
      </c>
      <c r="P987" s="230">
        <f t="shared" si="109"/>
        <v>0</v>
      </c>
      <c r="Q987" s="231" t="str">
        <f t="shared" si="105"/>
        <v>×</v>
      </c>
      <c r="R987" s="231" t="str">
        <f t="shared" si="110"/>
        <v>×</v>
      </c>
      <c r="S987" s="232" t="str">
        <f t="shared" si="111"/>
        <v/>
      </c>
    </row>
    <row r="988" spans="2:19">
      <c r="B988" s="68"/>
      <c r="C988" s="57"/>
      <c r="D988" s="259" t="str">
        <f t="shared" si="106"/>
        <v/>
      </c>
      <c r="E988" s="260" t="str">
        <f t="shared" si="107"/>
        <v/>
      </c>
      <c r="F988" s="271" t="str">
        <f>IF(G988="","",VLOOKUP(G988,プルダウン用リスト!$K$1:$M$16,2,FALSE))</f>
        <v/>
      </c>
      <c r="G988" s="70"/>
      <c r="H988" s="58"/>
      <c r="I988" s="70"/>
      <c r="J988" s="135"/>
      <c r="K988" s="136"/>
      <c r="L988" s="71"/>
      <c r="M988" s="72"/>
      <c r="N988" s="72"/>
      <c r="O988" s="264" t="str">
        <f t="shared" si="108"/>
        <v/>
      </c>
      <c r="P988" s="230">
        <f t="shared" si="109"/>
        <v>0</v>
      </c>
      <c r="Q988" s="231" t="str">
        <f t="shared" si="105"/>
        <v>×</v>
      </c>
      <c r="R988" s="231" t="str">
        <f t="shared" si="110"/>
        <v>×</v>
      </c>
      <c r="S988" s="232" t="str">
        <f t="shared" si="111"/>
        <v/>
      </c>
    </row>
    <row r="989" spans="2:19">
      <c r="B989" s="68"/>
      <c r="C989" s="57"/>
      <c r="D989" s="259" t="str">
        <f t="shared" si="106"/>
        <v/>
      </c>
      <c r="E989" s="260" t="str">
        <f t="shared" si="107"/>
        <v/>
      </c>
      <c r="F989" s="271" t="str">
        <f>IF(G989="","",VLOOKUP(G989,プルダウン用リスト!$K$1:$M$16,2,FALSE))</f>
        <v/>
      </c>
      <c r="G989" s="70"/>
      <c r="H989" s="58"/>
      <c r="I989" s="70"/>
      <c r="J989" s="135"/>
      <c r="K989" s="136"/>
      <c r="L989" s="71"/>
      <c r="M989" s="72"/>
      <c r="N989" s="72"/>
      <c r="O989" s="264" t="str">
        <f t="shared" si="108"/>
        <v/>
      </c>
      <c r="P989" s="230">
        <f t="shared" si="109"/>
        <v>0</v>
      </c>
      <c r="Q989" s="231" t="str">
        <f t="shared" si="105"/>
        <v>×</v>
      </c>
      <c r="R989" s="231" t="str">
        <f t="shared" si="110"/>
        <v>×</v>
      </c>
      <c r="S989" s="232" t="str">
        <f t="shared" si="111"/>
        <v/>
      </c>
    </row>
    <row r="990" spans="2:19">
      <c r="B990" s="68"/>
      <c r="C990" s="69"/>
      <c r="D990" s="259" t="str">
        <f t="shared" si="106"/>
        <v/>
      </c>
      <c r="E990" s="260" t="str">
        <f t="shared" si="107"/>
        <v/>
      </c>
      <c r="F990" s="271" t="str">
        <f>IF(G990="","",VLOOKUP(G990,プルダウン用リスト!$K$1:$M$16,2,FALSE))</f>
        <v/>
      </c>
      <c r="G990" s="70"/>
      <c r="H990" s="70"/>
      <c r="I990" s="70"/>
      <c r="J990" s="135"/>
      <c r="K990" s="136"/>
      <c r="L990" s="71"/>
      <c r="M990" s="72"/>
      <c r="N990" s="72"/>
      <c r="O990" s="264" t="str">
        <f t="shared" si="108"/>
        <v/>
      </c>
      <c r="P990" s="230">
        <f t="shared" si="109"/>
        <v>0</v>
      </c>
      <c r="Q990" s="231" t="str">
        <f t="shared" si="105"/>
        <v>×</v>
      </c>
      <c r="R990" s="231" t="str">
        <f t="shared" si="110"/>
        <v>×</v>
      </c>
      <c r="S990" s="232" t="str">
        <f t="shared" si="111"/>
        <v/>
      </c>
    </row>
    <row r="991" spans="2:19">
      <c r="B991" s="68"/>
      <c r="C991" s="57"/>
      <c r="D991" s="259" t="str">
        <f t="shared" si="106"/>
        <v/>
      </c>
      <c r="E991" s="260" t="str">
        <f t="shared" si="107"/>
        <v/>
      </c>
      <c r="F991" s="271" t="str">
        <f>IF(G991="","",VLOOKUP(G991,プルダウン用リスト!$K$1:$M$16,2,FALSE))</f>
        <v/>
      </c>
      <c r="G991" s="70"/>
      <c r="H991" s="58"/>
      <c r="I991" s="70"/>
      <c r="J991" s="135"/>
      <c r="K991" s="136"/>
      <c r="L991" s="71"/>
      <c r="M991" s="72"/>
      <c r="N991" s="72"/>
      <c r="O991" s="264" t="str">
        <f t="shared" si="108"/>
        <v/>
      </c>
      <c r="P991" s="230">
        <f t="shared" si="109"/>
        <v>0</v>
      </c>
      <c r="Q991" s="231" t="str">
        <f t="shared" si="105"/>
        <v>×</v>
      </c>
      <c r="R991" s="231" t="str">
        <f t="shared" si="110"/>
        <v>×</v>
      </c>
      <c r="S991" s="232" t="str">
        <f t="shared" si="111"/>
        <v/>
      </c>
    </row>
    <row r="992" spans="2:19">
      <c r="B992" s="68"/>
      <c r="C992" s="57"/>
      <c r="D992" s="259" t="str">
        <f t="shared" si="106"/>
        <v/>
      </c>
      <c r="E992" s="260" t="str">
        <f t="shared" si="107"/>
        <v/>
      </c>
      <c r="F992" s="271" t="str">
        <f>IF(G992="","",VLOOKUP(G992,プルダウン用リスト!$K$1:$M$16,2,FALSE))</f>
        <v/>
      </c>
      <c r="G992" s="70"/>
      <c r="H992" s="58"/>
      <c r="I992" s="70"/>
      <c r="J992" s="135"/>
      <c r="K992" s="136"/>
      <c r="L992" s="71"/>
      <c r="M992" s="72"/>
      <c r="N992" s="72"/>
      <c r="O992" s="264" t="str">
        <f t="shared" si="108"/>
        <v/>
      </c>
      <c r="P992" s="230">
        <f t="shared" si="109"/>
        <v>0</v>
      </c>
      <c r="Q992" s="231" t="str">
        <f t="shared" si="105"/>
        <v>×</v>
      </c>
      <c r="R992" s="231" t="str">
        <f t="shared" si="110"/>
        <v>×</v>
      </c>
      <c r="S992" s="232" t="str">
        <f t="shared" si="111"/>
        <v/>
      </c>
    </row>
    <row r="993" spans="2:19">
      <c r="B993" s="68"/>
      <c r="C993" s="57"/>
      <c r="D993" s="259" t="str">
        <f t="shared" si="106"/>
        <v/>
      </c>
      <c r="E993" s="260" t="str">
        <f t="shared" si="107"/>
        <v/>
      </c>
      <c r="F993" s="271" t="str">
        <f>IF(G993="","",VLOOKUP(G993,プルダウン用リスト!$K$1:$M$16,2,FALSE))</f>
        <v/>
      </c>
      <c r="G993" s="70"/>
      <c r="H993" s="70"/>
      <c r="I993" s="70"/>
      <c r="J993" s="135"/>
      <c r="K993" s="136"/>
      <c r="L993" s="71"/>
      <c r="M993" s="72"/>
      <c r="N993" s="72"/>
      <c r="O993" s="264" t="str">
        <f t="shared" si="108"/>
        <v/>
      </c>
      <c r="P993" s="230">
        <f t="shared" si="109"/>
        <v>0</v>
      </c>
      <c r="Q993" s="231" t="str">
        <f t="shared" si="105"/>
        <v>×</v>
      </c>
      <c r="R993" s="231" t="str">
        <f t="shared" si="110"/>
        <v>×</v>
      </c>
      <c r="S993" s="232" t="str">
        <f t="shared" si="111"/>
        <v/>
      </c>
    </row>
    <row r="994" spans="2:19">
      <c r="B994" s="68"/>
      <c r="C994" s="57"/>
      <c r="D994" s="259" t="str">
        <f t="shared" si="106"/>
        <v/>
      </c>
      <c r="E994" s="260" t="str">
        <f t="shared" si="107"/>
        <v/>
      </c>
      <c r="F994" s="271" t="str">
        <f>IF(G994="","",VLOOKUP(G994,プルダウン用リスト!$K$1:$M$16,2,FALSE))</f>
        <v/>
      </c>
      <c r="G994" s="70"/>
      <c r="H994" s="58"/>
      <c r="I994" s="70"/>
      <c r="J994" s="135"/>
      <c r="K994" s="136"/>
      <c r="L994" s="71"/>
      <c r="M994" s="72"/>
      <c r="N994" s="72"/>
      <c r="O994" s="264" t="str">
        <f t="shared" si="108"/>
        <v/>
      </c>
      <c r="P994" s="230">
        <f t="shared" si="109"/>
        <v>0</v>
      </c>
      <c r="Q994" s="231" t="str">
        <f t="shared" si="105"/>
        <v>×</v>
      </c>
      <c r="R994" s="231" t="str">
        <f t="shared" si="110"/>
        <v>×</v>
      </c>
      <c r="S994" s="232" t="str">
        <f t="shared" si="111"/>
        <v/>
      </c>
    </row>
    <row r="995" spans="2:19">
      <c r="B995" s="68"/>
      <c r="C995" s="57"/>
      <c r="D995" s="259" t="str">
        <f t="shared" si="106"/>
        <v/>
      </c>
      <c r="E995" s="260" t="str">
        <f t="shared" si="107"/>
        <v/>
      </c>
      <c r="F995" s="271" t="str">
        <f>IF(G995="","",VLOOKUP(G995,プルダウン用リスト!$K$1:$M$16,2,FALSE))</f>
        <v/>
      </c>
      <c r="G995" s="70"/>
      <c r="H995" s="58"/>
      <c r="I995" s="70"/>
      <c r="J995" s="135"/>
      <c r="K995" s="136"/>
      <c r="L995" s="71"/>
      <c r="M995" s="72"/>
      <c r="N995" s="72"/>
      <c r="O995" s="264" t="str">
        <f t="shared" si="108"/>
        <v/>
      </c>
      <c r="P995" s="230">
        <f t="shared" si="109"/>
        <v>0</v>
      </c>
      <c r="Q995" s="231" t="str">
        <f t="shared" si="105"/>
        <v>×</v>
      </c>
      <c r="R995" s="231" t="str">
        <f t="shared" si="110"/>
        <v>×</v>
      </c>
      <c r="S995" s="232" t="str">
        <f t="shared" si="111"/>
        <v/>
      </c>
    </row>
    <row r="996" spans="2:19">
      <c r="B996" s="68"/>
      <c r="C996" s="57"/>
      <c r="D996" s="259" t="str">
        <f t="shared" si="106"/>
        <v/>
      </c>
      <c r="E996" s="260" t="str">
        <f t="shared" si="107"/>
        <v/>
      </c>
      <c r="F996" s="271" t="str">
        <f>IF(G996="","",VLOOKUP(G996,プルダウン用リスト!$K$1:$M$16,2,FALSE))</f>
        <v/>
      </c>
      <c r="G996" s="70"/>
      <c r="H996" s="70"/>
      <c r="I996" s="70"/>
      <c r="J996" s="135"/>
      <c r="K996" s="136"/>
      <c r="L996" s="71"/>
      <c r="M996" s="72"/>
      <c r="N996" s="72"/>
      <c r="O996" s="264" t="str">
        <f t="shared" si="108"/>
        <v/>
      </c>
      <c r="P996" s="230">
        <f t="shared" si="109"/>
        <v>0</v>
      </c>
      <c r="Q996" s="231" t="str">
        <f t="shared" si="105"/>
        <v>×</v>
      </c>
      <c r="R996" s="231" t="str">
        <f t="shared" si="110"/>
        <v>×</v>
      </c>
      <c r="S996" s="232" t="str">
        <f t="shared" si="111"/>
        <v/>
      </c>
    </row>
    <row r="997" spans="2:19">
      <c r="B997" s="68"/>
      <c r="C997" s="57"/>
      <c r="D997" s="259" t="str">
        <f t="shared" si="106"/>
        <v/>
      </c>
      <c r="E997" s="260" t="str">
        <f t="shared" si="107"/>
        <v/>
      </c>
      <c r="F997" s="271" t="str">
        <f>IF(G997="","",VLOOKUP(G997,プルダウン用リスト!$K$1:$M$16,2,FALSE))</f>
        <v/>
      </c>
      <c r="G997" s="70"/>
      <c r="H997" s="58"/>
      <c r="I997" s="70"/>
      <c r="J997" s="135"/>
      <c r="K997" s="136"/>
      <c r="L997" s="71"/>
      <c r="M997" s="72"/>
      <c r="N997" s="72"/>
      <c r="O997" s="264" t="str">
        <f t="shared" si="108"/>
        <v/>
      </c>
      <c r="P997" s="230">
        <f t="shared" si="109"/>
        <v>0</v>
      </c>
      <c r="Q997" s="231" t="str">
        <f t="shared" si="105"/>
        <v>×</v>
      </c>
      <c r="R997" s="231" t="str">
        <f t="shared" si="110"/>
        <v>×</v>
      </c>
      <c r="S997" s="232" t="str">
        <f t="shared" si="111"/>
        <v/>
      </c>
    </row>
    <row r="998" spans="2:19">
      <c r="B998" s="68"/>
      <c r="C998" s="57"/>
      <c r="D998" s="259" t="str">
        <f t="shared" si="106"/>
        <v/>
      </c>
      <c r="E998" s="260" t="str">
        <f t="shared" si="107"/>
        <v/>
      </c>
      <c r="F998" s="271" t="str">
        <f>IF(G998="","",VLOOKUP(G998,プルダウン用リスト!$K$1:$M$16,2,FALSE))</f>
        <v/>
      </c>
      <c r="G998" s="70"/>
      <c r="H998" s="58"/>
      <c r="I998" s="70"/>
      <c r="J998" s="135"/>
      <c r="K998" s="136"/>
      <c r="L998" s="71"/>
      <c r="M998" s="72"/>
      <c r="N998" s="72"/>
      <c r="O998" s="264" t="str">
        <f t="shared" si="108"/>
        <v/>
      </c>
      <c r="P998" s="230">
        <f t="shared" si="109"/>
        <v>0</v>
      </c>
      <c r="Q998" s="231" t="str">
        <f t="shared" si="105"/>
        <v>×</v>
      </c>
      <c r="R998" s="231" t="str">
        <f t="shared" si="110"/>
        <v>×</v>
      </c>
      <c r="S998" s="232" t="str">
        <f t="shared" si="111"/>
        <v/>
      </c>
    </row>
    <row r="999" spans="2:19">
      <c r="B999" s="68"/>
      <c r="C999" s="57"/>
      <c r="D999" s="259" t="str">
        <f t="shared" si="106"/>
        <v/>
      </c>
      <c r="E999" s="260" t="str">
        <f t="shared" si="107"/>
        <v/>
      </c>
      <c r="F999" s="271" t="str">
        <f>IF(G999="","",VLOOKUP(G999,プルダウン用リスト!$K$1:$M$16,2,FALSE))</f>
        <v/>
      </c>
      <c r="G999" s="70"/>
      <c r="H999" s="70"/>
      <c r="I999" s="70"/>
      <c r="J999" s="135"/>
      <c r="K999" s="136"/>
      <c r="L999" s="71"/>
      <c r="M999" s="72"/>
      <c r="N999" s="72"/>
      <c r="O999" s="264" t="str">
        <f t="shared" si="108"/>
        <v/>
      </c>
      <c r="P999" s="230">
        <f t="shared" si="109"/>
        <v>0</v>
      </c>
      <c r="Q999" s="231" t="str">
        <f t="shared" si="105"/>
        <v>×</v>
      </c>
      <c r="R999" s="231" t="str">
        <f t="shared" si="110"/>
        <v>×</v>
      </c>
      <c r="S999" s="232" t="str">
        <f t="shared" si="111"/>
        <v/>
      </c>
    </row>
    <row r="1000" spans="2:19" ht="19.5" thickBot="1">
      <c r="B1000" s="159"/>
      <c r="C1000" s="160"/>
      <c r="D1000" s="261" t="str">
        <f t="shared" si="106"/>
        <v/>
      </c>
      <c r="E1000" s="262" t="str">
        <f t="shared" si="107"/>
        <v/>
      </c>
      <c r="F1000" s="272" t="str">
        <f>IF(G1000="","",VLOOKUP(G1000,プルダウン用リスト!$K$1:$M$16,2,FALSE))</f>
        <v/>
      </c>
      <c r="G1000" s="161"/>
      <c r="H1000" s="161"/>
      <c r="I1000" s="161"/>
      <c r="J1000" s="162"/>
      <c r="K1000" s="162"/>
      <c r="L1000" s="163"/>
      <c r="M1000" s="175"/>
      <c r="N1000" s="215"/>
      <c r="O1000" s="265" t="str">
        <f t="shared" si="108"/>
        <v/>
      </c>
      <c r="P1000" s="230">
        <f t="shared" si="109"/>
        <v>0</v>
      </c>
      <c r="Q1000" s="231" t="str">
        <f t="shared" si="105"/>
        <v>×</v>
      </c>
      <c r="R1000" s="231" t="str">
        <f t="shared" si="110"/>
        <v>×</v>
      </c>
      <c r="S1000" s="289" t="str">
        <f t="shared" si="111"/>
        <v/>
      </c>
    </row>
    <row r="1001" spans="2:19" ht="28.5" customHeight="1">
      <c r="D1001" s="134" t="s">
        <v>146</v>
      </c>
      <c r="E1001" s="56" t="s">
        <v>143</v>
      </c>
      <c r="F1001" s="172"/>
      <c r="G1001" s="56" t="s">
        <v>190</v>
      </c>
      <c r="H1001" s="178"/>
      <c r="I1001" s="178"/>
      <c r="J1001" s="242"/>
      <c r="K1001" s="133"/>
      <c r="L1001" s="167" t="s">
        <v>151</v>
      </c>
      <c r="M1001" s="168">
        <f>SUMIFS($M$6:$M$1000,$D$6:$D$1000,"01.")</f>
        <v>0</v>
      </c>
      <c r="N1001" s="168">
        <f>SUMIFS($N$6:$N$1000,$D$6:$D$1000,"01")</f>
        <v>0</v>
      </c>
      <c r="O1001" s="169">
        <f>SUMIFS($O$6:$O$1000,$D$6:$D$1000,"01")</f>
        <v>0</v>
      </c>
      <c r="P1001" s="221"/>
      <c r="Q1001" s="221"/>
      <c r="R1001" s="233"/>
      <c r="S1001" s="233"/>
    </row>
    <row r="1002" spans="2:19" ht="28.5" customHeight="1">
      <c r="D1002" s="134" t="s">
        <v>147</v>
      </c>
      <c r="E1002" s="56" t="s">
        <v>144</v>
      </c>
      <c r="F1002" s="172"/>
      <c r="G1002" s="56" t="s">
        <v>191</v>
      </c>
      <c r="H1002" s="178"/>
      <c r="I1002" s="178"/>
      <c r="J1002" s="242"/>
      <c r="K1002" s="133"/>
      <c r="L1002" s="167" t="s">
        <v>152</v>
      </c>
      <c r="M1002" s="170">
        <f>SUMIFS($M$6:$M$1000,$D$6:$D$1000,"02.")</f>
        <v>0</v>
      </c>
      <c r="N1002" s="170">
        <f>SUMIFS($N$6:$N$1000,$D$6:$D$1000,"02.")</f>
        <v>0</v>
      </c>
      <c r="O1002" s="171">
        <f>SUMIFS($O$6:$O$1000,$D$6:$D$1000,"02")</f>
        <v>0</v>
      </c>
      <c r="P1002" s="221"/>
      <c r="Q1002" s="221"/>
      <c r="R1002" s="233"/>
      <c r="S1002" s="233"/>
    </row>
    <row r="1003" spans="2:19" ht="28.5" customHeight="1">
      <c r="D1003" s="134" t="s">
        <v>148</v>
      </c>
      <c r="E1003" s="56" t="s">
        <v>145</v>
      </c>
      <c r="F1003" s="172"/>
      <c r="G1003" s="56" t="s">
        <v>192</v>
      </c>
      <c r="H1003" s="178"/>
      <c r="I1003" s="178"/>
      <c r="J1003" s="242"/>
      <c r="K1003" s="133"/>
      <c r="L1003" s="167" t="s">
        <v>153</v>
      </c>
      <c r="M1003" s="170">
        <f>SUMIFS($M$6:$M$1000,$D$6:$D$1000,"03.")</f>
        <v>0</v>
      </c>
      <c r="N1003" s="170">
        <f>SUMIFS($N$6:$N$1000,$D$6:$D$1000,"03.")</f>
        <v>0</v>
      </c>
      <c r="O1003" s="171">
        <f>SUMIFS($O$6:$O$1000,$D$6:$D$1000,"03")</f>
        <v>0</v>
      </c>
      <c r="P1003" s="221"/>
      <c r="Q1003" s="221"/>
      <c r="R1003" s="233"/>
      <c r="S1003" s="233"/>
    </row>
    <row r="1004" spans="2:19" ht="28.5" customHeight="1">
      <c r="D1004" s="134" t="s">
        <v>149</v>
      </c>
      <c r="E1004" s="39" t="s">
        <v>150</v>
      </c>
      <c r="F1004" s="172"/>
      <c r="G1004" s="39" t="s">
        <v>193</v>
      </c>
      <c r="H1004" s="178"/>
      <c r="I1004" s="178"/>
      <c r="J1004" s="242"/>
      <c r="K1004" s="133"/>
      <c r="L1004" s="167" t="s">
        <v>154</v>
      </c>
      <c r="M1004" s="170">
        <f>SUMIFS($M$6:$M$1000,$D$6:$D$1000,"04.")</f>
        <v>0</v>
      </c>
      <c r="N1004" s="170">
        <f>SUMIFS($N$6:$N$1000,$D$6:$D$1000,"04.")</f>
        <v>0</v>
      </c>
      <c r="O1004" s="171">
        <f>SUMIFS($O$6:$O$1000,$D$6:$D$1000,"04")</f>
        <v>0</v>
      </c>
      <c r="P1004" s="221"/>
      <c r="Q1004" s="221"/>
      <c r="R1004" s="233"/>
      <c r="S1004" s="233"/>
    </row>
    <row r="1005" spans="2:19" ht="28.5" customHeight="1">
      <c r="D1005" s="134"/>
      <c r="E1005" s="39"/>
      <c r="H1005" s="178"/>
      <c r="I1005" s="178"/>
      <c r="J1005" s="242"/>
      <c r="K1005" s="133" t="s">
        <v>264</v>
      </c>
      <c r="L1005" s="167" t="s">
        <v>189</v>
      </c>
      <c r="M1005" s="170">
        <f>SUM($M$1001:$M$1004)</f>
        <v>0</v>
      </c>
      <c r="N1005" s="170">
        <f>SUM($N$1001:$N$1004)</f>
        <v>0</v>
      </c>
      <c r="O1005" s="170">
        <f>SUM($O$1001:$O$1004)</f>
        <v>0</v>
      </c>
      <c r="P1005" s="222"/>
      <c r="Q1005" s="222"/>
      <c r="R1005" s="234"/>
      <c r="S1005" s="234"/>
    </row>
    <row r="1006" spans="2:19">
      <c r="J1006" s="252"/>
    </row>
  </sheetData>
  <sheetProtection algorithmName="SHA-512" hashValue="dIFmPFzcT2Q1kAUEJAS5zoH5zmxrQvMZ2DhVD3C4CHkegJZR5jhqXo5K0fcKxXmtz86Y6wdu3EuiL9GBowQ5pg==" saltValue="D0ec2HUTDsElO+N7Q9Th/w==" spinCount="100000" sheet="1" autoFilter="0"/>
  <protectedRanges>
    <protectedRange sqref="M6:N1000" name="範囲1"/>
  </protectedRanges>
  <autoFilter ref="B5:O1005" xr:uid="{5CC1EA66-E578-481D-9F65-B497098D491E}">
    <filterColumn colId="2" showButton="0"/>
  </autoFilter>
  <dataConsolidate/>
  <mergeCells count="2">
    <mergeCell ref="D5:E5"/>
    <mergeCell ref="M3:O3"/>
  </mergeCells>
  <phoneticPr fontId="4"/>
  <conditionalFormatting sqref="M6:N1000">
    <cfRule type="cellIs" dxfId="220" priority="225" operator="notEqual">
      <formula>""</formula>
    </cfRule>
  </conditionalFormatting>
  <conditionalFormatting sqref="B6:C1000">
    <cfRule type="cellIs" dxfId="219" priority="201" operator="equal">
      <formula>""</formula>
    </cfRule>
  </conditionalFormatting>
  <conditionalFormatting sqref="N6:N1000">
    <cfRule type="expression" dxfId="218" priority="18">
      <formula>G6="対象外経費"</formula>
    </cfRule>
    <cfRule type="expression" dxfId="217" priority="23">
      <formula>AND(G6="謝金（外部）",N6&gt;=47100)</formula>
    </cfRule>
    <cfRule type="expression" dxfId="216" priority="25">
      <formula>AND(G6="謝金（内部）",N6&gt;15700)</formula>
    </cfRule>
  </conditionalFormatting>
  <conditionalFormatting sqref="G6:I1000">
    <cfRule type="cellIs" dxfId="215" priority="202" operator="equal">
      <formula>""</formula>
    </cfRule>
  </conditionalFormatting>
  <conditionalFormatting sqref="K6:K1000">
    <cfRule type="expression" dxfId="214" priority="191">
      <formula>AND(G6="旅費",K6&lt;&gt;"")</formula>
    </cfRule>
    <cfRule type="expression" dxfId="213" priority="196">
      <formula>G6="旅費"</formula>
    </cfRule>
  </conditionalFormatting>
  <conditionalFormatting sqref="C22:C23">
    <cfRule type="cellIs" dxfId="212" priority="190" operator="equal">
      <formula>""</formula>
    </cfRule>
  </conditionalFormatting>
  <conditionalFormatting sqref="C24:C29">
    <cfRule type="cellIs" dxfId="211" priority="189" operator="equal">
      <formula>""</formula>
    </cfRule>
  </conditionalFormatting>
  <conditionalFormatting sqref="C30:C35">
    <cfRule type="cellIs" dxfId="210" priority="188" operator="equal">
      <formula>""</formula>
    </cfRule>
  </conditionalFormatting>
  <conditionalFormatting sqref="C36:C41">
    <cfRule type="cellIs" dxfId="209" priority="187" operator="equal">
      <formula>""</formula>
    </cfRule>
  </conditionalFormatting>
  <conditionalFormatting sqref="C42:C47">
    <cfRule type="cellIs" dxfId="208" priority="186" operator="equal">
      <formula>""</formula>
    </cfRule>
  </conditionalFormatting>
  <conditionalFormatting sqref="C48:C53">
    <cfRule type="cellIs" dxfId="207" priority="185" operator="equal">
      <formula>""</formula>
    </cfRule>
  </conditionalFormatting>
  <conditionalFormatting sqref="C54:C59">
    <cfRule type="cellIs" dxfId="206" priority="184" operator="equal">
      <formula>""</formula>
    </cfRule>
  </conditionalFormatting>
  <conditionalFormatting sqref="C60:C65">
    <cfRule type="cellIs" dxfId="205" priority="183" operator="equal">
      <formula>""</formula>
    </cfRule>
  </conditionalFormatting>
  <conditionalFormatting sqref="C66:C71">
    <cfRule type="cellIs" dxfId="204" priority="182" operator="equal">
      <formula>""</formula>
    </cfRule>
  </conditionalFormatting>
  <conditionalFormatting sqref="C72:C77">
    <cfRule type="cellIs" dxfId="203" priority="181" operator="equal">
      <formula>""</formula>
    </cfRule>
  </conditionalFormatting>
  <conditionalFormatting sqref="C78:C83">
    <cfRule type="cellIs" dxfId="202" priority="180" operator="equal">
      <formula>""</formula>
    </cfRule>
  </conditionalFormatting>
  <conditionalFormatting sqref="C84:C89">
    <cfRule type="cellIs" dxfId="201" priority="179" operator="equal">
      <formula>""</formula>
    </cfRule>
  </conditionalFormatting>
  <conditionalFormatting sqref="C90:C95">
    <cfRule type="cellIs" dxfId="200" priority="178" operator="equal">
      <formula>""</formula>
    </cfRule>
  </conditionalFormatting>
  <conditionalFormatting sqref="C96:C101">
    <cfRule type="cellIs" dxfId="199" priority="177" operator="equal">
      <formula>""</formula>
    </cfRule>
  </conditionalFormatting>
  <conditionalFormatting sqref="C102:C107">
    <cfRule type="cellIs" dxfId="198" priority="176" operator="equal">
      <formula>""</formula>
    </cfRule>
  </conditionalFormatting>
  <conditionalFormatting sqref="C108:C113">
    <cfRule type="cellIs" dxfId="197" priority="175" operator="equal">
      <formula>""</formula>
    </cfRule>
  </conditionalFormatting>
  <conditionalFormatting sqref="C114:C119">
    <cfRule type="cellIs" dxfId="196" priority="174" operator="equal">
      <formula>""</formula>
    </cfRule>
  </conditionalFormatting>
  <conditionalFormatting sqref="C120:C125">
    <cfRule type="cellIs" dxfId="195" priority="173" operator="equal">
      <formula>""</formula>
    </cfRule>
  </conditionalFormatting>
  <conditionalFormatting sqref="C126:C131">
    <cfRule type="cellIs" dxfId="194" priority="172" operator="equal">
      <formula>""</formula>
    </cfRule>
  </conditionalFormatting>
  <conditionalFormatting sqref="C132:C137">
    <cfRule type="cellIs" dxfId="193" priority="171" operator="equal">
      <formula>""</formula>
    </cfRule>
  </conditionalFormatting>
  <conditionalFormatting sqref="C138:C143">
    <cfRule type="cellIs" dxfId="192" priority="170" operator="equal">
      <formula>""</formula>
    </cfRule>
  </conditionalFormatting>
  <conditionalFormatting sqref="C144:C149">
    <cfRule type="cellIs" dxfId="191" priority="169" operator="equal">
      <formula>""</formula>
    </cfRule>
  </conditionalFormatting>
  <conditionalFormatting sqref="C150:C155">
    <cfRule type="cellIs" dxfId="190" priority="168" operator="equal">
      <formula>""</formula>
    </cfRule>
  </conditionalFormatting>
  <conditionalFormatting sqref="C156:C161">
    <cfRule type="cellIs" dxfId="189" priority="167" operator="equal">
      <formula>""</formula>
    </cfRule>
  </conditionalFormatting>
  <conditionalFormatting sqref="C162:C167">
    <cfRule type="cellIs" dxfId="188" priority="166" operator="equal">
      <formula>""</formula>
    </cfRule>
  </conditionalFormatting>
  <conditionalFormatting sqref="C168:C173">
    <cfRule type="cellIs" dxfId="187" priority="165" operator="equal">
      <formula>""</formula>
    </cfRule>
  </conditionalFormatting>
  <conditionalFormatting sqref="C174:C179">
    <cfRule type="cellIs" dxfId="186" priority="164" operator="equal">
      <formula>""</formula>
    </cfRule>
  </conditionalFormatting>
  <conditionalFormatting sqref="C180:C185">
    <cfRule type="cellIs" dxfId="185" priority="163" operator="equal">
      <formula>""</formula>
    </cfRule>
  </conditionalFormatting>
  <conditionalFormatting sqref="C186:C191">
    <cfRule type="cellIs" dxfId="184" priority="162" operator="equal">
      <formula>""</formula>
    </cfRule>
  </conditionalFormatting>
  <conditionalFormatting sqref="C192:C197">
    <cfRule type="cellIs" dxfId="183" priority="161" operator="equal">
      <formula>""</formula>
    </cfRule>
  </conditionalFormatting>
  <conditionalFormatting sqref="C198:C203">
    <cfRule type="cellIs" dxfId="182" priority="160" operator="equal">
      <formula>""</formula>
    </cfRule>
  </conditionalFormatting>
  <conditionalFormatting sqref="C204:C209">
    <cfRule type="cellIs" dxfId="181" priority="159" operator="equal">
      <formula>""</formula>
    </cfRule>
  </conditionalFormatting>
  <conditionalFormatting sqref="C210:C215">
    <cfRule type="cellIs" dxfId="180" priority="158" operator="equal">
      <formula>""</formula>
    </cfRule>
  </conditionalFormatting>
  <conditionalFormatting sqref="C216:C221">
    <cfRule type="cellIs" dxfId="179" priority="157" operator="equal">
      <formula>""</formula>
    </cfRule>
  </conditionalFormatting>
  <conditionalFormatting sqref="C222:C227">
    <cfRule type="cellIs" dxfId="178" priority="156" operator="equal">
      <formula>""</formula>
    </cfRule>
  </conditionalFormatting>
  <conditionalFormatting sqref="C228:C233">
    <cfRule type="cellIs" dxfId="177" priority="155" operator="equal">
      <formula>""</formula>
    </cfRule>
  </conditionalFormatting>
  <conditionalFormatting sqref="C234:C239">
    <cfRule type="cellIs" dxfId="176" priority="154" operator="equal">
      <formula>""</formula>
    </cfRule>
  </conditionalFormatting>
  <conditionalFormatting sqref="C240:C245">
    <cfRule type="cellIs" dxfId="175" priority="153" operator="equal">
      <formula>""</formula>
    </cfRule>
  </conditionalFormatting>
  <conditionalFormatting sqref="C246:C251">
    <cfRule type="cellIs" dxfId="174" priority="152" operator="equal">
      <formula>""</formula>
    </cfRule>
  </conditionalFormatting>
  <conditionalFormatting sqref="C252:C257">
    <cfRule type="cellIs" dxfId="173" priority="151" operator="equal">
      <formula>""</formula>
    </cfRule>
  </conditionalFormatting>
  <conditionalFormatting sqref="C258:C263">
    <cfRule type="cellIs" dxfId="172" priority="150" operator="equal">
      <formula>""</formula>
    </cfRule>
  </conditionalFormatting>
  <conditionalFormatting sqref="C264:C269">
    <cfRule type="cellIs" dxfId="171" priority="149" operator="equal">
      <formula>""</formula>
    </cfRule>
  </conditionalFormatting>
  <conditionalFormatting sqref="C270:C275">
    <cfRule type="cellIs" dxfId="170" priority="148" operator="equal">
      <formula>""</formula>
    </cfRule>
  </conditionalFormatting>
  <conditionalFormatting sqref="C276:C281">
    <cfRule type="cellIs" dxfId="169" priority="147" operator="equal">
      <formula>""</formula>
    </cfRule>
  </conditionalFormatting>
  <conditionalFormatting sqref="C282:C287">
    <cfRule type="cellIs" dxfId="168" priority="146" operator="equal">
      <formula>""</formula>
    </cfRule>
  </conditionalFormatting>
  <conditionalFormatting sqref="C288:C293">
    <cfRule type="cellIs" dxfId="167" priority="145" operator="equal">
      <formula>""</formula>
    </cfRule>
  </conditionalFormatting>
  <conditionalFormatting sqref="C294:C299">
    <cfRule type="cellIs" dxfId="166" priority="144" operator="equal">
      <formula>""</formula>
    </cfRule>
  </conditionalFormatting>
  <conditionalFormatting sqref="C300:C305">
    <cfRule type="cellIs" dxfId="165" priority="143" operator="equal">
      <formula>""</formula>
    </cfRule>
  </conditionalFormatting>
  <conditionalFormatting sqref="C306:C311">
    <cfRule type="cellIs" dxfId="164" priority="142" operator="equal">
      <formula>""</formula>
    </cfRule>
  </conditionalFormatting>
  <conditionalFormatting sqref="C312:C317">
    <cfRule type="cellIs" dxfId="163" priority="141" operator="equal">
      <formula>""</formula>
    </cfRule>
  </conditionalFormatting>
  <conditionalFormatting sqref="C318:C323">
    <cfRule type="cellIs" dxfId="162" priority="140" operator="equal">
      <formula>""</formula>
    </cfRule>
  </conditionalFormatting>
  <conditionalFormatting sqref="C324:C329">
    <cfRule type="cellIs" dxfId="161" priority="139" operator="equal">
      <formula>""</formula>
    </cfRule>
  </conditionalFormatting>
  <conditionalFormatting sqref="C330:C335">
    <cfRule type="cellIs" dxfId="160" priority="138" operator="equal">
      <formula>""</formula>
    </cfRule>
  </conditionalFormatting>
  <conditionalFormatting sqref="C336:C341">
    <cfRule type="cellIs" dxfId="159" priority="137" operator="equal">
      <formula>""</formula>
    </cfRule>
  </conditionalFormatting>
  <conditionalFormatting sqref="C342:C347">
    <cfRule type="cellIs" dxfId="158" priority="136" operator="equal">
      <formula>""</formula>
    </cfRule>
  </conditionalFormatting>
  <conditionalFormatting sqref="C348:C353">
    <cfRule type="cellIs" dxfId="157" priority="135" operator="equal">
      <formula>""</formula>
    </cfRule>
  </conditionalFormatting>
  <conditionalFormatting sqref="C354:C359">
    <cfRule type="cellIs" dxfId="156" priority="134" operator="equal">
      <formula>""</formula>
    </cfRule>
  </conditionalFormatting>
  <conditionalFormatting sqref="C372:C377 C360:C365">
    <cfRule type="cellIs" dxfId="155" priority="131" operator="equal">
      <formula>""</formula>
    </cfRule>
  </conditionalFormatting>
  <conditionalFormatting sqref="C378:C383 C366:C371">
    <cfRule type="cellIs" dxfId="154" priority="130" operator="equal">
      <formula>""</formula>
    </cfRule>
  </conditionalFormatting>
  <conditionalFormatting sqref="C384:C389">
    <cfRule type="cellIs" dxfId="153" priority="129" operator="equal">
      <formula>""</formula>
    </cfRule>
  </conditionalFormatting>
  <conditionalFormatting sqref="C390:C395">
    <cfRule type="cellIs" dxfId="152" priority="128" operator="equal">
      <formula>""</formula>
    </cfRule>
  </conditionalFormatting>
  <conditionalFormatting sqref="C396:C401">
    <cfRule type="cellIs" dxfId="151" priority="127" operator="equal">
      <formula>""</formula>
    </cfRule>
  </conditionalFormatting>
  <conditionalFormatting sqref="C402:C407">
    <cfRule type="cellIs" dxfId="150" priority="126" operator="equal">
      <formula>""</formula>
    </cfRule>
  </conditionalFormatting>
  <conditionalFormatting sqref="C408:C413">
    <cfRule type="cellIs" dxfId="149" priority="125" operator="equal">
      <formula>""</formula>
    </cfRule>
  </conditionalFormatting>
  <conditionalFormatting sqref="C414:C419">
    <cfRule type="cellIs" dxfId="148" priority="124" operator="equal">
      <formula>""</formula>
    </cfRule>
  </conditionalFormatting>
  <conditionalFormatting sqref="C420:C425">
    <cfRule type="cellIs" dxfId="147" priority="123" operator="equal">
      <formula>""</formula>
    </cfRule>
  </conditionalFormatting>
  <conditionalFormatting sqref="C426:C431">
    <cfRule type="cellIs" dxfId="146" priority="122" operator="equal">
      <formula>""</formula>
    </cfRule>
  </conditionalFormatting>
  <conditionalFormatting sqref="C432:C437">
    <cfRule type="cellIs" dxfId="145" priority="121" operator="equal">
      <formula>""</formula>
    </cfRule>
  </conditionalFormatting>
  <conditionalFormatting sqref="C438:C443">
    <cfRule type="cellIs" dxfId="144" priority="120" operator="equal">
      <formula>""</formula>
    </cfRule>
  </conditionalFormatting>
  <conditionalFormatting sqref="C444:C449">
    <cfRule type="cellIs" dxfId="143" priority="119" operator="equal">
      <formula>""</formula>
    </cfRule>
  </conditionalFormatting>
  <conditionalFormatting sqref="C450:C455">
    <cfRule type="cellIs" dxfId="142" priority="118" operator="equal">
      <formula>""</formula>
    </cfRule>
  </conditionalFormatting>
  <conditionalFormatting sqref="C456:C461">
    <cfRule type="cellIs" dxfId="141" priority="117" operator="equal">
      <formula>""</formula>
    </cfRule>
  </conditionalFormatting>
  <conditionalFormatting sqref="C462:C467">
    <cfRule type="cellIs" dxfId="140" priority="116" operator="equal">
      <formula>""</formula>
    </cfRule>
  </conditionalFormatting>
  <conditionalFormatting sqref="C468:C473">
    <cfRule type="cellIs" dxfId="139" priority="115" operator="equal">
      <formula>""</formula>
    </cfRule>
  </conditionalFormatting>
  <conditionalFormatting sqref="C474:C479">
    <cfRule type="cellIs" dxfId="138" priority="114" operator="equal">
      <formula>""</formula>
    </cfRule>
  </conditionalFormatting>
  <conditionalFormatting sqref="C480:C485">
    <cfRule type="cellIs" dxfId="137" priority="113" operator="equal">
      <formula>""</formula>
    </cfRule>
  </conditionalFormatting>
  <conditionalFormatting sqref="C486:C491">
    <cfRule type="cellIs" dxfId="136" priority="112" operator="equal">
      <formula>""</formula>
    </cfRule>
  </conditionalFormatting>
  <conditionalFormatting sqref="C492:C497">
    <cfRule type="cellIs" dxfId="135" priority="111" operator="equal">
      <formula>""</formula>
    </cfRule>
  </conditionalFormatting>
  <conditionalFormatting sqref="C498:C503">
    <cfRule type="cellIs" dxfId="134" priority="110" operator="equal">
      <formula>""</formula>
    </cfRule>
  </conditionalFormatting>
  <conditionalFormatting sqref="C504:C509">
    <cfRule type="cellIs" dxfId="133" priority="109" operator="equal">
      <formula>""</formula>
    </cfRule>
  </conditionalFormatting>
  <conditionalFormatting sqref="C510:C515">
    <cfRule type="cellIs" dxfId="132" priority="108" operator="equal">
      <formula>""</formula>
    </cfRule>
  </conditionalFormatting>
  <conditionalFormatting sqref="C516:C521">
    <cfRule type="cellIs" dxfId="131" priority="107" operator="equal">
      <formula>""</formula>
    </cfRule>
  </conditionalFormatting>
  <conditionalFormatting sqref="C522:C527">
    <cfRule type="cellIs" dxfId="130" priority="106" operator="equal">
      <formula>""</formula>
    </cfRule>
  </conditionalFormatting>
  <conditionalFormatting sqref="C528:C533">
    <cfRule type="cellIs" dxfId="129" priority="105" operator="equal">
      <formula>""</formula>
    </cfRule>
  </conditionalFormatting>
  <conditionalFormatting sqref="C534:C539">
    <cfRule type="cellIs" dxfId="128" priority="104" operator="equal">
      <formula>""</formula>
    </cfRule>
  </conditionalFormatting>
  <conditionalFormatting sqref="C540:C545">
    <cfRule type="cellIs" dxfId="127" priority="103" operator="equal">
      <formula>""</formula>
    </cfRule>
  </conditionalFormatting>
  <conditionalFormatting sqref="C546:C551">
    <cfRule type="cellIs" dxfId="126" priority="102" operator="equal">
      <formula>""</formula>
    </cfRule>
  </conditionalFormatting>
  <conditionalFormatting sqref="C552:C557">
    <cfRule type="cellIs" dxfId="125" priority="101" operator="equal">
      <formula>""</formula>
    </cfRule>
  </conditionalFormatting>
  <conditionalFormatting sqref="C558:C563">
    <cfRule type="cellIs" dxfId="124" priority="100" operator="equal">
      <formula>""</formula>
    </cfRule>
  </conditionalFormatting>
  <conditionalFormatting sqref="C564:C569">
    <cfRule type="cellIs" dxfId="123" priority="99" operator="equal">
      <formula>""</formula>
    </cfRule>
  </conditionalFormatting>
  <conditionalFormatting sqref="C570:C575">
    <cfRule type="cellIs" dxfId="122" priority="98" operator="equal">
      <formula>""</formula>
    </cfRule>
  </conditionalFormatting>
  <conditionalFormatting sqref="C576:C581">
    <cfRule type="cellIs" dxfId="121" priority="97" operator="equal">
      <formula>""</formula>
    </cfRule>
  </conditionalFormatting>
  <conditionalFormatting sqref="C582:C587">
    <cfRule type="cellIs" dxfId="120" priority="96" operator="equal">
      <formula>""</formula>
    </cfRule>
  </conditionalFormatting>
  <conditionalFormatting sqref="C588:C593">
    <cfRule type="cellIs" dxfId="119" priority="95" operator="equal">
      <formula>""</formula>
    </cfRule>
  </conditionalFormatting>
  <conditionalFormatting sqref="C594:C599">
    <cfRule type="cellIs" dxfId="118" priority="94" operator="equal">
      <formula>""</formula>
    </cfRule>
  </conditionalFormatting>
  <conditionalFormatting sqref="C600:C605">
    <cfRule type="cellIs" dxfId="117" priority="93" operator="equal">
      <formula>""</formula>
    </cfRule>
  </conditionalFormatting>
  <conditionalFormatting sqref="C606:C611">
    <cfRule type="cellIs" dxfId="116" priority="92" operator="equal">
      <formula>""</formula>
    </cfRule>
  </conditionalFormatting>
  <conditionalFormatting sqref="C612:C617">
    <cfRule type="cellIs" dxfId="115" priority="91" operator="equal">
      <formula>""</formula>
    </cfRule>
  </conditionalFormatting>
  <conditionalFormatting sqref="C618:C623">
    <cfRule type="cellIs" dxfId="114" priority="90" operator="equal">
      <formula>""</formula>
    </cfRule>
  </conditionalFormatting>
  <conditionalFormatting sqref="C624:C629">
    <cfRule type="cellIs" dxfId="113" priority="89" operator="equal">
      <formula>""</formula>
    </cfRule>
  </conditionalFormatting>
  <conditionalFormatting sqref="C630:C635">
    <cfRule type="cellIs" dxfId="112" priority="88" operator="equal">
      <formula>""</formula>
    </cfRule>
  </conditionalFormatting>
  <conditionalFormatting sqref="C636:C641">
    <cfRule type="cellIs" dxfId="111" priority="87" operator="equal">
      <formula>""</formula>
    </cfRule>
  </conditionalFormatting>
  <conditionalFormatting sqref="C642:C647">
    <cfRule type="cellIs" dxfId="110" priority="86" operator="equal">
      <formula>""</formula>
    </cfRule>
  </conditionalFormatting>
  <conditionalFormatting sqref="C648:C653">
    <cfRule type="cellIs" dxfId="109" priority="85" operator="equal">
      <formula>""</formula>
    </cfRule>
  </conditionalFormatting>
  <conditionalFormatting sqref="C654:C659">
    <cfRule type="cellIs" dxfId="108" priority="84" operator="equal">
      <formula>""</formula>
    </cfRule>
  </conditionalFormatting>
  <conditionalFormatting sqref="C660:C665">
    <cfRule type="cellIs" dxfId="107" priority="83" operator="equal">
      <formula>""</formula>
    </cfRule>
  </conditionalFormatting>
  <conditionalFormatting sqref="C666:C671">
    <cfRule type="cellIs" dxfId="106" priority="82" operator="equal">
      <formula>""</formula>
    </cfRule>
  </conditionalFormatting>
  <conditionalFormatting sqref="C672:C677">
    <cfRule type="cellIs" dxfId="105" priority="81" operator="equal">
      <formula>""</formula>
    </cfRule>
  </conditionalFormatting>
  <conditionalFormatting sqref="C678:C683">
    <cfRule type="cellIs" dxfId="104" priority="80" operator="equal">
      <formula>""</formula>
    </cfRule>
  </conditionalFormatting>
  <conditionalFormatting sqref="C684:C689">
    <cfRule type="cellIs" dxfId="103" priority="79" operator="equal">
      <formula>""</formula>
    </cfRule>
  </conditionalFormatting>
  <conditionalFormatting sqref="C690:C695">
    <cfRule type="cellIs" dxfId="102" priority="78" operator="equal">
      <formula>""</formula>
    </cfRule>
  </conditionalFormatting>
  <conditionalFormatting sqref="C696:C701">
    <cfRule type="cellIs" dxfId="101" priority="77" operator="equal">
      <formula>""</formula>
    </cfRule>
  </conditionalFormatting>
  <conditionalFormatting sqref="C702:C707">
    <cfRule type="cellIs" dxfId="100" priority="76" operator="equal">
      <formula>""</formula>
    </cfRule>
  </conditionalFormatting>
  <conditionalFormatting sqref="C708:C713">
    <cfRule type="cellIs" dxfId="99" priority="75" operator="equal">
      <formula>""</formula>
    </cfRule>
  </conditionalFormatting>
  <conditionalFormatting sqref="C714:C719">
    <cfRule type="cellIs" dxfId="98" priority="74" operator="equal">
      <formula>""</formula>
    </cfRule>
  </conditionalFormatting>
  <conditionalFormatting sqref="C720:C725">
    <cfRule type="cellIs" dxfId="97" priority="73" operator="equal">
      <formula>""</formula>
    </cfRule>
  </conditionalFormatting>
  <conditionalFormatting sqref="C726:C731">
    <cfRule type="cellIs" dxfId="96" priority="72" operator="equal">
      <formula>""</formula>
    </cfRule>
  </conditionalFormatting>
  <conditionalFormatting sqref="C732:C737">
    <cfRule type="cellIs" dxfId="95" priority="71" operator="equal">
      <formula>""</formula>
    </cfRule>
  </conditionalFormatting>
  <conditionalFormatting sqref="C738:C743">
    <cfRule type="cellIs" dxfId="94" priority="70" operator="equal">
      <formula>""</formula>
    </cfRule>
  </conditionalFormatting>
  <conditionalFormatting sqref="C744:C749">
    <cfRule type="cellIs" dxfId="93" priority="69" operator="equal">
      <formula>""</formula>
    </cfRule>
  </conditionalFormatting>
  <conditionalFormatting sqref="C750:C755">
    <cfRule type="cellIs" dxfId="92" priority="68" operator="equal">
      <formula>""</formula>
    </cfRule>
  </conditionalFormatting>
  <conditionalFormatting sqref="C756:C761">
    <cfRule type="cellIs" dxfId="91" priority="67" operator="equal">
      <formula>""</formula>
    </cfRule>
  </conditionalFormatting>
  <conditionalFormatting sqref="C762:C767">
    <cfRule type="cellIs" dxfId="90" priority="66" operator="equal">
      <formula>""</formula>
    </cfRule>
  </conditionalFormatting>
  <conditionalFormatting sqref="C768:C773">
    <cfRule type="cellIs" dxfId="89" priority="65" operator="equal">
      <formula>""</formula>
    </cfRule>
  </conditionalFormatting>
  <conditionalFormatting sqref="C774:C779">
    <cfRule type="cellIs" dxfId="88" priority="64" operator="equal">
      <formula>""</formula>
    </cfRule>
  </conditionalFormatting>
  <conditionalFormatting sqref="C780:C785">
    <cfRule type="cellIs" dxfId="87" priority="63" operator="equal">
      <formula>""</formula>
    </cfRule>
  </conditionalFormatting>
  <conditionalFormatting sqref="C786:C791">
    <cfRule type="cellIs" dxfId="86" priority="62" operator="equal">
      <formula>""</formula>
    </cfRule>
  </conditionalFormatting>
  <conditionalFormatting sqref="C792:C797">
    <cfRule type="cellIs" dxfId="85" priority="61" operator="equal">
      <formula>""</formula>
    </cfRule>
  </conditionalFormatting>
  <conditionalFormatting sqref="C798:C803">
    <cfRule type="cellIs" dxfId="84" priority="60" operator="equal">
      <formula>""</formula>
    </cfRule>
  </conditionalFormatting>
  <conditionalFormatting sqref="C804:C809">
    <cfRule type="cellIs" dxfId="83" priority="59" operator="equal">
      <formula>""</formula>
    </cfRule>
  </conditionalFormatting>
  <conditionalFormatting sqref="C810:C815">
    <cfRule type="cellIs" dxfId="82" priority="58" operator="equal">
      <formula>""</formula>
    </cfRule>
  </conditionalFormatting>
  <conditionalFormatting sqref="C816:C821">
    <cfRule type="cellIs" dxfId="81" priority="57" operator="equal">
      <formula>""</formula>
    </cfRule>
  </conditionalFormatting>
  <conditionalFormatting sqref="C822:C827">
    <cfRule type="cellIs" dxfId="80" priority="56" operator="equal">
      <formula>""</formula>
    </cfRule>
  </conditionalFormatting>
  <conditionalFormatting sqref="C828:C833">
    <cfRule type="cellIs" dxfId="79" priority="55" operator="equal">
      <formula>""</formula>
    </cfRule>
  </conditionalFormatting>
  <conditionalFormatting sqref="C834:C839">
    <cfRule type="cellIs" dxfId="78" priority="54" operator="equal">
      <formula>""</formula>
    </cfRule>
  </conditionalFormatting>
  <conditionalFormatting sqref="C840:C845">
    <cfRule type="cellIs" dxfId="77" priority="53" operator="equal">
      <formula>""</formula>
    </cfRule>
  </conditionalFormatting>
  <conditionalFormatting sqref="C846:C851">
    <cfRule type="cellIs" dxfId="76" priority="52" operator="equal">
      <formula>""</formula>
    </cfRule>
  </conditionalFormatting>
  <conditionalFormatting sqref="C852:C857">
    <cfRule type="cellIs" dxfId="75" priority="51" operator="equal">
      <formula>""</formula>
    </cfRule>
  </conditionalFormatting>
  <conditionalFormatting sqref="C858:C863">
    <cfRule type="cellIs" dxfId="74" priority="50" operator="equal">
      <formula>""</formula>
    </cfRule>
  </conditionalFormatting>
  <conditionalFormatting sqref="C864:C869">
    <cfRule type="cellIs" dxfId="73" priority="49" operator="equal">
      <formula>""</formula>
    </cfRule>
  </conditionalFormatting>
  <conditionalFormatting sqref="C870:C875">
    <cfRule type="cellIs" dxfId="72" priority="48" operator="equal">
      <formula>""</formula>
    </cfRule>
  </conditionalFormatting>
  <conditionalFormatting sqref="C876:C881">
    <cfRule type="cellIs" dxfId="71" priority="47" operator="equal">
      <formula>""</formula>
    </cfRule>
  </conditionalFormatting>
  <conditionalFormatting sqref="C882:C887">
    <cfRule type="cellIs" dxfId="70" priority="46" operator="equal">
      <formula>""</formula>
    </cfRule>
  </conditionalFormatting>
  <conditionalFormatting sqref="C888:C893">
    <cfRule type="cellIs" dxfId="69" priority="45" operator="equal">
      <formula>""</formula>
    </cfRule>
  </conditionalFormatting>
  <conditionalFormatting sqref="C894:C899">
    <cfRule type="cellIs" dxfId="68" priority="44" operator="equal">
      <formula>""</formula>
    </cfRule>
  </conditionalFormatting>
  <conditionalFormatting sqref="C900:C905">
    <cfRule type="cellIs" dxfId="67" priority="43" operator="equal">
      <formula>""</formula>
    </cfRule>
  </conditionalFormatting>
  <conditionalFormatting sqref="C906:C911">
    <cfRule type="cellIs" dxfId="66" priority="42" operator="equal">
      <formula>""</formula>
    </cfRule>
  </conditionalFormatting>
  <conditionalFormatting sqref="C912:C917">
    <cfRule type="cellIs" dxfId="65" priority="41" operator="equal">
      <formula>""</formula>
    </cfRule>
  </conditionalFormatting>
  <conditionalFormatting sqref="C918:C923">
    <cfRule type="cellIs" dxfId="64" priority="40" operator="equal">
      <formula>""</formula>
    </cfRule>
  </conditionalFormatting>
  <conditionalFormatting sqref="C924:C929">
    <cfRule type="cellIs" dxfId="63" priority="39" operator="equal">
      <formula>""</formula>
    </cfRule>
  </conditionalFormatting>
  <conditionalFormatting sqref="C930:C935">
    <cfRule type="cellIs" dxfId="62" priority="38" operator="equal">
      <formula>""</formula>
    </cfRule>
  </conditionalFormatting>
  <conditionalFormatting sqref="C936:C941">
    <cfRule type="cellIs" dxfId="61" priority="37" operator="equal">
      <formula>""</formula>
    </cfRule>
  </conditionalFormatting>
  <conditionalFormatting sqref="C942:C947">
    <cfRule type="cellIs" dxfId="60" priority="36" operator="equal">
      <formula>""</formula>
    </cfRule>
  </conditionalFormatting>
  <conditionalFormatting sqref="C948:C953">
    <cfRule type="cellIs" dxfId="59" priority="35" operator="equal">
      <formula>""</formula>
    </cfRule>
  </conditionalFormatting>
  <conditionalFormatting sqref="C954:C959">
    <cfRule type="cellIs" dxfId="58" priority="34" operator="equal">
      <formula>""</formula>
    </cfRule>
  </conditionalFormatting>
  <conditionalFormatting sqref="C960:C965">
    <cfRule type="cellIs" dxfId="57" priority="33" operator="equal">
      <formula>""</formula>
    </cfRule>
  </conditionalFormatting>
  <conditionalFormatting sqref="C966:C971">
    <cfRule type="cellIs" dxfId="56" priority="32" operator="equal">
      <formula>""</formula>
    </cfRule>
  </conditionalFormatting>
  <conditionalFormatting sqref="C972:C977">
    <cfRule type="cellIs" dxfId="55" priority="31" operator="equal">
      <formula>""</formula>
    </cfRule>
  </conditionalFormatting>
  <conditionalFormatting sqref="C978:C983">
    <cfRule type="cellIs" dxfId="54" priority="30" operator="equal">
      <formula>""</formula>
    </cfRule>
  </conditionalFormatting>
  <conditionalFormatting sqref="C984:C989">
    <cfRule type="cellIs" dxfId="53" priority="29" operator="equal">
      <formula>""</formula>
    </cfRule>
  </conditionalFormatting>
  <conditionalFormatting sqref="C990:C995">
    <cfRule type="cellIs" dxfId="52" priority="28" operator="equal">
      <formula>""</formula>
    </cfRule>
  </conditionalFormatting>
  <conditionalFormatting sqref="C996:C999">
    <cfRule type="cellIs" dxfId="51" priority="27" operator="equal">
      <formula>""</formula>
    </cfRule>
  </conditionalFormatting>
  <conditionalFormatting sqref="L6:N1000">
    <cfRule type="cellIs" dxfId="50" priority="198" operator="equal">
      <formula>""</formula>
    </cfRule>
  </conditionalFormatting>
  <conditionalFormatting sqref="J7">
    <cfRule type="expression" dxfId="49" priority="8">
      <formula>E7="謝金"</formula>
    </cfRule>
    <cfRule type="expression" dxfId="48" priority="9">
      <formula>AND(E7="謝金",J7&lt;&gt;"")</formula>
    </cfRule>
  </conditionalFormatting>
  <conditionalFormatting sqref="F6:F1000">
    <cfRule type="containsBlanks" dxfId="47" priority="254">
      <formula>LEN(TRIM(F6))=0</formula>
    </cfRule>
  </conditionalFormatting>
  <conditionalFormatting sqref="J6:J1000">
    <cfRule type="cellIs" dxfId="46" priority="6" operator="notEqual">
      <formula>""</formula>
    </cfRule>
    <cfRule type="expression" dxfId="45" priority="10">
      <formula>E6="謝金"</formula>
    </cfRule>
  </conditionalFormatting>
  <conditionalFormatting sqref="M7 M9 M11 M13 M15 M17 M19 M21">
    <cfRule type="expression" dxfId="44" priority="3">
      <formula>AND(G7="謝金（内部）",M7&gt;15700)</formula>
    </cfRule>
    <cfRule type="expression" dxfId="43" priority="4">
      <formula>AND(G7="謝金（外部）",M7&gt;=47100)</formula>
    </cfRule>
  </conditionalFormatting>
  <conditionalFormatting sqref="M6:M1000">
    <cfRule type="expression" dxfId="42" priority="1">
      <formula>AND(G6="1.謝金（外部）",M6&gt;=47100)</formula>
    </cfRule>
    <cfRule type="expression" dxfId="41" priority="2">
      <formula>AND(G6="謝金（内部）",M6&gt;15700)</formula>
    </cfRule>
  </conditionalFormatting>
  <dataValidations xWindow="995" yWindow="533" count="4">
    <dataValidation allowBlank="1" showErrorMessage="1" sqref="M996:M999 M991:M994 M22:M24 M986:M989 M26:M29 M31:M34 M36:M39 M41:M44 M46:M49 M51:M54 M56:M59 M61:M64 M66:M69 M76:M79 M81:M84 M86:M89 M91:M94 M96:M99 M101:M104 M106:M109 M111:M114 M116:M119 M121:M124 M126:M129 M131:M134 M136:M139 M141:M144 M146:M149 M151:M154 M156:M159 M161:M164 M166:M169 M171:M174 M176:M179 M181:M184 M186:M189 M191:M194 M196:M199 M201:M204 M206:M209 M211:M214 M216:M219 M221:M224 M226:M229 M231:M234 M236:M239 M241:M244 M246:M249 M251:M254 M256:M259 M261:M264 M266:M269 M271:M274 M276:M279 M281:M284 M286:M289 M296:M299 M301:M304 M306:M309 M311:M314 M316:M319 M321:M324 M326:M329 M331:M334 M336:M339 M341:M344 M346:M349 M351:M354 M356:M359 M361:M364 M366:M369 M371:M374 M376:M379 M381:M384 M386:M389 M391:M394 M396:M399 M401:M404 M406:M409 M411:M414 M416:M419 M421:M424 M426:M429 M431:M434 M436:M439 M441:M444 M446:M449 M451:M454 M456:M459 M461:M464 M466:M469 M471:M474 M476:M479 M481:M484 M486:M489 M491:M494 M496:M499 M501:M504 M506:M509 M511:M514 M516:M519 M521:M524 M526:M529 M531:M534 M536:M539 M541:M544 M546:M549 M551:M554 M556:M559 M561:M564 M566:M569 M571:M574 M576:M579 M581:M584 M586:M589 M591:M594 M596:M599 M601:M604 M606:M609 M611:M614 M616:M619 M621:M624 M626:M629 M631:M634 M636:M639 M641:M644 M646:M649 M651:M654 M656:M659 M661:M664 M666:M669 M671:M674 M676:M679 M681:M684 M686:M689 M691:M694 M696:M699 M701:M704 M706:M709 M711:M714 M716:M719 M721:M724 M726:M729 M731:M734 M736:M739 M741:M744 M746:M749 M751:M754 M756:M759 M761:M764 M766:M769 M771:M774 M776:M779 M781:M784 M786:M789 M791:M794 M796:M799 M801:M804 M806:M809 M811:M814 M816:M819 M821:M824 M826:M829 M831:M834 M836:M839 M841:M844 M846:M849 M851:M854 M856:M859 M861:M864 M866:M869 M871:M874 M876:M879 M881:M884 M886:M889 M891:M894 M896:M899 M901:M904 M906:M909 M911:M914 M916:M919 M921:M924 M926:M929 M931:M934 M936:M939 M941:M944 M946:M949 M951:M954 M956:M959 M961:M964 M966:M969 M971:M974 M976:M979 M981:M984 E6:E1000" xr:uid="{A9B40F13-BA5C-4B69-9FBC-47632D3584E4}"/>
    <dataValidation errorStyle="warning" allowBlank="1" showInputMessage="1" showErrorMessage="1" sqref="J6:J13 I6:I21" xr:uid="{2AF31631-608C-49BE-BC89-95FA8299C709}"/>
    <dataValidation allowBlank="1" showInputMessage="1" showErrorMessage="1" prompt="入力する金額は助成事業に使用した金額です。必ずしも領収書の金額と同額ではありません。" sqref="M995 M8:M21 M1000 M6:N7 M25 M30:M40 M45 M50 M55 M60 M65 M75 M80 M85 M90 M95 M100 M105 M110 M115 M120 M125 M130 M135 M140 M145 M150 M155 M160 M165 M170 M175 M180 M185 M190 M195 M200 M205 M210 M215 M220 M225 M230 M235 M240 M245 M250 M255 M260 M265 M270 M275 M280 M285 M290 M295 M300 M305 M310 M315 M320 M325 M330 M335 M340 M345 M350 M355 M360 M365 M370 M375 M380 M385 M390 M395 M400 M405 M410 M415 M420 M425 M430 M435 M440 M445 M450 M455 M460 M465 M470 M475 M480 M485 M490 M495 M500 M505 M510 M515 M520 M525 M530 M535 M540 M545 M550:M555 M560 M565 M570 M575 M580 M585 M590 M595 M600 M605 M610 M615 M620 M625 M630 M635 M640 M645 M650 M655 M660 M665 M670 M675 M680 M685 M690 M695 M700 M705 M710 M715 M720 M725 M730 M735 M740 M745 M750 M755 M760 M765 M770 M775 M780 M785 M790 M795 M800 M805 M810 M815 M820 M825 M830 M835 M840 M845 M850 M855 M860 M865 M870 M875 M880 M885 M890 M895 M900 M905 M910 M915 M920 M925 M930 M935 M940 M945 M950 M955 M960 M965 M970 M975 M980 M985 M990 N8:N1000" xr:uid="{E3E15DBB-B8E0-47F6-84B5-8B7CEBF06BBA}"/>
    <dataValidation type="custom" allowBlank="1" showInputMessage="1" showErrorMessage="1" sqref="L6:L1000" xr:uid="{A916C84E-70A4-4ECB-A2B9-5F635C0D9504}">
      <formula1>COUNTIF(L:L,L6)&lt;2</formula1>
    </dataValidation>
  </dataValidations>
  <hyperlinks>
    <hyperlink ref="B3" location="メニュー画面!B3" display="メニュー画面へ" xr:uid="{4E7FE12A-1C22-424F-8D40-9C9A1E19FC20}"/>
  </hyperlinks>
  <pageMargins left="0.7" right="0.7" top="0.75" bottom="0.75" header="0.3" footer="0.3"/>
  <pageSetup paperSize="9" scale="51" fitToHeight="0" orientation="landscape" r:id="rId1"/>
  <rowBreaks count="1" manualBreakCount="1">
    <brk id="965" max="16383" man="1"/>
  </rowBreaks>
  <drawing r:id="rId2"/>
  <extLst>
    <ext xmlns:x14="http://schemas.microsoft.com/office/spreadsheetml/2009/9/main" uri="{78C0D931-6437-407d-A8EE-F0AAD7539E65}">
      <x14:conditionalFormattings>
        <x14:conditionalFormatting xmlns:xm="http://schemas.microsoft.com/office/excel/2006/main">
          <x14:cfRule type="cellIs" priority="250" operator="between" id="{2F4CFC31-C2BD-4229-B45A-9F82AC019D32}">
            <xm:f>プルダウン用リスト!$G$7</xm:f>
            <xm:f>プルダウン用リスト!$H$7</xm:f>
            <x14:dxf>
              <fill>
                <patternFill>
                  <bgColor rgb="FFFFFF00"/>
                </patternFill>
              </fill>
            </x14:dxf>
          </x14:cfRule>
          <x14:cfRule type="cellIs" priority="251" operator="between" id="{7C1223AD-E424-43BE-82DE-465B62DB80FB}">
            <xm:f>プルダウン用リスト!$H$8</xm:f>
            <xm:f>プルダウン用リスト!$G$8</xm:f>
            <x14:dxf>
              <fill>
                <patternFill>
                  <bgColor rgb="FFFFFF00"/>
                </patternFill>
              </fill>
            </x14:dxf>
          </x14:cfRule>
          <x14:cfRule type="cellIs" priority="252" operator="notBetween" id="{6F4AB7D9-39CC-46C4-B2D6-685B3B3E1A6C}">
            <xm:f>プルダウン用リスト!$G$7</xm:f>
            <xm:f>プルダウン用リスト!$G$8</xm:f>
            <x14:dxf>
              <fill>
                <patternFill>
                  <bgColor rgb="FFFF0000"/>
                </patternFill>
              </fill>
            </x14:dxf>
          </x14:cfRule>
          <xm:sqref>B6:B1000</xm:sqref>
        </x14:conditionalFormatting>
      </x14:conditionalFormattings>
    </ext>
    <ext xmlns:x14="http://schemas.microsoft.com/office/spreadsheetml/2009/9/main" uri="{CCE6A557-97BC-4b89-ADB6-D9C93CAAB3DF}">
      <x14:dataValidations xmlns:xm="http://schemas.microsoft.com/office/excel/2006/main" xWindow="995" yWindow="533" count="1">
        <x14:dataValidation type="list" allowBlank="1" showInputMessage="1" showErrorMessage="1" xr:uid="{31ACC47E-BB58-4D21-9DC5-FCF2DBDC09F5}">
          <x14:formula1>
            <xm:f>プルダウン用リスト!$A$1:$A$16</xm:f>
          </x14:formula1>
          <xm:sqref>G6:G1000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K202"/>
  <sheetViews>
    <sheetView showGridLines="0" view="pageBreakPreview" zoomScale="70" zoomScaleNormal="80" zoomScaleSheetLayoutView="70" workbookViewId="0">
      <selection activeCell="J14" sqref="J14"/>
    </sheetView>
  </sheetViews>
  <sheetFormatPr defaultColWidth="9" defaultRowHeight="18.75"/>
  <cols>
    <col min="1" max="1" width="2.125" style="9" customWidth="1"/>
    <col min="2" max="2" width="21.875" style="9" customWidth="1"/>
    <col min="3" max="3" width="47" style="9" customWidth="1"/>
    <col min="4" max="4" width="22.625" style="9" customWidth="1"/>
    <col min="5" max="5" width="20.875" style="9" customWidth="1"/>
    <col min="6" max="6" width="4" style="9" hidden="1" customWidth="1"/>
    <col min="7" max="7" width="37.375" style="9" customWidth="1"/>
    <col min="8" max="8" width="2.75" style="9" customWidth="1"/>
    <col min="9" max="16384" width="9" style="9"/>
  </cols>
  <sheetData>
    <row r="1" spans="1:11" ht="27.75" customHeight="1">
      <c r="A1" s="67" t="s">
        <v>175</v>
      </c>
      <c r="B1" s="67"/>
      <c r="D1" s="14"/>
      <c r="E1" s="14"/>
    </row>
    <row r="2" spans="1:11" ht="24" customHeight="1">
      <c r="B2" s="219" t="s">
        <v>265</v>
      </c>
      <c r="C2" s="220" t="str">
        <f>団体基本情報入力!D7&amp;""</f>
        <v/>
      </c>
      <c r="D2" s="48"/>
    </row>
    <row r="3" spans="1:11" ht="35.85" customHeight="1">
      <c r="B3" s="126" t="s">
        <v>99</v>
      </c>
      <c r="C3" s="345"/>
      <c r="D3" s="345"/>
      <c r="E3" s="166"/>
      <c r="F3" s="29"/>
      <c r="H3" s="29"/>
    </row>
    <row r="4" spans="1:11" ht="3.6" customHeight="1" thickBot="1">
      <c r="B4" s="14"/>
      <c r="C4" s="33"/>
      <c r="D4" s="14"/>
      <c r="E4" s="165"/>
    </row>
    <row r="5" spans="1:11" ht="137.25" customHeight="1" thickBot="1">
      <c r="B5" s="198" t="s">
        <v>278</v>
      </c>
      <c r="C5" s="158" t="s">
        <v>261</v>
      </c>
      <c r="D5" s="199" t="s">
        <v>259</v>
      </c>
      <c r="E5" s="77" t="s">
        <v>260</v>
      </c>
      <c r="F5" s="273" t="s">
        <v>284</v>
      </c>
      <c r="G5" s="217" t="s">
        <v>269</v>
      </c>
    </row>
    <row r="6" spans="1:11" ht="19.5">
      <c r="B6" s="75"/>
      <c r="C6" s="70"/>
      <c r="D6" s="70"/>
      <c r="E6" s="76"/>
      <c r="F6" s="274">
        <f>IF(E6&gt;0,COUNTA(B6,C6,D6,E6),0)</f>
        <v>0</v>
      </c>
      <c r="G6" s="235" t="str">
        <f>_xlfn.IFS(F6=0,"",F6&lt;=3,"ピンク色のセルを全て入力してください",F6=4,"OK")</f>
        <v/>
      </c>
    </row>
    <row r="7" spans="1:11" ht="19.5">
      <c r="B7" s="75"/>
      <c r="C7" s="58"/>
      <c r="D7" s="58"/>
      <c r="E7" s="74"/>
      <c r="F7" s="274">
        <f t="shared" ref="F7:F70" si="0">IF(E7&gt;0,COUNTA(B7,C7,D7,E7),0)</f>
        <v>0</v>
      </c>
      <c r="G7" s="236" t="str">
        <f t="shared" ref="G7:G70" si="1">_xlfn.IFS(F7=0,"",F7&lt;=3,"ピンク色のセルを全て入力してください",F7=4,"OK")</f>
        <v/>
      </c>
      <c r="J7" s="29"/>
    </row>
    <row r="8" spans="1:11" ht="19.5">
      <c r="B8" s="75"/>
      <c r="C8" s="58"/>
      <c r="D8" s="58"/>
      <c r="E8" s="74"/>
      <c r="F8" s="274">
        <f t="shared" si="0"/>
        <v>0</v>
      </c>
      <c r="G8" s="236" t="str">
        <f t="shared" si="1"/>
        <v/>
      </c>
    </row>
    <row r="9" spans="1:11" ht="19.5">
      <c r="B9" s="75"/>
      <c r="C9" s="58"/>
      <c r="D9" s="58"/>
      <c r="E9" s="74"/>
      <c r="F9" s="274">
        <f t="shared" si="0"/>
        <v>0</v>
      </c>
      <c r="G9" s="236" t="str">
        <f t="shared" si="1"/>
        <v/>
      </c>
    </row>
    <row r="10" spans="1:11" ht="19.5">
      <c r="B10" s="75"/>
      <c r="C10" s="58"/>
      <c r="D10" s="58"/>
      <c r="E10" s="74"/>
      <c r="F10" s="274">
        <f t="shared" si="0"/>
        <v>0</v>
      </c>
      <c r="G10" s="236" t="str">
        <f t="shared" si="1"/>
        <v/>
      </c>
    </row>
    <row r="11" spans="1:11" ht="19.5">
      <c r="B11" s="75"/>
      <c r="C11" s="58"/>
      <c r="D11" s="58"/>
      <c r="E11" s="74"/>
      <c r="F11" s="274">
        <f t="shared" si="0"/>
        <v>0</v>
      </c>
      <c r="G11" s="236" t="str">
        <f t="shared" si="1"/>
        <v/>
      </c>
    </row>
    <row r="12" spans="1:11" ht="19.5">
      <c r="B12" s="75"/>
      <c r="C12" s="58"/>
      <c r="D12" s="58"/>
      <c r="E12" s="74"/>
      <c r="F12" s="274">
        <f t="shared" si="0"/>
        <v>0</v>
      </c>
      <c r="G12" s="236" t="str">
        <f t="shared" si="1"/>
        <v/>
      </c>
    </row>
    <row r="13" spans="1:11" ht="19.5">
      <c r="B13" s="75"/>
      <c r="C13" s="58"/>
      <c r="D13" s="58"/>
      <c r="E13" s="74"/>
      <c r="F13" s="274">
        <f t="shared" si="0"/>
        <v>0</v>
      </c>
      <c r="G13" s="236" t="str">
        <f t="shared" si="1"/>
        <v/>
      </c>
      <c r="K13" s="29"/>
    </row>
    <row r="14" spans="1:11" ht="19.5">
      <c r="B14" s="75"/>
      <c r="C14" s="58"/>
      <c r="D14" s="58"/>
      <c r="E14" s="74"/>
      <c r="F14" s="274">
        <f t="shared" si="0"/>
        <v>0</v>
      </c>
      <c r="G14" s="236" t="str">
        <f t="shared" si="1"/>
        <v/>
      </c>
    </row>
    <row r="15" spans="1:11" ht="19.5">
      <c r="B15" s="75"/>
      <c r="C15" s="58"/>
      <c r="D15" s="58"/>
      <c r="E15" s="74"/>
      <c r="F15" s="274">
        <f t="shared" si="0"/>
        <v>0</v>
      </c>
      <c r="G15" s="236" t="str">
        <f t="shared" si="1"/>
        <v/>
      </c>
    </row>
    <row r="16" spans="1:11" ht="19.5">
      <c r="B16" s="75"/>
      <c r="C16" s="58"/>
      <c r="D16" s="58"/>
      <c r="E16" s="74"/>
      <c r="F16" s="274">
        <f t="shared" si="0"/>
        <v>0</v>
      </c>
      <c r="G16" s="236" t="str">
        <f t="shared" si="1"/>
        <v/>
      </c>
    </row>
    <row r="17" spans="2:11" ht="19.5">
      <c r="B17" s="75"/>
      <c r="C17" s="58"/>
      <c r="D17" s="58"/>
      <c r="E17" s="74"/>
      <c r="F17" s="274">
        <f t="shared" si="0"/>
        <v>0</v>
      </c>
      <c r="G17" s="236" t="str">
        <f t="shared" si="1"/>
        <v/>
      </c>
    </row>
    <row r="18" spans="2:11" ht="19.5">
      <c r="B18" s="75"/>
      <c r="C18" s="58"/>
      <c r="D18" s="58"/>
      <c r="E18" s="74"/>
      <c r="F18" s="274">
        <f t="shared" si="0"/>
        <v>0</v>
      </c>
      <c r="G18" s="236" t="str">
        <f t="shared" si="1"/>
        <v/>
      </c>
    </row>
    <row r="19" spans="2:11" ht="19.5">
      <c r="B19" s="75"/>
      <c r="C19" s="58"/>
      <c r="D19" s="58"/>
      <c r="E19" s="74"/>
      <c r="F19" s="274">
        <f t="shared" si="0"/>
        <v>0</v>
      </c>
      <c r="G19" s="236" t="str">
        <f t="shared" si="1"/>
        <v/>
      </c>
    </row>
    <row r="20" spans="2:11" ht="19.5">
      <c r="B20" s="75"/>
      <c r="C20" s="58"/>
      <c r="D20" s="58"/>
      <c r="E20" s="74"/>
      <c r="F20" s="274">
        <f t="shared" si="0"/>
        <v>0</v>
      </c>
      <c r="G20" s="236" t="str">
        <f t="shared" si="1"/>
        <v/>
      </c>
      <c r="K20" s="29"/>
    </row>
    <row r="21" spans="2:11" ht="19.5">
      <c r="B21" s="75"/>
      <c r="C21" s="58"/>
      <c r="D21" s="58"/>
      <c r="E21" s="74"/>
      <c r="F21" s="274">
        <f t="shared" si="0"/>
        <v>0</v>
      </c>
      <c r="G21" s="236" t="str">
        <f t="shared" si="1"/>
        <v/>
      </c>
      <c r="J21" s="29"/>
    </row>
    <row r="22" spans="2:11" ht="19.5">
      <c r="B22" s="75"/>
      <c r="C22" s="58"/>
      <c r="D22" s="58"/>
      <c r="E22" s="74"/>
      <c r="F22" s="274">
        <f t="shared" si="0"/>
        <v>0</v>
      </c>
      <c r="G22" s="236" t="str">
        <f t="shared" si="1"/>
        <v/>
      </c>
      <c r="I22" s="29"/>
    </row>
    <row r="23" spans="2:11" ht="19.5">
      <c r="B23" s="75"/>
      <c r="C23" s="58"/>
      <c r="D23" s="58"/>
      <c r="E23" s="74"/>
      <c r="F23" s="274">
        <f t="shared" si="0"/>
        <v>0</v>
      </c>
      <c r="G23" s="236" t="str">
        <f t="shared" si="1"/>
        <v/>
      </c>
    </row>
    <row r="24" spans="2:11" ht="19.5">
      <c r="B24" s="75"/>
      <c r="C24" s="58"/>
      <c r="D24" s="58"/>
      <c r="E24" s="74"/>
      <c r="F24" s="274">
        <f t="shared" si="0"/>
        <v>0</v>
      </c>
      <c r="G24" s="236" t="str">
        <f t="shared" si="1"/>
        <v/>
      </c>
    </row>
    <row r="25" spans="2:11" ht="19.5">
      <c r="B25" s="75"/>
      <c r="C25" s="58"/>
      <c r="D25" s="58"/>
      <c r="E25" s="74"/>
      <c r="F25" s="274">
        <f t="shared" si="0"/>
        <v>0</v>
      </c>
      <c r="G25" s="236" t="str">
        <f t="shared" si="1"/>
        <v/>
      </c>
    </row>
    <row r="26" spans="2:11" ht="19.5">
      <c r="B26" s="75"/>
      <c r="C26" s="58"/>
      <c r="D26" s="58"/>
      <c r="E26" s="74"/>
      <c r="F26" s="274">
        <f t="shared" si="0"/>
        <v>0</v>
      </c>
      <c r="G26" s="236" t="str">
        <f t="shared" si="1"/>
        <v/>
      </c>
    </row>
    <row r="27" spans="2:11" ht="19.5">
      <c r="B27" s="75"/>
      <c r="C27" s="58"/>
      <c r="D27" s="58"/>
      <c r="E27" s="74"/>
      <c r="F27" s="274">
        <f t="shared" si="0"/>
        <v>0</v>
      </c>
      <c r="G27" s="236" t="str">
        <f t="shared" si="1"/>
        <v/>
      </c>
    </row>
    <row r="28" spans="2:11" ht="19.5">
      <c r="B28" s="75"/>
      <c r="C28" s="58"/>
      <c r="D28" s="58"/>
      <c r="E28" s="74"/>
      <c r="F28" s="274">
        <f t="shared" si="0"/>
        <v>0</v>
      </c>
      <c r="G28" s="236" t="str">
        <f t="shared" si="1"/>
        <v/>
      </c>
    </row>
    <row r="29" spans="2:11" ht="19.5">
      <c r="B29" s="75"/>
      <c r="C29" s="58"/>
      <c r="D29" s="58"/>
      <c r="E29" s="74"/>
      <c r="F29" s="274">
        <f t="shared" si="0"/>
        <v>0</v>
      </c>
      <c r="G29" s="236" t="str">
        <f t="shared" si="1"/>
        <v/>
      </c>
    </row>
    <row r="30" spans="2:11" ht="19.5">
      <c r="B30" s="75"/>
      <c r="C30" s="58"/>
      <c r="D30" s="58"/>
      <c r="E30" s="74"/>
      <c r="F30" s="274">
        <f t="shared" si="0"/>
        <v>0</v>
      </c>
      <c r="G30" s="236" t="str">
        <f t="shared" si="1"/>
        <v/>
      </c>
    </row>
    <row r="31" spans="2:11" ht="19.5">
      <c r="B31" s="75"/>
      <c r="C31" s="58"/>
      <c r="D31" s="58"/>
      <c r="E31" s="74"/>
      <c r="F31" s="274">
        <f t="shared" si="0"/>
        <v>0</v>
      </c>
      <c r="G31" s="236" t="str">
        <f t="shared" si="1"/>
        <v/>
      </c>
    </row>
    <row r="32" spans="2:11" ht="19.5">
      <c r="B32" s="75"/>
      <c r="C32" s="58"/>
      <c r="D32" s="58"/>
      <c r="E32" s="74"/>
      <c r="F32" s="274">
        <f t="shared" si="0"/>
        <v>0</v>
      </c>
      <c r="G32" s="236" t="str">
        <f t="shared" si="1"/>
        <v/>
      </c>
    </row>
    <row r="33" spans="2:7" ht="19.5">
      <c r="B33" s="75"/>
      <c r="C33" s="58"/>
      <c r="D33" s="58"/>
      <c r="E33" s="74"/>
      <c r="F33" s="274">
        <f t="shared" si="0"/>
        <v>0</v>
      </c>
      <c r="G33" s="236" t="str">
        <f t="shared" si="1"/>
        <v/>
      </c>
    </row>
    <row r="34" spans="2:7" ht="19.5">
      <c r="B34" s="75"/>
      <c r="C34" s="58"/>
      <c r="D34" s="58"/>
      <c r="E34" s="74"/>
      <c r="F34" s="274">
        <f t="shared" si="0"/>
        <v>0</v>
      </c>
      <c r="G34" s="236" t="str">
        <f t="shared" si="1"/>
        <v/>
      </c>
    </row>
    <row r="35" spans="2:7" ht="19.5">
      <c r="B35" s="75"/>
      <c r="C35" s="58"/>
      <c r="D35" s="58"/>
      <c r="E35" s="74"/>
      <c r="F35" s="274">
        <f t="shared" si="0"/>
        <v>0</v>
      </c>
      <c r="G35" s="236" t="str">
        <f t="shared" si="1"/>
        <v/>
      </c>
    </row>
    <row r="36" spans="2:7" ht="19.5">
      <c r="B36" s="75"/>
      <c r="C36" s="58"/>
      <c r="D36" s="58"/>
      <c r="E36" s="74"/>
      <c r="F36" s="274">
        <f t="shared" si="0"/>
        <v>0</v>
      </c>
      <c r="G36" s="236" t="str">
        <f t="shared" si="1"/>
        <v/>
      </c>
    </row>
    <row r="37" spans="2:7" ht="19.5">
      <c r="B37" s="75"/>
      <c r="C37" s="58"/>
      <c r="D37" s="58"/>
      <c r="E37" s="74"/>
      <c r="F37" s="274">
        <f t="shared" si="0"/>
        <v>0</v>
      </c>
      <c r="G37" s="236" t="str">
        <f t="shared" si="1"/>
        <v/>
      </c>
    </row>
    <row r="38" spans="2:7" ht="19.5">
      <c r="B38" s="75"/>
      <c r="C38" s="58"/>
      <c r="D38" s="58"/>
      <c r="E38" s="74"/>
      <c r="F38" s="274">
        <f t="shared" si="0"/>
        <v>0</v>
      </c>
      <c r="G38" s="236" t="str">
        <f t="shared" si="1"/>
        <v/>
      </c>
    </row>
    <row r="39" spans="2:7" ht="19.5">
      <c r="B39" s="75"/>
      <c r="C39" s="58"/>
      <c r="D39" s="58"/>
      <c r="E39" s="74"/>
      <c r="F39" s="274">
        <f t="shared" si="0"/>
        <v>0</v>
      </c>
      <c r="G39" s="236" t="str">
        <f t="shared" si="1"/>
        <v/>
      </c>
    </row>
    <row r="40" spans="2:7" ht="19.5">
      <c r="B40" s="75"/>
      <c r="C40" s="58"/>
      <c r="D40" s="58"/>
      <c r="E40" s="74"/>
      <c r="F40" s="274">
        <f t="shared" si="0"/>
        <v>0</v>
      </c>
      <c r="G40" s="236" t="str">
        <f t="shared" si="1"/>
        <v/>
      </c>
    </row>
    <row r="41" spans="2:7" ht="19.5">
      <c r="B41" s="75"/>
      <c r="C41" s="58"/>
      <c r="D41" s="58"/>
      <c r="E41" s="74"/>
      <c r="F41" s="274">
        <f t="shared" si="0"/>
        <v>0</v>
      </c>
      <c r="G41" s="236" t="str">
        <f t="shared" si="1"/>
        <v/>
      </c>
    </row>
    <row r="42" spans="2:7" ht="19.5">
      <c r="B42" s="75"/>
      <c r="C42" s="58"/>
      <c r="D42" s="58"/>
      <c r="E42" s="74"/>
      <c r="F42" s="274">
        <f t="shared" si="0"/>
        <v>0</v>
      </c>
      <c r="G42" s="236" t="str">
        <f t="shared" si="1"/>
        <v/>
      </c>
    </row>
    <row r="43" spans="2:7" ht="19.5">
      <c r="B43" s="75"/>
      <c r="C43" s="58"/>
      <c r="D43" s="58"/>
      <c r="E43" s="74"/>
      <c r="F43" s="274">
        <f t="shared" si="0"/>
        <v>0</v>
      </c>
      <c r="G43" s="236" t="str">
        <f t="shared" si="1"/>
        <v/>
      </c>
    </row>
    <row r="44" spans="2:7" ht="19.5">
      <c r="B44" s="75"/>
      <c r="C44" s="58"/>
      <c r="D44" s="58"/>
      <c r="E44" s="74"/>
      <c r="F44" s="274">
        <f t="shared" si="0"/>
        <v>0</v>
      </c>
      <c r="G44" s="236" t="str">
        <f t="shared" si="1"/>
        <v/>
      </c>
    </row>
    <row r="45" spans="2:7" ht="19.5">
      <c r="B45" s="75"/>
      <c r="C45" s="58"/>
      <c r="D45" s="58"/>
      <c r="E45" s="74"/>
      <c r="F45" s="274">
        <f t="shared" si="0"/>
        <v>0</v>
      </c>
      <c r="G45" s="236" t="str">
        <f t="shared" si="1"/>
        <v/>
      </c>
    </row>
    <row r="46" spans="2:7" ht="19.5">
      <c r="B46" s="75"/>
      <c r="C46" s="58"/>
      <c r="D46" s="58"/>
      <c r="E46" s="74"/>
      <c r="F46" s="274">
        <f t="shared" si="0"/>
        <v>0</v>
      </c>
      <c r="G46" s="236" t="str">
        <f t="shared" si="1"/>
        <v/>
      </c>
    </row>
    <row r="47" spans="2:7" ht="19.5">
      <c r="B47" s="75"/>
      <c r="C47" s="58"/>
      <c r="D47" s="58"/>
      <c r="E47" s="74"/>
      <c r="F47" s="274">
        <f t="shared" si="0"/>
        <v>0</v>
      </c>
      <c r="G47" s="236" t="str">
        <f t="shared" si="1"/>
        <v/>
      </c>
    </row>
    <row r="48" spans="2:7" ht="19.5">
      <c r="B48" s="75"/>
      <c r="C48" s="58"/>
      <c r="D48" s="58"/>
      <c r="E48" s="74"/>
      <c r="F48" s="274">
        <f t="shared" si="0"/>
        <v>0</v>
      </c>
      <c r="G48" s="236" t="str">
        <f t="shared" si="1"/>
        <v/>
      </c>
    </row>
    <row r="49" spans="2:7" ht="19.5">
      <c r="B49" s="75"/>
      <c r="C49" s="58"/>
      <c r="D49" s="58"/>
      <c r="E49" s="74"/>
      <c r="F49" s="274">
        <f t="shared" si="0"/>
        <v>0</v>
      </c>
      <c r="G49" s="236" t="str">
        <f t="shared" si="1"/>
        <v/>
      </c>
    </row>
    <row r="50" spans="2:7" ht="19.5">
      <c r="B50" s="75"/>
      <c r="C50" s="58"/>
      <c r="D50" s="58"/>
      <c r="E50" s="74"/>
      <c r="F50" s="274">
        <f t="shared" si="0"/>
        <v>0</v>
      </c>
      <c r="G50" s="236" t="str">
        <f t="shared" si="1"/>
        <v/>
      </c>
    </row>
    <row r="51" spans="2:7" ht="19.5">
      <c r="B51" s="75"/>
      <c r="C51" s="58"/>
      <c r="D51" s="58"/>
      <c r="E51" s="74"/>
      <c r="F51" s="274">
        <f t="shared" si="0"/>
        <v>0</v>
      </c>
      <c r="G51" s="236" t="str">
        <f t="shared" si="1"/>
        <v/>
      </c>
    </row>
    <row r="52" spans="2:7" ht="19.5">
      <c r="B52" s="75"/>
      <c r="C52" s="58"/>
      <c r="D52" s="58"/>
      <c r="E52" s="74"/>
      <c r="F52" s="274">
        <f t="shared" si="0"/>
        <v>0</v>
      </c>
      <c r="G52" s="236" t="str">
        <f t="shared" si="1"/>
        <v/>
      </c>
    </row>
    <row r="53" spans="2:7" ht="19.5">
      <c r="B53" s="75"/>
      <c r="C53" s="58"/>
      <c r="D53" s="58"/>
      <c r="E53" s="74"/>
      <c r="F53" s="274">
        <f t="shared" si="0"/>
        <v>0</v>
      </c>
      <c r="G53" s="236" t="str">
        <f t="shared" si="1"/>
        <v/>
      </c>
    </row>
    <row r="54" spans="2:7" ht="19.5">
      <c r="B54" s="75"/>
      <c r="C54" s="58"/>
      <c r="D54" s="58"/>
      <c r="E54" s="74"/>
      <c r="F54" s="274">
        <f t="shared" si="0"/>
        <v>0</v>
      </c>
      <c r="G54" s="236" t="str">
        <f t="shared" si="1"/>
        <v/>
      </c>
    </row>
    <row r="55" spans="2:7" ht="19.5">
      <c r="B55" s="75"/>
      <c r="C55" s="58"/>
      <c r="D55" s="58"/>
      <c r="E55" s="74"/>
      <c r="F55" s="274">
        <f t="shared" si="0"/>
        <v>0</v>
      </c>
      <c r="G55" s="236" t="str">
        <f t="shared" si="1"/>
        <v/>
      </c>
    </row>
    <row r="56" spans="2:7" ht="19.5">
      <c r="B56" s="75"/>
      <c r="C56" s="58"/>
      <c r="D56" s="58"/>
      <c r="E56" s="74"/>
      <c r="F56" s="274">
        <f t="shared" si="0"/>
        <v>0</v>
      </c>
      <c r="G56" s="236" t="str">
        <f t="shared" si="1"/>
        <v/>
      </c>
    </row>
    <row r="57" spans="2:7" ht="19.5">
      <c r="B57" s="75"/>
      <c r="C57" s="58"/>
      <c r="D57" s="58"/>
      <c r="E57" s="74"/>
      <c r="F57" s="274">
        <f t="shared" si="0"/>
        <v>0</v>
      </c>
      <c r="G57" s="236" t="str">
        <f t="shared" si="1"/>
        <v/>
      </c>
    </row>
    <row r="58" spans="2:7" ht="19.5">
      <c r="B58" s="75"/>
      <c r="C58" s="58"/>
      <c r="D58" s="58"/>
      <c r="E58" s="74"/>
      <c r="F58" s="274">
        <f t="shared" si="0"/>
        <v>0</v>
      </c>
      <c r="G58" s="236" t="str">
        <f t="shared" si="1"/>
        <v/>
      </c>
    </row>
    <row r="59" spans="2:7" ht="19.5">
      <c r="B59" s="75"/>
      <c r="C59" s="58"/>
      <c r="D59" s="58"/>
      <c r="E59" s="74"/>
      <c r="F59" s="274">
        <f t="shared" si="0"/>
        <v>0</v>
      </c>
      <c r="G59" s="236" t="str">
        <f t="shared" si="1"/>
        <v/>
      </c>
    </row>
    <row r="60" spans="2:7" ht="19.5">
      <c r="B60" s="75"/>
      <c r="C60" s="58"/>
      <c r="D60" s="58"/>
      <c r="E60" s="74"/>
      <c r="F60" s="274">
        <f t="shared" si="0"/>
        <v>0</v>
      </c>
      <c r="G60" s="236" t="str">
        <f t="shared" si="1"/>
        <v/>
      </c>
    </row>
    <row r="61" spans="2:7" ht="19.5">
      <c r="B61" s="75"/>
      <c r="C61" s="58"/>
      <c r="D61" s="58"/>
      <c r="E61" s="74"/>
      <c r="F61" s="274">
        <f t="shared" si="0"/>
        <v>0</v>
      </c>
      <c r="G61" s="236" t="str">
        <f t="shared" si="1"/>
        <v/>
      </c>
    </row>
    <row r="62" spans="2:7" ht="19.5">
      <c r="B62" s="75"/>
      <c r="C62" s="58"/>
      <c r="D62" s="58"/>
      <c r="E62" s="74"/>
      <c r="F62" s="274">
        <f t="shared" si="0"/>
        <v>0</v>
      </c>
      <c r="G62" s="236" t="str">
        <f t="shared" si="1"/>
        <v/>
      </c>
    </row>
    <row r="63" spans="2:7" ht="19.5">
      <c r="B63" s="75"/>
      <c r="C63" s="58"/>
      <c r="D63" s="58"/>
      <c r="E63" s="74"/>
      <c r="F63" s="274">
        <f t="shared" si="0"/>
        <v>0</v>
      </c>
      <c r="G63" s="236" t="str">
        <f t="shared" si="1"/>
        <v/>
      </c>
    </row>
    <row r="64" spans="2:7" ht="19.5">
      <c r="B64" s="75"/>
      <c r="C64" s="58"/>
      <c r="D64" s="58"/>
      <c r="E64" s="74"/>
      <c r="F64" s="274">
        <f t="shared" si="0"/>
        <v>0</v>
      </c>
      <c r="G64" s="236" t="str">
        <f t="shared" si="1"/>
        <v/>
      </c>
    </row>
    <row r="65" spans="2:7" ht="19.5">
      <c r="B65" s="75"/>
      <c r="C65" s="58"/>
      <c r="D65" s="58"/>
      <c r="E65" s="74"/>
      <c r="F65" s="274">
        <f t="shared" si="0"/>
        <v>0</v>
      </c>
      <c r="G65" s="236" t="str">
        <f t="shared" si="1"/>
        <v/>
      </c>
    </row>
    <row r="66" spans="2:7" ht="19.5">
      <c r="B66" s="75"/>
      <c r="C66" s="58"/>
      <c r="D66" s="58"/>
      <c r="E66" s="74"/>
      <c r="F66" s="274">
        <f t="shared" si="0"/>
        <v>0</v>
      </c>
      <c r="G66" s="236" t="str">
        <f t="shared" si="1"/>
        <v/>
      </c>
    </row>
    <row r="67" spans="2:7" ht="19.5">
      <c r="B67" s="75"/>
      <c r="C67" s="58"/>
      <c r="D67" s="58"/>
      <c r="E67" s="74"/>
      <c r="F67" s="274">
        <f t="shared" si="0"/>
        <v>0</v>
      </c>
      <c r="G67" s="236" t="str">
        <f t="shared" si="1"/>
        <v/>
      </c>
    </row>
    <row r="68" spans="2:7" ht="19.5">
      <c r="B68" s="75"/>
      <c r="C68" s="58"/>
      <c r="D68" s="58"/>
      <c r="E68" s="74"/>
      <c r="F68" s="274">
        <f t="shared" si="0"/>
        <v>0</v>
      </c>
      <c r="G68" s="236" t="str">
        <f t="shared" si="1"/>
        <v/>
      </c>
    </row>
    <row r="69" spans="2:7" ht="19.5">
      <c r="B69" s="75"/>
      <c r="C69" s="58"/>
      <c r="D69" s="58"/>
      <c r="E69" s="74"/>
      <c r="F69" s="274">
        <f t="shared" si="0"/>
        <v>0</v>
      </c>
      <c r="G69" s="236" t="str">
        <f t="shared" si="1"/>
        <v/>
      </c>
    </row>
    <row r="70" spans="2:7" ht="19.5">
      <c r="B70" s="75"/>
      <c r="C70" s="58"/>
      <c r="D70" s="58"/>
      <c r="E70" s="74"/>
      <c r="F70" s="274">
        <f t="shared" si="0"/>
        <v>0</v>
      </c>
      <c r="G70" s="236" t="str">
        <f t="shared" si="1"/>
        <v/>
      </c>
    </row>
    <row r="71" spans="2:7" ht="19.5">
      <c r="B71" s="75"/>
      <c r="C71" s="58"/>
      <c r="D71" s="58"/>
      <c r="E71" s="74"/>
      <c r="F71" s="274">
        <f t="shared" ref="F71:F134" si="2">IF(E71&gt;0,COUNTA(B71,C71,D71,E71),0)</f>
        <v>0</v>
      </c>
      <c r="G71" s="236" t="str">
        <f t="shared" ref="G71:G134" si="3">_xlfn.IFS(F71=0,"",F71&lt;=3,"ピンク色のセルを全て入力してください",F71=4,"OK")</f>
        <v/>
      </c>
    </row>
    <row r="72" spans="2:7" ht="19.5">
      <c r="B72" s="75"/>
      <c r="C72" s="58"/>
      <c r="D72" s="58"/>
      <c r="E72" s="74"/>
      <c r="F72" s="274">
        <f t="shared" si="2"/>
        <v>0</v>
      </c>
      <c r="G72" s="236" t="str">
        <f t="shared" si="3"/>
        <v/>
      </c>
    </row>
    <row r="73" spans="2:7" ht="19.5">
      <c r="B73" s="75"/>
      <c r="C73" s="58"/>
      <c r="D73" s="58"/>
      <c r="E73" s="74"/>
      <c r="F73" s="274">
        <f t="shared" si="2"/>
        <v>0</v>
      </c>
      <c r="G73" s="236" t="str">
        <f t="shared" si="3"/>
        <v/>
      </c>
    </row>
    <row r="74" spans="2:7" ht="19.5">
      <c r="B74" s="75"/>
      <c r="C74" s="58"/>
      <c r="D74" s="58"/>
      <c r="E74" s="74"/>
      <c r="F74" s="274">
        <f t="shared" si="2"/>
        <v>0</v>
      </c>
      <c r="G74" s="236" t="str">
        <f t="shared" si="3"/>
        <v/>
      </c>
    </row>
    <row r="75" spans="2:7" ht="19.5">
      <c r="B75" s="75"/>
      <c r="C75" s="58"/>
      <c r="D75" s="58"/>
      <c r="E75" s="74"/>
      <c r="F75" s="274">
        <f t="shared" si="2"/>
        <v>0</v>
      </c>
      <c r="G75" s="236" t="str">
        <f t="shared" si="3"/>
        <v/>
      </c>
    </row>
    <row r="76" spans="2:7" ht="19.5">
      <c r="B76" s="75"/>
      <c r="C76" s="58"/>
      <c r="D76" s="58"/>
      <c r="E76" s="74"/>
      <c r="F76" s="274">
        <f t="shared" si="2"/>
        <v>0</v>
      </c>
      <c r="G76" s="236" t="str">
        <f t="shared" si="3"/>
        <v/>
      </c>
    </row>
    <row r="77" spans="2:7" ht="19.5">
      <c r="B77" s="75"/>
      <c r="C77" s="58"/>
      <c r="D77" s="58"/>
      <c r="E77" s="74"/>
      <c r="F77" s="274">
        <f t="shared" si="2"/>
        <v>0</v>
      </c>
      <c r="G77" s="236" t="str">
        <f t="shared" si="3"/>
        <v/>
      </c>
    </row>
    <row r="78" spans="2:7" ht="19.5">
      <c r="B78" s="75"/>
      <c r="C78" s="58"/>
      <c r="D78" s="58"/>
      <c r="E78" s="74"/>
      <c r="F78" s="274">
        <f t="shared" si="2"/>
        <v>0</v>
      </c>
      <c r="G78" s="236" t="str">
        <f t="shared" si="3"/>
        <v/>
      </c>
    </row>
    <row r="79" spans="2:7" ht="19.5">
      <c r="B79" s="75"/>
      <c r="C79" s="58"/>
      <c r="D79" s="58"/>
      <c r="E79" s="74"/>
      <c r="F79" s="274">
        <f t="shared" si="2"/>
        <v>0</v>
      </c>
      <c r="G79" s="236" t="str">
        <f t="shared" si="3"/>
        <v/>
      </c>
    </row>
    <row r="80" spans="2:7" ht="19.5">
      <c r="B80" s="75"/>
      <c r="C80" s="58"/>
      <c r="D80" s="58"/>
      <c r="E80" s="74"/>
      <c r="F80" s="274">
        <f t="shared" si="2"/>
        <v>0</v>
      </c>
      <c r="G80" s="236" t="str">
        <f t="shared" si="3"/>
        <v/>
      </c>
    </row>
    <row r="81" spans="2:7" ht="19.5">
      <c r="B81" s="75"/>
      <c r="C81" s="58"/>
      <c r="D81" s="58"/>
      <c r="E81" s="74"/>
      <c r="F81" s="274">
        <f t="shared" si="2"/>
        <v>0</v>
      </c>
      <c r="G81" s="236" t="str">
        <f t="shared" si="3"/>
        <v/>
      </c>
    </row>
    <row r="82" spans="2:7" ht="19.5">
      <c r="B82" s="75"/>
      <c r="C82" s="58"/>
      <c r="D82" s="58"/>
      <c r="E82" s="74"/>
      <c r="F82" s="274">
        <f t="shared" si="2"/>
        <v>0</v>
      </c>
      <c r="G82" s="236" t="str">
        <f t="shared" si="3"/>
        <v/>
      </c>
    </row>
    <row r="83" spans="2:7" ht="19.5">
      <c r="B83" s="75"/>
      <c r="C83" s="58"/>
      <c r="D83" s="58"/>
      <c r="E83" s="74"/>
      <c r="F83" s="274">
        <f t="shared" si="2"/>
        <v>0</v>
      </c>
      <c r="G83" s="236" t="str">
        <f t="shared" si="3"/>
        <v/>
      </c>
    </row>
    <row r="84" spans="2:7" ht="19.5">
      <c r="B84" s="75"/>
      <c r="C84" s="58"/>
      <c r="D84" s="58"/>
      <c r="E84" s="74"/>
      <c r="F84" s="274">
        <f t="shared" si="2"/>
        <v>0</v>
      </c>
      <c r="G84" s="236" t="str">
        <f t="shared" si="3"/>
        <v/>
      </c>
    </row>
    <row r="85" spans="2:7" ht="19.5">
      <c r="B85" s="75"/>
      <c r="C85" s="58"/>
      <c r="D85" s="58"/>
      <c r="E85" s="74"/>
      <c r="F85" s="274">
        <f t="shared" si="2"/>
        <v>0</v>
      </c>
      <c r="G85" s="236" t="str">
        <f t="shared" si="3"/>
        <v/>
      </c>
    </row>
    <row r="86" spans="2:7" ht="19.5">
      <c r="B86" s="75"/>
      <c r="C86" s="58"/>
      <c r="D86" s="58"/>
      <c r="E86" s="74"/>
      <c r="F86" s="274">
        <f t="shared" si="2"/>
        <v>0</v>
      </c>
      <c r="G86" s="236" t="str">
        <f t="shared" si="3"/>
        <v/>
      </c>
    </row>
    <row r="87" spans="2:7" ht="19.5">
      <c r="B87" s="75"/>
      <c r="C87" s="58"/>
      <c r="D87" s="58"/>
      <c r="E87" s="74"/>
      <c r="F87" s="274">
        <f t="shared" si="2"/>
        <v>0</v>
      </c>
      <c r="G87" s="236" t="str">
        <f t="shared" si="3"/>
        <v/>
      </c>
    </row>
    <row r="88" spans="2:7" ht="19.5">
      <c r="B88" s="75"/>
      <c r="C88" s="58"/>
      <c r="D88" s="58"/>
      <c r="E88" s="74"/>
      <c r="F88" s="274">
        <f t="shared" si="2"/>
        <v>0</v>
      </c>
      <c r="G88" s="236" t="str">
        <f t="shared" si="3"/>
        <v/>
      </c>
    </row>
    <row r="89" spans="2:7" ht="19.5">
      <c r="B89" s="75"/>
      <c r="C89" s="58"/>
      <c r="D89" s="58"/>
      <c r="E89" s="74"/>
      <c r="F89" s="274">
        <f t="shared" si="2"/>
        <v>0</v>
      </c>
      <c r="G89" s="236" t="str">
        <f t="shared" si="3"/>
        <v/>
      </c>
    </row>
    <row r="90" spans="2:7" ht="19.5">
      <c r="B90" s="75"/>
      <c r="C90" s="58"/>
      <c r="D90" s="58"/>
      <c r="E90" s="74"/>
      <c r="F90" s="274">
        <f t="shared" si="2"/>
        <v>0</v>
      </c>
      <c r="G90" s="236" t="str">
        <f t="shared" si="3"/>
        <v/>
      </c>
    </row>
    <row r="91" spans="2:7" ht="19.5">
      <c r="B91" s="75"/>
      <c r="C91" s="58"/>
      <c r="D91" s="58"/>
      <c r="E91" s="74"/>
      <c r="F91" s="274">
        <f t="shared" si="2"/>
        <v>0</v>
      </c>
      <c r="G91" s="236" t="str">
        <f t="shared" si="3"/>
        <v/>
      </c>
    </row>
    <row r="92" spans="2:7" ht="19.5">
      <c r="B92" s="75"/>
      <c r="C92" s="58"/>
      <c r="D92" s="58"/>
      <c r="E92" s="74"/>
      <c r="F92" s="274">
        <f t="shared" si="2"/>
        <v>0</v>
      </c>
      <c r="G92" s="236" t="str">
        <f t="shared" si="3"/>
        <v/>
      </c>
    </row>
    <row r="93" spans="2:7" ht="19.5">
      <c r="B93" s="75"/>
      <c r="C93" s="58"/>
      <c r="D93" s="58"/>
      <c r="E93" s="74"/>
      <c r="F93" s="274">
        <f t="shared" si="2"/>
        <v>0</v>
      </c>
      <c r="G93" s="236" t="str">
        <f t="shared" si="3"/>
        <v/>
      </c>
    </row>
    <row r="94" spans="2:7" ht="19.5">
      <c r="B94" s="75"/>
      <c r="C94" s="58"/>
      <c r="D94" s="58"/>
      <c r="E94" s="74"/>
      <c r="F94" s="274">
        <f t="shared" si="2"/>
        <v>0</v>
      </c>
      <c r="G94" s="236" t="str">
        <f t="shared" si="3"/>
        <v/>
      </c>
    </row>
    <row r="95" spans="2:7" ht="19.5">
      <c r="B95" s="75"/>
      <c r="C95" s="58"/>
      <c r="D95" s="58"/>
      <c r="E95" s="74"/>
      <c r="F95" s="274">
        <f t="shared" si="2"/>
        <v>0</v>
      </c>
      <c r="G95" s="236" t="str">
        <f t="shared" si="3"/>
        <v/>
      </c>
    </row>
    <row r="96" spans="2:7" ht="19.5">
      <c r="B96" s="75"/>
      <c r="C96" s="58"/>
      <c r="D96" s="58"/>
      <c r="E96" s="74"/>
      <c r="F96" s="274">
        <f t="shared" si="2"/>
        <v>0</v>
      </c>
      <c r="G96" s="236" t="str">
        <f t="shared" si="3"/>
        <v/>
      </c>
    </row>
    <row r="97" spans="2:7" ht="19.5">
      <c r="B97" s="75"/>
      <c r="C97" s="58"/>
      <c r="D97" s="58"/>
      <c r="E97" s="74"/>
      <c r="F97" s="274">
        <f t="shared" si="2"/>
        <v>0</v>
      </c>
      <c r="G97" s="236" t="str">
        <f t="shared" si="3"/>
        <v/>
      </c>
    </row>
    <row r="98" spans="2:7" ht="19.5">
      <c r="B98" s="75"/>
      <c r="C98" s="58"/>
      <c r="D98" s="58"/>
      <c r="E98" s="74"/>
      <c r="F98" s="274">
        <f t="shared" si="2"/>
        <v>0</v>
      </c>
      <c r="G98" s="236" t="str">
        <f t="shared" si="3"/>
        <v/>
      </c>
    </row>
    <row r="99" spans="2:7" ht="19.5">
      <c r="B99" s="75"/>
      <c r="C99" s="58"/>
      <c r="D99" s="58"/>
      <c r="E99" s="74"/>
      <c r="F99" s="274">
        <f t="shared" si="2"/>
        <v>0</v>
      </c>
      <c r="G99" s="236" t="str">
        <f t="shared" si="3"/>
        <v/>
      </c>
    </row>
    <row r="100" spans="2:7" ht="16.5" customHeight="1">
      <c r="B100" s="75"/>
      <c r="C100" s="58"/>
      <c r="D100" s="58"/>
      <c r="E100" s="74"/>
      <c r="F100" s="274">
        <f t="shared" si="2"/>
        <v>0</v>
      </c>
      <c r="G100" s="236" t="str">
        <f t="shared" si="3"/>
        <v/>
      </c>
    </row>
    <row r="101" spans="2:7" ht="19.5">
      <c r="B101" s="75"/>
      <c r="C101" s="58"/>
      <c r="D101" s="58"/>
      <c r="E101" s="74"/>
      <c r="F101" s="274">
        <f t="shared" si="2"/>
        <v>0</v>
      </c>
      <c r="G101" s="236" t="str">
        <f t="shared" si="3"/>
        <v/>
      </c>
    </row>
    <row r="102" spans="2:7" ht="19.5">
      <c r="B102" s="75"/>
      <c r="C102" s="58"/>
      <c r="D102" s="58"/>
      <c r="E102" s="74"/>
      <c r="F102" s="274">
        <f t="shared" si="2"/>
        <v>0</v>
      </c>
      <c r="G102" s="236" t="str">
        <f t="shared" si="3"/>
        <v/>
      </c>
    </row>
    <row r="103" spans="2:7" ht="19.5">
      <c r="B103" s="75"/>
      <c r="C103" s="58"/>
      <c r="D103" s="58"/>
      <c r="E103" s="74"/>
      <c r="F103" s="274">
        <f t="shared" si="2"/>
        <v>0</v>
      </c>
      <c r="G103" s="236" t="str">
        <f t="shared" si="3"/>
        <v/>
      </c>
    </row>
    <row r="104" spans="2:7" ht="19.5">
      <c r="B104" s="75"/>
      <c r="C104" s="58"/>
      <c r="D104" s="58"/>
      <c r="E104" s="74"/>
      <c r="F104" s="274">
        <f t="shared" si="2"/>
        <v>0</v>
      </c>
      <c r="G104" s="236" t="str">
        <f t="shared" si="3"/>
        <v/>
      </c>
    </row>
    <row r="105" spans="2:7" ht="19.5">
      <c r="B105" s="75"/>
      <c r="C105" s="58"/>
      <c r="D105" s="58"/>
      <c r="E105" s="74"/>
      <c r="F105" s="274">
        <f t="shared" si="2"/>
        <v>0</v>
      </c>
      <c r="G105" s="236" t="str">
        <f t="shared" si="3"/>
        <v/>
      </c>
    </row>
    <row r="106" spans="2:7" ht="19.5">
      <c r="B106" s="75"/>
      <c r="C106" s="58"/>
      <c r="D106" s="58"/>
      <c r="E106" s="74"/>
      <c r="F106" s="274">
        <f t="shared" si="2"/>
        <v>0</v>
      </c>
      <c r="G106" s="236" t="str">
        <f t="shared" si="3"/>
        <v/>
      </c>
    </row>
    <row r="107" spans="2:7" ht="19.5">
      <c r="B107" s="75"/>
      <c r="C107" s="58"/>
      <c r="D107" s="58"/>
      <c r="E107" s="74"/>
      <c r="F107" s="274">
        <f t="shared" si="2"/>
        <v>0</v>
      </c>
      <c r="G107" s="236" t="str">
        <f t="shared" si="3"/>
        <v/>
      </c>
    </row>
    <row r="108" spans="2:7" ht="19.5">
      <c r="B108" s="75"/>
      <c r="C108" s="58"/>
      <c r="D108" s="58"/>
      <c r="E108" s="74"/>
      <c r="F108" s="274">
        <f t="shared" si="2"/>
        <v>0</v>
      </c>
      <c r="G108" s="236" t="str">
        <f t="shared" si="3"/>
        <v/>
      </c>
    </row>
    <row r="109" spans="2:7" ht="19.5">
      <c r="B109" s="75"/>
      <c r="C109" s="58"/>
      <c r="D109" s="58"/>
      <c r="E109" s="74"/>
      <c r="F109" s="274">
        <f t="shared" si="2"/>
        <v>0</v>
      </c>
      <c r="G109" s="236" t="str">
        <f t="shared" si="3"/>
        <v/>
      </c>
    </row>
    <row r="110" spans="2:7" ht="19.5">
      <c r="B110" s="75"/>
      <c r="C110" s="58"/>
      <c r="D110" s="58"/>
      <c r="E110" s="74"/>
      <c r="F110" s="274">
        <f t="shared" si="2"/>
        <v>0</v>
      </c>
      <c r="G110" s="236" t="str">
        <f t="shared" si="3"/>
        <v/>
      </c>
    </row>
    <row r="111" spans="2:7" ht="19.5">
      <c r="B111" s="75"/>
      <c r="C111" s="58"/>
      <c r="D111" s="58"/>
      <c r="E111" s="74"/>
      <c r="F111" s="274">
        <f t="shared" si="2"/>
        <v>0</v>
      </c>
      <c r="G111" s="236" t="str">
        <f t="shared" si="3"/>
        <v/>
      </c>
    </row>
    <row r="112" spans="2:7" ht="19.5">
      <c r="B112" s="75"/>
      <c r="C112" s="58"/>
      <c r="D112" s="58"/>
      <c r="E112" s="74"/>
      <c r="F112" s="274">
        <f t="shared" si="2"/>
        <v>0</v>
      </c>
      <c r="G112" s="236" t="str">
        <f t="shared" si="3"/>
        <v/>
      </c>
    </row>
    <row r="113" spans="2:7" ht="19.5">
      <c r="B113" s="75"/>
      <c r="C113" s="58"/>
      <c r="D113" s="58"/>
      <c r="E113" s="74"/>
      <c r="F113" s="274">
        <f t="shared" si="2"/>
        <v>0</v>
      </c>
      <c r="G113" s="236" t="str">
        <f t="shared" si="3"/>
        <v/>
      </c>
    </row>
    <row r="114" spans="2:7" ht="19.5">
      <c r="B114" s="75"/>
      <c r="C114" s="58"/>
      <c r="D114" s="58"/>
      <c r="E114" s="74"/>
      <c r="F114" s="274">
        <f t="shared" si="2"/>
        <v>0</v>
      </c>
      <c r="G114" s="236" t="str">
        <f t="shared" si="3"/>
        <v/>
      </c>
    </row>
    <row r="115" spans="2:7" ht="19.5">
      <c r="B115" s="75"/>
      <c r="C115" s="58"/>
      <c r="D115" s="58"/>
      <c r="E115" s="74"/>
      <c r="F115" s="274">
        <f t="shared" si="2"/>
        <v>0</v>
      </c>
      <c r="G115" s="236" t="str">
        <f t="shared" si="3"/>
        <v/>
      </c>
    </row>
    <row r="116" spans="2:7" ht="19.5">
      <c r="B116" s="75"/>
      <c r="C116" s="58"/>
      <c r="D116" s="58"/>
      <c r="E116" s="74"/>
      <c r="F116" s="274">
        <f t="shared" si="2"/>
        <v>0</v>
      </c>
      <c r="G116" s="236" t="str">
        <f t="shared" si="3"/>
        <v/>
      </c>
    </row>
    <row r="117" spans="2:7" ht="19.5">
      <c r="B117" s="75"/>
      <c r="C117" s="58"/>
      <c r="D117" s="58"/>
      <c r="E117" s="74"/>
      <c r="F117" s="274">
        <f t="shared" si="2"/>
        <v>0</v>
      </c>
      <c r="G117" s="236" t="str">
        <f t="shared" si="3"/>
        <v/>
      </c>
    </row>
    <row r="118" spans="2:7" ht="19.5">
      <c r="B118" s="75"/>
      <c r="C118" s="58"/>
      <c r="D118" s="58"/>
      <c r="E118" s="74"/>
      <c r="F118" s="274">
        <f t="shared" si="2"/>
        <v>0</v>
      </c>
      <c r="G118" s="236" t="str">
        <f t="shared" si="3"/>
        <v/>
      </c>
    </row>
    <row r="119" spans="2:7" ht="19.5">
      <c r="B119" s="75"/>
      <c r="C119" s="58"/>
      <c r="D119" s="58"/>
      <c r="E119" s="74"/>
      <c r="F119" s="274">
        <f t="shared" si="2"/>
        <v>0</v>
      </c>
      <c r="G119" s="236" t="str">
        <f t="shared" si="3"/>
        <v/>
      </c>
    </row>
    <row r="120" spans="2:7" ht="19.5">
      <c r="B120" s="75"/>
      <c r="C120" s="58"/>
      <c r="D120" s="58"/>
      <c r="E120" s="74"/>
      <c r="F120" s="274">
        <f t="shared" si="2"/>
        <v>0</v>
      </c>
      <c r="G120" s="236" t="str">
        <f t="shared" si="3"/>
        <v/>
      </c>
    </row>
    <row r="121" spans="2:7" ht="19.5">
      <c r="B121" s="75"/>
      <c r="C121" s="58"/>
      <c r="D121" s="58"/>
      <c r="E121" s="74"/>
      <c r="F121" s="274">
        <f t="shared" si="2"/>
        <v>0</v>
      </c>
      <c r="G121" s="236" t="str">
        <f t="shared" si="3"/>
        <v/>
      </c>
    </row>
    <row r="122" spans="2:7" ht="19.5">
      <c r="B122" s="75"/>
      <c r="C122" s="58"/>
      <c r="D122" s="58"/>
      <c r="E122" s="74"/>
      <c r="F122" s="274">
        <f t="shared" si="2"/>
        <v>0</v>
      </c>
      <c r="G122" s="236" t="str">
        <f t="shared" si="3"/>
        <v/>
      </c>
    </row>
    <row r="123" spans="2:7" ht="19.5">
      <c r="B123" s="75"/>
      <c r="C123" s="58"/>
      <c r="D123" s="58"/>
      <c r="E123" s="74"/>
      <c r="F123" s="274">
        <f t="shared" si="2"/>
        <v>0</v>
      </c>
      <c r="G123" s="236" t="str">
        <f t="shared" si="3"/>
        <v/>
      </c>
    </row>
    <row r="124" spans="2:7" ht="19.5">
      <c r="B124" s="75"/>
      <c r="C124" s="58"/>
      <c r="D124" s="58"/>
      <c r="E124" s="74"/>
      <c r="F124" s="274">
        <f t="shared" si="2"/>
        <v>0</v>
      </c>
      <c r="G124" s="236" t="str">
        <f t="shared" si="3"/>
        <v/>
      </c>
    </row>
    <row r="125" spans="2:7" ht="19.5">
      <c r="B125" s="75"/>
      <c r="C125" s="58"/>
      <c r="D125" s="58"/>
      <c r="E125" s="74"/>
      <c r="F125" s="274">
        <f t="shared" si="2"/>
        <v>0</v>
      </c>
      <c r="G125" s="236" t="str">
        <f t="shared" si="3"/>
        <v/>
      </c>
    </row>
    <row r="126" spans="2:7" ht="19.5">
      <c r="B126" s="75"/>
      <c r="C126" s="58"/>
      <c r="D126" s="58"/>
      <c r="E126" s="74"/>
      <c r="F126" s="274">
        <f t="shared" si="2"/>
        <v>0</v>
      </c>
      <c r="G126" s="236" t="str">
        <f t="shared" si="3"/>
        <v/>
      </c>
    </row>
    <row r="127" spans="2:7" ht="19.5">
      <c r="B127" s="75"/>
      <c r="C127" s="58"/>
      <c r="D127" s="58"/>
      <c r="E127" s="74"/>
      <c r="F127" s="274">
        <f t="shared" si="2"/>
        <v>0</v>
      </c>
      <c r="G127" s="236" t="str">
        <f t="shared" si="3"/>
        <v/>
      </c>
    </row>
    <row r="128" spans="2:7" ht="19.5">
      <c r="B128" s="75"/>
      <c r="C128" s="58"/>
      <c r="D128" s="58"/>
      <c r="E128" s="74"/>
      <c r="F128" s="274">
        <f t="shared" si="2"/>
        <v>0</v>
      </c>
      <c r="G128" s="236" t="str">
        <f t="shared" si="3"/>
        <v/>
      </c>
    </row>
    <row r="129" spans="2:7" ht="19.5">
      <c r="B129" s="75"/>
      <c r="C129" s="58"/>
      <c r="D129" s="58"/>
      <c r="E129" s="74"/>
      <c r="F129" s="274">
        <f t="shared" si="2"/>
        <v>0</v>
      </c>
      <c r="G129" s="236" t="str">
        <f t="shared" si="3"/>
        <v/>
      </c>
    </row>
    <row r="130" spans="2:7" ht="19.5">
      <c r="B130" s="75"/>
      <c r="C130" s="58"/>
      <c r="D130" s="58"/>
      <c r="E130" s="74"/>
      <c r="F130" s="274">
        <f t="shared" si="2"/>
        <v>0</v>
      </c>
      <c r="G130" s="236" t="str">
        <f t="shared" si="3"/>
        <v/>
      </c>
    </row>
    <row r="131" spans="2:7" ht="19.5">
      <c r="B131" s="75"/>
      <c r="C131" s="58"/>
      <c r="D131" s="58"/>
      <c r="E131" s="74"/>
      <c r="F131" s="274">
        <f t="shared" si="2"/>
        <v>0</v>
      </c>
      <c r="G131" s="236" t="str">
        <f t="shared" si="3"/>
        <v/>
      </c>
    </row>
    <row r="132" spans="2:7" ht="19.5">
      <c r="B132" s="75"/>
      <c r="C132" s="58"/>
      <c r="D132" s="58"/>
      <c r="E132" s="74"/>
      <c r="F132" s="274">
        <f t="shared" si="2"/>
        <v>0</v>
      </c>
      <c r="G132" s="236" t="str">
        <f t="shared" si="3"/>
        <v/>
      </c>
    </row>
    <row r="133" spans="2:7" ht="19.5">
      <c r="B133" s="75"/>
      <c r="C133" s="58"/>
      <c r="D133" s="58"/>
      <c r="E133" s="74"/>
      <c r="F133" s="274">
        <f t="shared" si="2"/>
        <v>0</v>
      </c>
      <c r="G133" s="236" t="str">
        <f t="shared" si="3"/>
        <v/>
      </c>
    </row>
    <row r="134" spans="2:7" ht="19.5">
      <c r="B134" s="75"/>
      <c r="C134" s="58"/>
      <c r="D134" s="58"/>
      <c r="E134" s="74"/>
      <c r="F134" s="274">
        <f t="shared" si="2"/>
        <v>0</v>
      </c>
      <c r="G134" s="236" t="str">
        <f t="shared" si="3"/>
        <v/>
      </c>
    </row>
    <row r="135" spans="2:7" ht="19.5">
      <c r="B135" s="75"/>
      <c r="C135" s="58"/>
      <c r="D135" s="58"/>
      <c r="E135" s="74"/>
      <c r="F135" s="274">
        <f t="shared" ref="F135:F198" si="4">IF(E135&gt;0,COUNTA(B135,C135,D135,E135),0)</f>
        <v>0</v>
      </c>
      <c r="G135" s="236" t="str">
        <f t="shared" ref="G135:G198" si="5">_xlfn.IFS(F135=0,"",F135&lt;=3,"ピンク色のセルを全て入力してください",F135=4,"OK")</f>
        <v/>
      </c>
    </row>
    <row r="136" spans="2:7" ht="19.5">
      <c r="B136" s="75"/>
      <c r="C136" s="58"/>
      <c r="D136" s="58"/>
      <c r="E136" s="74"/>
      <c r="F136" s="274">
        <f t="shared" si="4"/>
        <v>0</v>
      </c>
      <c r="G136" s="236" t="str">
        <f t="shared" si="5"/>
        <v/>
      </c>
    </row>
    <row r="137" spans="2:7" ht="19.5">
      <c r="B137" s="75"/>
      <c r="C137" s="58"/>
      <c r="D137" s="58"/>
      <c r="E137" s="74"/>
      <c r="F137" s="274">
        <f t="shared" si="4"/>
        <v>0</v>
      </c>
      <c r="G137" s="236" t="str">
        <f t="shared" si="5"/>
        <v/>
      </c>
    </row>
    <row r="138" spans="2:7" ht="19.5">
      <c r="B138" s="75"/>
      <c r="C138" s="58"/>
      <c r="D138" s="58"/>
      <c r="E138" s="74"/>
      <c r="F138" s="274">
        <f t="shared" si="4"/>
        <v>0</v>
      </c>
      <c r="G138" s="236" t="str">
        <f t="shared" si="5"/>
        <v/>
      </c>
    </row>
    <row r="139" spans="2:7" ht="19.5">
      <c r="B139" s="75"/>
      <c r="C139" s="58"/>
      <c r="D139" s="58"/>
      <c r="E139" s="74"/>
      <c r="F139" s="274">
        <f t="shared" si="4"/>
        <v>0</v>
      </c>
      <c r="G139" s="236" t="str">
        <f t="shared" si="5"/>
        <v/>
      </c>
    </row>
    <row r="140" spans="2:7" ht="19.5">
      <c r="B140" s="75"/>
      <c r="C140" s="58"/>
      <c r="D140" s="58"/>
      <c r="E140" s="74"/>
      <c r="F140" s="274">
        <f t="shared" si="4"/>
        <v>0</v>
      </c>
      <c r="G140" s="236" t="str">
        <f t="shared" si="5"/>
        <v/>
      </c>
    </row>
    <row r="141" spans="2:7" ht="19.5">
      <c r="B141" s="75"/>
      <c r="C141" s="58"/>
      <c r="D141" s="58"/>
      <c r="E141" s="74"/>
      <c r="F141" s="274">
        <f t="shared" si="4"/>
        <v>0</v>
      </c>
      <c r="G141" s="236" t="str">
        <f t="shared" si="5"/>
        <v/>
      </c>
    </row>
    <row r="142" spans="2:7" ht="19.5">
      <c r="B142" s="75"/>
      <c r="C142" s="58"/>
      <c r="D142" s="58"/>
      <c r="E142" s="74"/>
      <c r="F142" s="274">
        <f t="shared" si="4"/>
        <v>0</v>
      </c>
      <c r="G142" s="236" t="str">
        <f t="shared" si="5"/>
        <v/>
      </c>
    </row>
    <row r="143" spans="2:7" ht="19.5">
      <c r="B143" s="75"/>
      <c r="C143" s="58"/>
      <c r="D143" s="58"/>
      <c r="E143" s="74"/>
      <c r="F143" s="274">
        <f t="shared" si="4"/>
        <v>0</v>
      </c>
      <c r="G143" s="236" t="str">
        <f t="shared" si="5"/>
        <v/>
      </c>
    </row>
    <row r="144" spans="2:7" ht="19.5">
      <c r="B144" s="75"/>
      <c r="C144" s="58"/>
      <c r="D144" s="58"/>
      <c r="E144" s="74"/>
      <c r="F144" s="274">
        <f t="shared" si="4"/>
        <v>0</v>
      </c>
      <c r="G144" s="236" t="str">
        <f t="shared" si="5"/>
        <v/>
      </c>
    </row>
    <row r="145" spans="2:7" ht="19.5">
      <c r="B145" s="75"/>
      <c r="C145" s="58"/>
      <c r="D145" s="58"/>
      <c r="E145" s="74"/>
      <c r="F145" s="274">
        <f t="shared" si="4"/>
        <v>0</v>
      </c>
      <c r="G145" s="236" t="str">
        <f t="shared" si="5"/>
        <v/>
      </c>
    </row>
    <row r="146" spans="2:7" ht="19.5">
      <c r="B146" s="75"/>
      <c r="C146" s="58"/>
      <c r="D146" s="58"/>
      <c r="E146" s="74"/>
      <c r="F146" s="274">
        <f t="shared" si="4"/>
        <v>0</v>
      </c>
      <c r="G146" s="236" t="str">
        <f t="shared" si="5"/>
        <v/>
      </c>
    </row>
    <row r="147" spans="2:7" ht="19.5">
      <c r="B147" s="75"/>
      <c r="C147" s="58"/>
      <c r="D147" s="58"/>
      <c r="E147" s="74"/>
      <c r="F147" s="274">
        <f t="shared" si="4"/>
        <v>0</v>
      </c>
      <c r="G147" s="236" t="str">
        <f t="shared" si="5"/>
        <v/>
      </c>
    </row>
    <row r="148" spans="2:7" ht="19.5">
      <c r="B148" s="75"/>
      <c r="C148" s="58"/>
      <c r="D148" s="58"/>
      <c r="E148" s="74"/>
      <c r="F148" s="274">
        <f t="shared" si="4"/>
        <v>0</v>
      </c>
      <c r="G148" s="236" t="str">
        <f t="shared" si="5"/>
        <v/>
      </c>
    </row>
    <row r="149" spans="2:7" ht="19.5">
      <c r="B149" s="75"/>
      <c r="C149" s="58"/>
      <c r="D149" s="58"/>
      <c r="E149" s="74"/>
      <c r="F149" s="274">
        <f t="shared" si="4"/>
        <v>0</v>
      </c>
      <c r="G149" s="236" t="str">
        <f t="shared" si="5"/>
        <v/>
      </c>
    </row>
    <row r="150" spans="2:7" ht="19.5">
      <c r="B150" s="75"/>
      <c r="C150" s="58"/>
      <c r="D150" s="58"/>
      <c r="E150" s="74"/>
      <c r="F150" s="274">
        <f t="shared" si="4"/>
        <v>0</v>
      </c>
      <c r="G150" s="236" t="str">
        <f t="shared" si="5"/>
        <v/>
      </c>
    </row>
    <row r="151" spans="2:7" ht="19.5">
      <c r="B151" s="75"/>
      <c r="C151" s="58"/>
      <c r="D151" s="58"/>
      <c r="E151" s="74"/>
      <c r="F151" s="274">
        <f t="shared" si="4"/>
        <v>0</v>
      </c>
      <c r="G151" s="236" t="str">
        <f t="shared" si="5"/>
        <v/>
      </c>
    </row>
    <row r="152" spans="2:7" ht="19.5">
      <c r="B152" s="75"/>
      <c r="C152" s="58"/>
      <c r="D152" s="58"/>
      <c r="E152" s="74"/>
      <c r="F152" s="274">
        <f t="shared" si="4"/>
        <v>0</v>
      </c>
      <c r="G152" s="236" t="str">
        <f t="shared" si="5"/>
        <v/>
      </c>
    </row>
    <row r="153" spans="2:7" ht="19.5">
      <c r="B153" s="75"/>
      <c r="C153" s="58"/>
      <c r="D153" s="58"/>
      <c r="E153" s="74"/>
      <c r="F153" s="274">
        <f t="shared" si="4"/>
        <v>0</v>
      </c>
      <c r="G153" s="236" t="str">
        <f t="shared" si="5"/>
        <v/>
      </c>
    </row>
    <row r="154" spans="2:7" ht="19.5">
      <c r="B154" s="75"/>
      <c r="C154" s="58"/>
      <c r="D154" s="58"/>
      <c r="E154" s="74"/>
      <c r="F154" s="274">
        <f t="shared" si="4"/>
        <v>0</v>
      </c>
      <c r="G154" s="236" t="str">
        <f t="shared" si="5"/>
        <v/>
      </c>
    </row>
    <row r="155" spans="2:7" ht="19.5">
      <c r="B155" s="75"/>
      <c r="C155" s="58"/>
      <c r="D155" s="58"/>
      <c r="E155" s="74"/>
      <c r="F155" s="274">
        <f t="shared" si="4"/>
        <v>0</v>
      </c>
      <c r="G155" s="236" t="str">
        <f t="shared" si="5"/>
        <v/>
      </c>
    </row>
    <row r="156" spans="2:7" ht="19.5">
      <c r="B156" s="75"/>
      <c r="C156" s="58"/>
      <c r="D156" s="58"/>
      <c r="E156" s="74"/>
      <c r="F156" s="274">
        <f t="shared" si="4"/>
        <v>0</v>
      </c>
      <c r="G156" s="236" t="str">
        <f t="shared" si="5"/>
        <v/>
      </c>
    </row>
    <row r="157" spans="2:7" ht="19.5">
      <c r="B157" s="75"/>
      <c r="C157" s="58"/>
      <c r="D157" s="58"/>
      <c r="E157" s="74"/>
      <c r="F157" s="274">
        <f t="shared" si="4"/>
        <v>0</v>
      </c>
      <c r="G157" s="236" t="str">
        <f t="shared" si="5"/>
        <v/>
      </c>
    </row>
    <row r="158" spans="2:7" ht="19.5">
      <c r="B158" s="75"/>
      <c r="C158" s="58"/>
      <c r="D158" s="58"/>
      <c r="E158" s="74"/>
      <c r="F158" s="274">
        <f t="shared" si="4"/>
        <v>0</v>
      </c>
      <c r="G158" s="236" t="str">
        <f t="shared" si="5"/>
        <v/>
      </c>
    </row>
    <row r="159" spans="2:7" ht="19.5">
      <c r="B159" s="75"/>
      <c r="C159" s="58"/>
      <c r="D159" s="58"/>
      <c r="E159" s="74"/>
      <c r="F159" s="274">
        <f t="shared" si="4"/>
        <v>0</v>
      </c>
      <c r="G159" s="236" t="str">
        <f t="shared" si="5"/>
        <v/>
      </c>
    </row>
    <row r="160" spans="2:7" ht="19.5">
      <c r="B160" s="75"/>
      <c r="C160" s="58"/>
      <c r="D160" s="58"/>
      <c r="E160" s="74"/>
      <c r="F160" s="274">
        <f t="shared" si="4"/>
        <v>0</v>
      </c>
      <c r="G160" s="236" t="str">
        <f t="shared" si="5"/>
        <v/>
      </c>
    </row>
    <row r="161" spans="2:7" ht="19.5">
      <c r="B161" s="75"/>
      <c r="C161" s="58"/>
      <c r="D161" s="58"/>
      <c r="E161" s="74"/>
      <c r="F161" s="274">
        <f t="shared" si="4"/>
        <v>0</v>
      </c>
      <c r="G161" s="236" t="str">
        <f t="shared" si="5"/>
        <v/>
      </c>
    </row>
    <row r="162" spans="2:7" ht="19.5">
      <c r="B162" s="75"/>
      <c r="C162" s="58"/>
      <c r="D162" s="58"/>
      <c r="E162" s="74"/>
      <c r="F162" s="274">
        <f t="shared" si="4"/>
        <v>0</v>
      </c>
      <c r="G162" s="236" t="str">
        <f t="shared" si="5"/>
        <v/>
      </c>
    </row>
    <row r="163" spans="2:7" ht="19.5">
      <c r="B163" s="75"/>
      <c r="C163" s="58"/>
      <c r="D163" s="58"/>
      <c r="E163" s="74"/>
      <c r="F163" s="274">
        <f t="shared" si="4"/>
        <v>0</v>
      </c>
      <c r="G163" s="236" t="str">
        <f t="shared" si="5"/>
        <v/>
      </c>
    </row>
    <row r="164" spans="2:7" ht="19.5">
      <c r="B164" s="75"/>
      <c r="C164" s="58"/>
      <c r="D164" s="58"/>
      <c r="E164" s="74"/>
      <c r="F164" s="274">
        <f t="shared" si="4"/>
        <v>0</v>
      </c>
      <c r="G164" s="236" t="str">
        <f t="shared" si="5"/>
        <v/>
      </c>
    </row>
    <row r="165" spans="2:7" ht="19.5">
      <c r="B165" s="75"/>
      <c r="C165" s="58"/>
      <c r="D165" s="58"/>
      <c r="E165" s="74"/>
      <c r="F165" s="274">
        <f t="shared" si="4"/>
        <v>0</v>
      </c>
      <c r="G165" s="236" t="str">
        <f t="shared" si="5"/>
        <v/>
      </c>
    </row>
    <row r="166" spans="2:7" ht="19.5">
      <c r="B166" s="75"/>
      <c r="C166" s="58"/>
      <c r="D166" s="58"/>
      <c r="E166" s="74"/>
      <c r="F166" s="274">
        <f t="shared" si="4"/>
        <v>0</v>
      </c>
      <c r="G166" s="236" t="str">
        <f t="shared" si="5"/>
        <v/>
      </c>
    </row>
    <row r="167" spans="2:7" ht="19.5">
      <c r="B167" s="75"/>
      <c r="C167" s="58"/>
      <c r="D167" s="58"/>
      <c r="E167" s="74"/>
      <c r="F167" s="274">
        <f t="shared" si="4"/>
        <v>0</v>
      </c>
      <c r="G167" s="236" t="str">
        <f t="shared" si="5"/>
        <v/>
      </c>
    </row>
    <row r="168" spans="2:7" ht="19.5">
      <c r="B168" s="75"/>
      <c r="C168" s="58"/>
      <c r="D168" s="58"/>
      <c r="E168" s="74"/>
      <c r="F168" s="274">
        <f t="shared" si="4"/>
        <v>0</v>
      </c>
      <c r="G168" s="236" t="str">
        <f t="shared" si="5"/>
        <v/>
      </c>
    </row>
    <row r="169" spans="2:7" ht="19.5">
      <c r="B169" s="75"/>
      <c r="C169" s="58"/>
      <c r="D169" s="58"/>
      <c r="E169" s="74"/>
      <c r="F169" s="274">
        <f t="shared" si="4"/>
        <v>0</v>
      </c>
      <c r="G169" s="236" t="str">
        <f t="shared" si="5"/>
        <v/>
      </c>
    </row>
    <row r="170" spans="2:7" ht="19.5">
      <c r="B170" s="75"/>
      <c r="C170" s="58"/>
      <c r="D170" s="58"/>
      <c r="E170" s="74"/>
      <c r="F170" s="274">
        <f t="shared" si="4"/>
        <v>0</v>
      </c>
      <c r="G170" s="236" t="str">
        <f t="shared" si="5"/>
        <v/>
      </c>
    </row>
    <row r="171" spans="2:7" ht="19.5">
      <c r="B171" s="75"/>
      <c r="C171" s="58"/>
      <c r="D171" s="58"/>
      <c r="E171" s="74"/>
      <c r="F171" s="274">
        <f t="shared" si="4"/>
        <v>0</v>
      </c>
      <c r="G171" s="236" t="str">
        <f t="shared" si="5"/>
        <v/>
      </c>
    </row>
    <row r="172" spans="2:7" ht="19.5">
      <c r="B172" s="75"/>
      <c r="C172" s="58"/>
      <c r="D172" s="58"/>
      <c r="E172" s="74"/>
      <c r="F172" s="274">
        <f t="shared" si="4"/>
        <v>0</v>
      </c>
      <c r="G172" s="236" t="str">
        <f t="shared" si="5"/>
        <v/>
      </c>
    </row>
    <row r="173" spans="2:7" ht="19.5">
      <c r="B173" s="75"/>
      <c r="C173" s="58"/>
      <c r="D173" s="58"/>
      <c r="E173" s="74"/>
      <c r="F173" s="274">
        <f t="shared" si="4"/>
        <v>0</v>
      </c>
      <c r="G173" s="236" t="str">
        <f t="shared" si="5"/>
        <v/>
      </c>
    </row>
    <row r="174" spans="2:7" ht="19.5">
      <c r="B174" s="75"/>
      <c r="C174" s="58"/>
      <c r="D174" s="58"/>
      <c r="E174" s="74"/>
      <c r="F174" s="274">
        <f t="shared" si="4"/>
        <v>0</v>
      </c>
      <c r="G174" s="236" t="str">
        <f t="shared" si="5"/>
        <v/>
      </c>
    </row>
    <row r="175" spans="2:7" ht="19.5">
      <c r="B175" s="75"/>
      <c r="C175" s="58"/>
      <c r="D175" s="58"/>
      <c r="E175" s="74"/>
      <c r="F175" s="274">
        <f t="shared" si="4"/>
        <v>0</v>
      </c>
      <c r="G175" s="236" t="str">
        <f t="shared" si="5"/>
        <v/>
      </c>
    </row>
    <row r="176" spans="2:7" ht="19.5">
      <c r="B176" s="75"/>
      <c r="C176" s="58"/>
      <c r="D176" s="58"/>
      <c r="E176" s="74"/>
      <c r="F176" s="274">
        <f t="shared" si="4"/>
        <v>0</v>
      </c>
      <c r="G176" s="236" t="str">
        <f t="shared" si="5"/>
        <v/>
      </c>
    </row>
    <row r="177" spans="2:7" ht="19.5">
      <c r="B177" s="75"/>
      <c r="C177" s="58"/>
      <c r="D177" s="58"/>
      <c r="E177" s="74"/>
      <c r="F177" s="274">
        <f t="shared" si="4"/>
        <v>0</v>
      </c>
      <c r="G177" s="236" t="str">
        <f t="shared" si="5"/>
        <v/>
      </c>
    </row>
    <row r="178" spans="2:7" ht="19.5">
      <c r="B178" s="75"/>
      <c r="C178" s="58"/>
      <c r="D178" s="58"/>
      <c r="E178" s="74"/>
      <c r="F178" s="274">
        <f t="shared" si="4"/>
        <v>0</v>
      </c>
      <c r="G178" s="236" t="str">
        <f t="shared" si="5"/>
        <v/>
      </c>
    </row>
    <row r="179" spans="2:7" ht="19.5">
      <c r="B179" s="75"/>
      <c r="C179" s="58"/>
      <c r="D179" s="58"/>
      <c r="E179" s="74"/>
      <c r="F179" s="274">
        <f t="shared" si="4"/>
        <v>0</v>
      </c>
      <c r="G179" s="236" t="str">
        <f t="shared" si="5"/>
        <v/>
      </c>
    </row>
    <row r="180" spans="2:7" ht="19.5">
      <c r="B180" s="75"/>
      <c r="C180" s="58"/>
      <c r="D180" s="58"/>
      <c r="E180" s="74"/>
      <c r="F180" s="274">
        <f t="shared" si="4"/>
        <v>0</v>
      </c>
      <c r="G180" s="236" t="str">
        <f t="shared" si="5"/>
        <v/>
      </c>
    </row>
    <row r="181" spans="2:7" ht="19.5">
      <c r="B181" s="75"/>
      <c r="C181" s="58"/>
      <c r="D181" s="58"/>
      <c r="E181" s="74"/>
      <c r="F181" s="274">
        <f t="shared" si="4"/>
        <v>0</v>
      </c>
      <c r="G181" s="236" t="str">
        <f t="shared" si="5"/>
        <v/>
      </c>
    </row>
    <row r="182" spans="2:7" ht="19.5">
      <c r="B182" s="75"/>
      <c r="C182" s="58"/>
      <c r="D182" s="58"/>
      <c r="E182" s="74"/>
      <c r="F182" s="274">
        <f t="shared" si="4"/>
        <v>0</v>
      </c>
      <c r="G182" s="236" t="str">
        <f t="shared" si="5"/>
        <v/>
      </c>
    </row>
    <row r="183" spans="2:7" ht="19.5">
      <c r="B183" s="75"/>
      <c r="C183" s="58"/>
      <c r="D183" s="58"/>
      <c r="E183" s="74"/>
      <c r="F183" s="274">
        <f t="shared" si="4"/>
        <v>0</v>
      </c>
      <c r="G183" s="236" t="str">
        <f t="shared" si="5"/>
        <v/>
      </c>
    </row>
    <row r="184" spans="2:7" ht="19.5">
      <c r="B184" s="75"/>
      <c r="C184" s="58"/>
      <c r="D184" s="58"/>
      <c r="E184" s="74"/>
      <c r="F184" s="274">
        <f t="shared" si="4"/>
        <v>0</v>
      </c>
      <c r="G184" s="236" t="str">
        <f t="shared" si="5"/>
        <v/>
      </c>
    </row>
    <row r="185" spans="2:7" ht="19.5">
      <c r="B185" s="75"/>
      <c r="C185" s="58"/>
      <c r="D185" s="58"/>
      <c r="E185" s="74"/>
      <c r="F185" s="274">
        <f t="shared" si="4"/>
        <v>0</v>
      </c>
      <c r="G185" s="236" t="str">
        <f t="shared" si="5"/>
        <v/>
      </c>
    </row>
    <row r="186" spans="2:7" ht="19.5">
      <c r="B186" s="75"/>
      <c r="C186" s="58"/>
      <c r="D186" s="58"/>
      <c r="E186" s="74"/>
      <c r="F186" s="274">
        <f t="shared" si="4"/>
        <v>0</v>
      </c>
      <c r="G186" s="236" t="str">
        <f t="shared" si="5"/>
        <v/>
      </c>
    </row>
    <row r="187" spans="2:7" ht="19.5">
      <c r="B187" s="75"/>
      <c r="C187" s="58"/>
      <c r="D187" s="58"/>
      <c r="E187" s="74"/>
      <c r="F187" s="274">
        <f t="shared" si="4"/>
        <v>0</v>
      </c>
      <c r="G187" s="236" t="str">
        <f t="shared" si="5"/>
        <v/>
      </c>
    </row>
    <row r="188" spans="2:7" ht="19.5">
      <c r="B188" s="75"/>
      <c r="C188" s="58"/>
      <c r="D188" s="58"/>
      <c r="E188" s="74"/>
      <c r="F188" s="274">
        <f t="shared" si="4"/>
        <v>0</v>
      </c>
      <c r="G188" s="236" t="str">
        <f t="shared" si="5"/>
        <v/>
      </c>
    </row>
    <row r="189" spans="2:7" ht="19.5">
      <c r="B189" s="75"/>
      <c r="C189" s="58"/>
      <c r="D189" s="58"/>
      <c r="E189" s="74"/>
      <c r="F189" s="274">
        <f t="shared" si="4"/>
        <v>0</v>
      </c>
      <c r="G189" s="236" t="str">
        <f t="shared" si="5"/>
        <v/>
      </c>
    </row>
    <row r="190" spans="2:7" ht="19.5">
      <c r="B190" s="75"/>
      <c r="C190" s="58"/>
      <c r="D190" s="58"/>
      <c r="E190" s="74"/>
      <c r="F190" s="274">
        <f t="shared" si="4"/>
        <v>0</v>
      </c>
      <c r="G190" s="236" t="str">
        <f t="shared" si="5"/>
        <v/>
      </c>
    </row>
    <row r="191" spans="2:7" ht="19.5">
      <c r="B191" s="75"/>
      <c r="C191" s="58"/>
      <c r="D191" s="58"/>
      <c r="E191" s="74"/>
      <c r="F191" s="274">
        <f t="shared" si="4"/>
        <v>0</v>
      </c>
      <c r="G191" s="236" t="str">
        <f t="shared" si="5"/>
        <v/>
      </c>
    </row>
    <row r="192" spans="2:7" ht="19.5">
      <c r="B192" s="75"/>
      <c r="C192" s="58"/>
      <c r="D192" s="58"/>
      <c r="E192" s="74"/>
      <c r="F192" s="274">
        <f t="shared" si="4"/>
        <v>0</v>
      </c>
      <c r="G192" s="236" t="str">
        <f t="shared" si="5"/>
        <v/>
      </c>
    </row>
    <row r="193" spans="2:7" ht="19.5">
      <c r="B193" s="75"/>
      <c r="C193" s="58"/>
      <c r="D193" s="58"/>
      <c r="E193" s="74"/>
      <c r="F193" s="274">
        <f t="shared" si="4"/>
        <v>0</v>
      </c>
      <c r="G193" s="236" t="str">
        <f t="shared" si="5"/>
        <v/>
      </c>
    </row>
    <row r="194" spans="2:7" ht="19.5">
      <c r="B194" s="75"/>
      <c r="C194" s="58"/>
      <c r="D194" s="58"/>
      <c r="E194" s="74"/>
      <c r="F194" s="274">
        <f t="shared" si="4"/>
        <v>0</v>
      </c>
      <c r="G194" s="236" t="str">
        <f t="shared" si="5"/>
        <v/>
      </c>
    </row>
    <row r="195" spans="2:7" ht="19.5">
      <c r="B195" s="75"/>
      <c r="C195" s="58"/>
      <c r="D195" s="58"/>
      <c r="E195" s="74"/>
      <c r="F195" s="274">
        <f t="shared" si="4"/>
        <v>0</v>
      </c>
      <c r="G195" s="236" t="str">
        <f t="shared" si="5"/>
        <v/>
      </c>
    </row>
    <row r="196" spans="2:7" ht="19.5">
      <c r="B196" s="75"/>
      <c r="C196" s="58"/>
      <c r="D196" s="58"/>
      <c r="E196" s="74"/>
      <c r="F196" s="274">
        <f t="shared" si="4"/>
        <v>0</v>
      </c>
      <c r="G196" s="236" t="str">
        <f t="shared" si="5"/>
        <v/>
      </c>
    </row>
    <row r="197" spans="2:7" ht="19.5">
      <c r="B197" s="75"/>
      <c r="C197" s="58"/>
      <c r="D197" s="58"/>
      <c r="E197" s="74"/>
      <c r="F197" s="274">
        <f t="shared" si="4"/>
        <v>0</v>
      </c>
      <c r="G197" s="236" t="str">
        <f t="shared" si="5"/>
        <v/>
      </c>
    </row>
    <row r="198" spans="2:7" ht="19.5">
      <c r="B198" s="75"/>
      <c r="C198" s="58"/>
      <c r="D198" s="58"/>
      <c r="E198" s="74"/>
      <c r="F198" s="274">
        <f t="shared" si="4"/>
        <v>0</v>
      </c>
      <c r="G198" s="236" t="str">
        <f t="shared" si="5"/>
        <v/>
      </c>
    </row>
    <row r="199" spans="2:7" ht="19.5">
      <c r="B199" s="75"/>
      <c r="C199" s="58"/>
      <c r="D199" s="58"/>
      <c r="E199" s="74"/>
      <c r="F199" s="274">
        <f>IF(E199&gt;0,COUNTA(B199,C199,D199,E199),0)</f>
        <v>0</v>
      </c>
      <c r="G199" s="236" t="str">
        <f>_xlfn.IFS(F199=0,"",F199&lt;=3,"ピンク色のセルを全て入力してください",F199=4,"OK")</f>
        <v/>
      </c>
    </row>
    <row r="200" spans="2:7" ht="20.25" thickBot="1">
      <c r="B200" s="276"/>
      <c r="C200" s="277"/>
      <c r="D200" s="277"/>
      <c r="E200" s="278"/>
      <c r="F200" s="279">
        <f>IF(E200&gt;0,COUNTA(B200,C200,D200,E200),0)</f>
        <v>0</v>
      </c>
      <c r="G200" s="237" t="str">
        <f>_xlfn.IFS(F200=0,"",F200&lt;=3,"ピンク色のセルを全て入力してください",F200=4,"OK")</f>
        <v/>
      </c>
    </row>
    <row r="201" spans="2:7" ht="26.25" thickTop="1">
      <c r="B201" s="344" t="s">
        <v>76</v>
      </c>
      <c r="C201" s="344"/>
      <c r="D201" s="344"/>
      <c r="E201" s="275">
        <f>SUBTOTAL(9,E6:E200)</f>
        <v>0</v>
      </c>
    </row>
    <row r="202" spans="2:7">
      <c r="B202" s="29"/>
      <c r="D202" s="29"/>
      <c r="E202" s="29"/>
    </row>
  </sheetData>
  <sheetProtection algorithmName="SHA-512" hashValue="dWx5EaXMpIRpxcde+wom60fF0Krwl99UoNcMcq3J0sxxPoTRjPc5b4SNaBSwQdJrHh+oiSRrwirQ8TuRMXkCoA==" saltValue="PrusVFxmzXHLQOk07CBRyQ==" spinCount="100000" sheet="1" autoFilter="0"/>
  <autoFilter ref="B5:E200" xr:uid="{00000000-0009-0000-0000-000003000000}"/>
  <mergeCells count="2">
    <mergeCell ref="B201:D201"/>
    <mergeCell ref="C3:D3"/>
  </mergeCells>
  <phoneticPr fontId="4"/>
  <conditionalFormatting sqref="E201 D6:E200">
    <cfRule type="cellIs" dxfId="37" priority="18" operator="equal">
      <formula>""</formula>
    </cfRule>
  </conditionalFormatting>
  <conditionalFormatting sqref="C6:C200">
    <cfRule type="cellIs" dxfId="36" priority="7" operator="equal">
      <formula>""</formula>
    </cfRule>
  </conditionalFormatting>
  <conditionalFormatting sqref="B6:B200">
    <cfRule type="cellIs" dxfId="35" priority="1" operator="equal">
      <formula>""</formula>
    </cfRule>
  </conditionalFormatting>
  <hyperlinks>
    <hyperlink ref="B3" location="メニュー画面!B4" display="メニュー画面へ" xr:uid="{00000000-0004-0000-0300-000000000000}"/>
  </hyperlinks>
  <pageMargins left="0.7" right="0.7" top="0.75" bottom="0.75" header="0.3" footer="0.3"/>
  <pageSetup paperSize="9" scale="48" orientation="landscape" r:id="rId1"/>
  <rowBreaks count="1" manualBreakCount="1">
    <brk id="161" max="4" man="1"/>
  </rowBreaks>
  <drawing r:id="rId2"/>
  <extLst>
    <ext xmlns:x14="http://schemas.microsoft.com/office/spreadsheetml/2009/9/main" uri="{78C0D931-6437-407d-A8EE-F0AAD7539E65}">
      <x14:conditionalFormattings>
        <x14:conditionalFormatting xmlns:xm="http://schemas.microsoft.com/office/excel/2006/main">
          <x14:cfRule type="cellIs" priority="2" operator="between" id="{1484BA1A-79FB-4C0E-B6FF-F4B152EFB1C1}">
            <xm:f>プルダウン用リスト!$G$7</xm:f>
            <xm:f>プルダウン用リスト!$H$7</xm:f>
            <x14:dxf>
              <fill>
                <patternFill>
                  <bgColor rgb="FFFFFF00"/>
                </patternFill>
              </fill>
            </x14:dxf>
          </x14:cfRule>
          <x14:cfRule type="cellIs" priority="3" operator="between" id="{33DF94F0-0D56-4B82-8025-C28E9B5B83F2}">
            <xm:f>プルダウン用リスト!$H$8</xm:f>
            <xm:f>プルダウン用リスト!$G$8</xm:f>
            <x14:dxf>
              <fill>
                <patternFill>
                  <bgColor rgb="FFFFFF00"/>
                </patternFill>
              </fill>
            </x14:dxf>
          </x14:cfRule>
          <x14:cfRule type="cellIs" priority="43" operator="notBetween" id="{86635DE6-8A43-4525-97A0-85028EF901BB}">
            <xm:f>プルダウン用リスト!$G$7</xm:f>
            <xm:f>プルダウン用リスト!$G$8</xm:f>
            <x14:dxf>
              <fill>
                <patternFill>
                  <bgColor rgb="FFFF0000"/>
                </patternFill>
              </fill>
            </x14:dxf>
          </x14:cfRule>
          <xm:sqref>B6:B200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注意！" prompt="C列は、該当する収入の区分をプルダウンで選択してください" xr:uid="{00000000-0002-0000-0300-000000000000}">
          <x14:formula1>
            <xm:f>プルダウン用リスト!$O$1:$O$4</xm:f>
          </x14:formula1>
          <xm:sqref>C6:C200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G52"/>
  <sheetViews>
    <sheetView showGridLines="0" view="pageBreakPreview" zoomScale="80" zoomScaleNormal="100" zoomScaleSheetLayoutView="80" workbookViewId="0">
      <selection activeCell="N34" sqref="N34:Q34"/>
    </sheetView>
  </sheetViews>
  <sheetFormatPr defaultRowHeight="18.75"/>
  <cols>
    <col min="1" max="1" width="2.125" style="9" customWidth="1"/>
    <col min="2" max="2" width="2.625" style="9" customWidth="1"/>
    <col min="3" max="3" width="9.625" style="9" customWidth="1"/>
    <col min="4" max="4" width="4" style="9" customWidth="1"/>
    <col min="5" max="5" width="8.625" style="9" customWidth="1"/>
    <col min="6" max="6" width="3.625" style="9" customWidth="1"/>
    <col min="7" max="7" width="3.125" style="9" customWidth="1"/>
    <col min="8" max="8" width="12" style="9" customWidth="1"/>
    <col min="9" max="9" width="2.125" style="9" customWidth="1"/>
    <col min="10" max="10" width="10.625" style="9" customWidth="1"/>
    <col min="11" max="11" width="3.5" style="9" customWidth="1"/>
    <col min="12" max="12" width="7.125" style="9" customWidth="1"/>
    <col min="13" max="13" width="3.5" style="9" customWidth="1"/>
    <col min="14" max="14" width="5.125" style="9" customWidth="1"/>
    <col min="15" max="15" width="4.625" style="9" customWidth="1"/>
    <col min="16" max="16" width="6.625" style="9" customWidth="1"/>
    <col min="17" max="17" width="4.625" style="9" customWidth="1"/>
    <col min="18" max="18" width="5.125" style="9" customWidth="1"/>
    <col min="19" max="19" width="6.625" style="9" customWidth="1"/>
    <col min="20" max="20" width="3.625" style="9" customWidth="1"/>
    <col min="21" max="21" width="9" style="247" customWidth="1"/>
    <col min="22" max="22" width="4.125" style="247" customWidth="1"/>
    <col min="23" max="23" width="1.625" style="9" customWidth="1"/>
    <col min="24" max="24" width="33.375" style="247" customWidth="1"/>
    <col min="25" max="25" width="94.125" style="247" bestFit="1" customWidth="1"/>
    <col min="26" max="26" width="172.625" style="247" customWidth="1"/>
    <col min="27" max="27" width="15.875" style="247" customWidth="1"/>
    <col min="28" max="28" width="18.75" style="247" customWidth="1"/>
    <col min="29" max="29" width="3.875" style="247" customWidth="1"/>
    <col min="30" max="31" width="2.625" style="247" customWidth="1"/>
    <col min="32" max="32" width="3.375" style="245" customWidth="1"/>
    <col min="33" max="33" width="9" style="245"/>
  </cols>
  <sheetData>
    <row r="1" spans="2:33" ht="24.75" customHeight="1">
      <c r="B1" s="482" t="s">
        <v>75</v>
      </c>
      <c r="C1" s="482"/>
      <c r="D1" s="482"/>
      <c r="E1" s="30"/>
      <c r="F1" s="14"/>
      <c r="G1" s="14"/>
      <c r="H1" s="14"/>
      <c r="I1" s="14"/>
      <c r="J1" s="485" t="s">
        <v>26</v>
      </c>
      <c r="K1" s="485"/>
      <c r="L1" s="485"/>
      <c r="M1" s="485"/>
      <c r="N1" s="485"/>
      <c r="O1" s="14"/>
      <c r="P1" s="14"/>
      <c r="Q1" s="14"/>
      <c r="R1" s="14"/>
      <c r="S1" s="14"/>
      <c r="T1" s="14"/>
      <c r="U1" s="248"/>
      <c r="V1" s="248"/>
      <c r="W1" s="14"/>
      <c r="X1" s="248"/>
      <c r="Z1" s="177" t="s">
        <v>232</v>
      </c>
    </row>
    <row r="2" spans="2:33">
      <c r="B2" s="482" t="s">
        <v>112</v>
      </c>
      <c r="C2" s="482"/>
      <c r="D2" s="482"/>
      <c r="E2" s="14"/>
      <c r="F2" s="14"/>
      <c r="G2" s="14"/>
      <c r="H2" s="14"/>
      <c r="I2" s="14"/>
      <c r="J2" s="14"/>
      <c r="K2" s="14"/>
      <c r="L2" s="14"/>
      <c r="M2" s="14"/>
      <c r="N2" s="14"/>
      <c r="O2" s="14"/>
      <c r="P2" s="14"/>
      <c r="Q2" s="14"/>
      <c r="R2" s="14"/>
      <c r="S2" s="14"/>
      <c r="T2" s="14"/>
      <c r="U2" s="248"/>
      <c r="V2" s="248"/>
      <c r="W2" s="14"/>
      <c r="X2" s="248"/>
    </row>
    <row r="3" spans="2:33">
      <c r="B3" s="483" t="s">
        <v>27</v>
      </c>
      <c r="C3" s="483"/>
      <c r="D3" s="484" t="str">
        <f>団体基本情報入力!D7&amp;""</f>
        <v/>
      </c>
      <c r="E3" s="484"/>
      <c r="F3" s="484"/>
      <c r="G3" s="484"/>
      <c r="H3" s="484"/>
      <c r="I3" s="484"/>
      <c r="J3" s="484"/>
      <c r="K3" s="484"/>
      <c r="L3" s="31"/>
      <c r="M3" s="31"/>
      <c r="N3" s="14"/>
      <c r="O3" s="14"/>
      <c r="P3" s="14"/>
      <c r="Q3" s="14"/>
      <c r="R3" s="14"/>
      <c r="S3" s="14"/>
      <c r="T3" s="14"/>
      <c r="U3" s="248"/>
      <c r="V3" s="248"/>
      <c r="W3" s="14"/>
      <c r="X3" s="248"/>
    </row>
    <row r="4" spans="2:33" ht="19.5" thickBot="1">
      <c r="B4" s="146" t="s">
        <v>214</v>
      </c>
      <c r="C4" s="146"/>
      <c r="D4" s="146"/>
      <c r="E4" s="146"/>
      <c r="F4" s="146"/>
      <c r="G4" s="146"/>
      <c r="H4" s="146"/>
      <c r="I4" s="146"/>
      <c r="J4" s="14"/>
      <c r="K4" s="14"/>
      <c r="L4" s="14"/>
      <c r="M4" s="14"/>
      <c r="N4" s="14"/>
      <c r="O4" s="14"/>
      <c r="P4" s="14"/>
      <c r="Q4" s="14"/>
      <c r="R4" s="14"/>
      <c r="S4" s="14"/>
      <c r="T4" s="14"/>
      <c r="U4" s="248"/>
      <c r="V4" s="248"/>
      <c r="W4" s="14"/>
      <c r="X4" s="248"/>
    </row>
    <row r="5" spans="2:33" ht="19.5" thickBot="1">
      <c r="B5" s="370" t="s">
        <v>28</v>
      </c>
      <c r="C5" s="371"/>
      <c r="D5" s="371"/>
      <c r="E5" s="371"/>
      <c r="F5" s="371"/>
      <c r="G5" s="371"/>
      <c r="H5" s="371"/>
      <c r="I5" s="371"/>
      <c r="J5" s="376" t="s">
        <v>29</v>
      </c>
      <c r="K5" s="377"/>
      <c r="L5" s="377"/>
      <c r="M5" s="377"/>
      <c r="N5" s="377"/>
      <c r="O5" s="377"/>
      <c r="P5" s="377"/>
      <c r="Q5" s="378"/>
      <c r="R5" s="379" t="s">
        <v>139</v>
      </c>
      <c r="S5" s="371"/>
      <c r="T5" s="380"/>
      <c r="U5" s="254"/>
      <c r="V5" s="254"/>
      <c r="W5" s="45"/>
      <c r="X5" s="293"/>
    </row>
    <row r="6" spans="2:33" ht="19.5" thickBot="1">
      <c r="B6" s="374"/>
      <c r="C6" s="375"/>
      <c r="D6" s="375"/>
      <c r="E6" s="375"/>
      <c r="F6" s="375"/>
      <c r="G6" s="375"/>
      <c r="H6" s="375"/>
      <c r="I6" s="375"/>
      <c r="J6" s="376" t="s">
        <v>292</v>
      </c>
      <c r="K6" s="377"/>
      <c r="L6" s="378"/>
      <c r="M6" s="435" t="s">
        <v>155</v>
      </c>
      <c r="N6" s="376" t="s">
        <v>116</v>
      </c>
      <c r="O6" s="377"/>
      <c r="P6" s="377"/>
      <c r="Q6" s="378"/>
      <c r="R6" s="374"/>
      <c r="S6" s="375"/>
      <c r="T6" s="382"/>
      <c r="U6" s="254"/>
      <c r="V6" s="254"/>
      <c r="W6" s="45"/>
      <c r="X6" s="45"/>
    </row>
    <row r="7" spans="2:33" ht="21.95" customHeight="1">
      <c r="B7" s="468" t="s">
        <v>35</v>
      </c>
      <c r="C7" s="469"/>
      <c r="D7" s="469"/>
      <c r="E7" s="469"/>
      <c r="F7" s="469"/>
      <c r="G7" s="469"/>
      <c r="H7" s="469"/>
      <c r="I7" s="469"/>
      <c r="J7" s="473"/>
      <c r="K7" s="474"/>
      <c r="L7" s="475"/>
      <c r="M7" s="436"/>
      <c r="N7" s="476">
        <f>SUMIF(支出入力表!$F$6:$F$1000,1,支出入力表!$N$6:$N$1000)</f>
        <v>0</v>
      </c>
      <c r="O7" s="477"/>
      <c r="P7" s="477"/>
      <c r="Q7" s="478"/>
      <c r="R7" s="476">
        <f>N7-J7</f>
        <v>0</v>
      </c>
      <c r="S7" s="477"/>
      <c r="T7" s="478"/>
      <c r="U7" s="255"/>
      <c r="V7" s="255"/>
      <c r="W7" s="51"/>
      <c r="X7" s="292"/>
    </row>
    <row r="8" spans="2:33" ht="21.95" customHeight="1">
      <c r="B8" s="468" t="s">
        <v>30</v>
      </c>
      <c r="C8" s="469"/>
      <c r="D8" s="469"/>
      <c r="E8" s="469"/>
      <c r="F8" s="469"/>
      <c r="G8" s="469"/>
      <c r="H8" s="469"/>
      <c r="I8" s="469"/>
      <c r="J8" s="470"/>
      <c r="K8" s="471"/>
      <c r="L8" s="472"/>
      <c r="M8" s="436"/>
      <c r="N8" s="461">
        <f>SUMIF(支出入力表!$F$6:$F$1000,2,支出入力表!$N$6:$N$1000)</f>
        <v>0</v>
      </c>
      <c r="O8" s="462"/>
      <c r="P8" s="462"/>
      <c r="Q8" s="463"/>
      <c r="R8" s="461">
        <f>N8-J8</f>
        <v>0</v>
      </c>
      <c r="S8" s="462"/>
      <c r="T8" s="463"/>
      <c r="U8" s="255"/>
      <c r="V8" s="255"/>
      <c r="W8" s="51"/>
      <c r="X8" s="292"/>
    </row>
    <row r="9" spans="2:33" ht="21.95" customHeight="1">
      <c r="B9" s="32"/>
      <c r="C9" s="33"/>
      <c r="D9" s="33"/>
      <c r="E9" s="464" t="s">
        <v>31</v>
      </c>
      <c r="F9" s="464"/>
      <c r="G9" s="464"/>
      <c r="H9" s="464"/>
      <c r="I9" s="464"/>
      <c r="J9" s="465">
        <f>SUM(J10:L21)</f>
        <v>0</v>
      </c>
      <c r="K9" s="466"/>
      <c r="L9" s="467"/>
      <c r="M9" s="436"/>
      <c r="N9" s="461">
        <f>SUM(N10:Q21)</f>
        <v>0</v>
      </c>
      <c r="O9" s="462"/>
      <c r="P9" s="462"/>
      <c r="Q9" s="463"/>
      <c r="R9" s="461">
        <f>N9-J9</f>
        <v>0</v>
      </c>
      <c r="S9" s="462"/>
      <c r="T9" s="463"/>
      <c r="U9" s="255"/>
      <c r="V9" s="255"/>
      <c r="W9" s="51"/>
      <c r="X9" s="292"/>
    </row>
    <row r="10" spans="2:33" ht="21.95" customHeight="1">
      <c r="B10" s="32"/>
      <c r="C10" s="33"/>
      <c r="D10" s="33"/>
      <c r="E10" s="200" t="s">
        <v>223</v>
      </c>
      <c r="F10" s="201"/>
      <c r="G10" s="201"/>
      <c r="H10" s="202">
        <f>AB10</f>
        <v>0</v>
      </c>
      <c r="I10" s="203"/>
      <c r="J10" s="454"/>
      <c r="K10" s="455"/>
      <c r="L10" s="456"/>
      <c r="M10" s="436"/>
      <c r="N10" s="457">
        <f>SUMIF(支出入力表!$F$6:$F$1000,3,支出入力表!$N$6:$N$1000)</f>
        <v>0</v>
      </c>
      <c r="O10" s="458"/>
      <c r="P10" s="458"/>
      <c r="Q10" s="459"/>
      <c r="R10" s="457">
        <f t="shared" ref="R10:R20" si="0">N10-J10</f>
        <v>0</v>
      </c>
      <c r="S10" s="458"/>
      <c r="T10" s="459"/>
      <c r="U10" s="255"/>
      <c r="V10" s="255"/>
      <c r="W10" s="51"/>
      <c r="X10" s="294" t="str">
        <f>IF(AF10&gt;0,"←賃金（職員）上限超過"," ")</f>
        <v xml:space="preserve"> </v>
      </c>
      <c r="Y10" s="295"/>
      <c r="Z10" s="296" t="s">
        <v>225</v>
      </c>
      <c r="AA10" s="297">
        <f>P40*1000</f>
        <v>0</v>
      </c>
      <c r="AB10" s="298">
        <f>IF($N$10=0,0,$N$10/$AA$10)</f>
        <v>0</v>
      </c>
      <c r="AC10" s="299" t="str">
        <f>IF(AND(団体基本情報入力!D5=プルダウン用リスト!Q4,$AB$10&gt;25%),"※"," ")</f>
        <v xml:space="preserve"> </v>
      </c>
      <c r="AD10" s="299" t="str">
        <f>IF(AND(団体基本情報入力!D5=プルダウン用リスト!Q5,$AB$10&gt;50%),"※"," ")</f>
        <v xml:space="preserve"> </v>
      </c>
      <c r="AE10" s="299" t="str">
        <f>IF(AND(団体基本情報入力!D5=プルダウン用リスト!Q6,$AB$10&gt;50%),"※"," ")</f>
        <v xml:space="preserve"> </v>
      </c>
      <c r="AF10" s="300">
        <f>COUNTIF(AC10:AE10,"※")</f>
        <v>0</v>
      </c>
    </row>
    <row r="11" spans="2:33" ht="21.95" customHeight="1">
      <c r="B11" s="32"/>
      <c r="C11" s="33"/>
      <c r="D11" s="33"/>
      <c r="E11" s="444" t="s">
        <v>209</v>
      </c>
      <c r="F11" s="445"/>
      <c r="G11" s="445"/>
      <c r="H11" s="445"/>
      <c r="I11" s="460"/>
      <c r="J11" s="438"/>
      <c r="K11" s="439"/>
      <c r="L11" s="440"/>
      <c r="M11" s="436"/>
      <c r="N11" s="441">
        <f>SUMIF(支出入力表!$F$6:$F$1000,4,支出入力表!$N$6:$N$1000)</f>
        <v>0</v>
      </c>
      <c r="O11" s="442"/>
      <c r="P11" s="442"/>
      <c r="Q11" s="443"/>
      <c r="R11" s="441">
        <f t="shared" si="0"/>
        <v>0</v>
      </c>
      <c r="S11" s="442"/>
      <c r="T11" s="443"/>
      <c r="U11" s="255"/>
      <c r="V11" s="255"/>
      <c r="W11" s="51"/>
      <c r="X11" s="292"/>
      <c r="Y11" s="301" t="s">
        <v>230</v>
      </c>
      <c r="Z11" s="302"/>
      <c r="AA11" s="303"/>
      <c r="AB11" s="304"/>
      <c r="AC11" s="305"/>
      <c r="AD11" s="305"/>
      <c r="AE11" s="305"/>
    </row>
    <row r="12" spans="2:33" ht="21.95" customHeight="1">
      <c r="B12" s="32"/>
      <c r="C12" s="33"/>
      <c r="D12" s="33"/>
      <c r="E12" s="449" t="s">
        <v>200</v>
      </c>
      <c r="F12" s="450"/>
      <c r="G12" s="450"/>
      <c r="H12" s="450"/>
      <c r="I12" s="450"/>
      <c r="J12" s="438"/>
      <c r="K12" s="439"/>
      <c r="L12" s="440"/>
      <c r="M12" s="436"/>
      <c r="N12" s="441">
        <f>SUMIF(支出入力表!$F$6:$F$1000,5,支出入力表!$N$6:$N$1000)</f>
        <v>0</v>
      </c>
      <c r="O12" s="442"/>
      <c r="P12" s="442"/>
      <c r="Q12" s="443"/>
      <c r="R12" s="418">
        <f t="shared" si="0"/>
        <v>0</v>
      </c>
      <c r="S12" s="419"/>
      <c r="T12" s="420"/>
      <c r="U12" s="255"/>
      <c r="V12" s="255"/>
      <c r="W12" s="51"/>
      <c r="X12" s="292"/>
      <c r="Y12" s="247" t="s">
        <v>234</v>
      </c>
      <c r="AC12" s="305"/>
    </row>
    <row r="13" spans="2:33" ht="21.95" customHeight="1">
      <c r="B13" s="32"/>
      <c r="C13" s="33"/>
      <c r="D13" s="33"/>
      <c r="E13" s="444" t="s">
        <v>201</v>
      </c>
      <c r="F13" s="445"/>
      <c r="G13" s="445"/>
      <c r="H13" s="445"/>
      <c r="I13" s="445"/>
      <c r="J13" s="438"/>
      <c r="K13" s="439"/>
      <c r="L13" s="440"/>
      <c r="M13" s="436"/>
      <c r="N13" s="441">
        <f>SUMIF(支出入力表!$F$6:$F$1000,6,支出入力表!$N$6:$N$1000)</f>
        <v>0</v>
      </c>
      <c r="O13" s="442"/>
      <c r="P13" s="442"/>
      <c r="Q13" s="443"/>
      <c r="R13" s="441">
        <f t="shared" si="0"/>
        <v>0</v>
      </c>
      <c r="S13" s="442"/>
      <c r="T13" s="443"/>
      <c r="U13" s="255"/>
      <c r="V13" s="255"/>
      <c r="W13" s="51"/>
      <c r="X13" s="292"/>
      <c r="Y13" s="306">
        <f>IF(プルダウン用リスト!D5=プルダウン用リスト!Q4,M39*0.25*1000,M39*0.5*1000)</f>
        <v>0</v>
      </c>
      <c r="AG13" s="245" t="s">
        <v>231</v>
      </c>
    </row>
    <row r="14" spans="2:33" ht="21.95" customHeight="1">
      <c r="B14" s="446"/>
      <c r="C14" s="447"/>
      <c r="D14" s="448"/>
      <c r="E14" s="444" t="s">
        <v>202</v>
      </c>
      <c r="F14" s="445"/>
      <c r="G14" s="445"/>
      <c r="H14" s="445"/>
      <c r="I14" s="445"/>
      <c r="J14" s="438"/>
      <c r="K14" s="439"/>
      <c r="L14" s="440"/>
      <c r="M14" s="436"/>
      <c r="N14" s="441">
        <f>SUMIF(支出入力表!$F$6:$F$1000,7,支出入力表!$N$6:$N$1000)</f>
        <v>0</v>
      </c>
      <c r="O14" s="442"/>
      <c r="P14" s="442"/>
      <c r="Q14" s="443"/>
      <c r="R14" s="441">
        <f t="shared" si="0"/>
        <v>0</v>
      </c>
      <c r="S14" s="442"/>
      <c r="T14" s="443"/>
      <c r="U14" s="255"/>
      <c r="V14" s="255"/>
      <c r="W14" s="51"/>
      <c r="X14" s="292"/>
      <c r="Y14" s="307" t="s">
        <v>233</v>
      </c>
    </row>
    <row r="15" spans="2:33" ht="21.95" customHeight="1">
      <c r="B15" s="451" t="s">
        <v>105</v>
      </c>
      <c r="C15" s="452"/>
      <c r="D15" s="453"/>
      <c r="E15" s="449" t="s">
        <v>203</v>
      </c>
      <c r="F15" s="450"/>
      <c r="G15" s="450"/>
      <c r="H15" s="450"/>
      <c r="I15" s="450"/>
      <c r="J15" s="438"/>
      <c r="K15" s="439"/>
      <c r="L15" s="440"/>
      <c r="M15" s="436"/>
      <c r="N15" s="441">
        <f>SUMIF(支出入力表!$F$6:$F$1000,8,支出入力表!$N$6:$N$1000)</f>
        <v>0</v>
      </c>
      <c r="O15" s="442"/>
      <c r="P15" s="442"/>
      <c r="Q15" s="443"/>
      <c r="R15" s="418">
        <f t="shared" si="0"/>
        <v>0</v>
      </c>
      <c r="S15" s="419"/>
      <c r="T15" s="420"/>
      <c r="U15" s="255"/>
      <c r="V15" s="255"/>
      <c r="W15" s="51"/>
      <c r="X15" s="292"/>
      <c r="Y15" s="308"/>
    </row>
    <row r="16" spans="2:33" ht="21.95" customHeight="1">
      <c r="B16" s="32"/>
      <c r="C16" s="33"/>
      <c r="D16" s="33"/>
      <c r="E16" s="444" t="s">
        <v>204</v>
      </c>
      <c r="F16" s="445"/>
      <c r="G16" s="445"/>
      <c r="H16" s="445"/>
      <c r="I16" s="445"/>
      <c r="J16" s="438"/>
      <c r="K16" s="439"/>
      <c r="L16" s="440"/>
      <c r="M16" s="436"/>
      <c r="N16" s="441">
        <f>SUMIF(支出入力表!$F$6:$F$1000,9,支出入力表!$N$6:$N$1000)</f>
        <v>0</v>
      </c>
      <c r="O16" s="442"/>
      <c r="P16" s="442"/>
      <c r="Q16" s="443"/>
      <c r="R16" s="441">
        <f t="shared" si="0"/>
        <v>0</v>
      </c>
      <c r="S16" s="442"/>
      <c r="T16" s="443"/>
      <c r="U16" s="255"/>
      <c r="V16" s="255"/>
      <c r="W16" s="51"/>
      <c r="X16" s="292"/>
      <c r="AA16" s="309"/>
    </row>
    <row r="17" spans="1:32" ht="21.95" customHeight="1">
      <c r="B17" s="32"/>
      <c r="C17" s="33"/>
      <c r="D17" s="34"/>
      <c r="E17" s="444" t="s">
        <v>205</v>
      </c>
      <c r="F17" s="445"/>
      <c r="G17" s="445"/>
      <c r="H17" s="445"/>
      <c r="I17" s="445"/>
      <c r="J17" s="438"/>
      <c r="K17" s="439"/>
      <c r="L17" s="440"/>
      <c r="M17" s="436"/>
      <c r="N17" s="441">
        <f>SUMIF(支出入力表!$F$6:$F$1000,10,支出入力表!$N$6:$N$1000)</f>
        <v>0</v>
      </c>
      <c r="O17" s="442"/>
      <c r="P17" s="442"/>
      <c r="Q17" s="443"/>
      <c r="R17" s="441">
        <f t="shared" si="0"/>
        <v>0</v>
      </c>
      <c r="S17" s="442"/>
      <c r="T17" s="443"/>
      <c r="U17" s="255"/>
      <c r="V17" s="255"/>
      <c r="W17" s="51"/>
      <c r="X17" s="292"/>
      <c r="AA17" s="309"/>
    </row>
    <row r="18" spans="1:32" ht="21.95" customHeight="1">
      <c r="B18" s="32"/>
      <c r="C18" s="33"/>
      <c r="D18" s="34"/>
      <c r="E18" s="444" t="s">
        <v>206</v>
      </c>
      <c r="F18" s="445"/>
      <c r="G18" s="445"/>
      <c r="H18" s="445"/>
      <c r="I18" s="460"/>
      <c r="J18" s="438"/>
      <c r="K18" s="439"/>
      <c r="L18" s="440"/>
      <c r="M18" s="436"/>
      <c r="N18" s="441">
        <f>SUMIF(支出入力表!$F$6:$F$1000,11,支出入力表!$N$6:$N$1000)</f>
        <v>0</v>
      </c>
      <c r="O18" s="442"/>
      <c r="P18" s="442"/>
      <c r="Q18" s="443"/>
      <c r="R18" s="441">
        <f t="shared" si="0"/>
        <v>0</v>
      </c>
      <c r="S18" s="442"/>
      <c r="T18" s="443"/>
      <c r="U18" s="255"/>
      <c r="V18" s="255"/>
      <c r="W18" s="51"/>
      <c r="X18" s="292"/>
      <c r="AC18" s="29"/>
    </row>
    <row r="19" spans="1:32" ht="21.95" customHeight="1">
      <c r="B19" s="32"/>
      <c r="C19" s="33"/>
      <c r="D19" s="34"/>
      <c r="E19" s="204" t="s">
        <v>224</v>
      </c>
      <c r="F19" s="205"/>
      <c r="G19" s="206"/>
      <c r="H19" s="207">
        <f>IF(N19+N24=0,0%,ROUNDDOWN(N19/N24,3))</f>
        <v>0</v>
      </c>
      <c r="I19" s="208"/>
      <c r="J19" s="438"/>
      <c r="K19" s="439"/>
      <c r="L19" s="440"/>
      <c r="M19" s="436"/>
      <c r="N19" s="441">
        <f>SUMIF(支出入力表!$F$6:$F$1000,12,支出入力表!$N$6:$N$1000)</f>
        <v>0</v>
      </c>
      <c r="O19" s="442"/>
      <c r="P19" s="442"/>
      <c r="Q19" s="443"/>
      <c r="R19" s="441">
        <f t="shared" si="0"/>
        <v>0</v>
      </c>
      <c r="S19" s="442"/>
      <c r="T19" s="443"/>
      <c r="U19" s="255"/>
      <c r="V19" s="255"/>
      <c r="W19" s="51"/>
      <c r="X19" s="294" t="str">
        <f>IF(H19&gt;=50%,"←委託費上限超過"," ")</f>
        <v xml:space="preserve"> </v>
      </c>
      <c r="Y19" s="310"/>
      <c r="Z19" s="310"/>
      <c r="AA19" s="310"/>
      <c r="AB19" s="310"/>
    </row>
    <row r="20" spans="1:32" ht="21.95" customHeight="1">
      <c r="B20" s="32"/>
      <c r="C20" s="33"/>
      <c r="D20" s="34"/>
      <c r="E20" s="426" t="s">
        <v>207</v>
      </c>
      <c r="F20" s="427"/>
      <c r="G20" s="427"/>
      <c r="H20" s="427"/>
      <c r="I20" s="427"/>
      <c r="J20" s="438"/>
      <c r="K20" s="439"/>
      <c r="L20" s="440"/>
      <c r="M20" s="436"/>
      <c r="N20" s="441">
        <f>SUMIF(支出入力表!$F$6:$F$1000,13,支出入力表!$N$6:$N$1000)</f>
        <v>0</v>
      </c>
      <c r="O20" s="442"/>
      <c r="P20" s="442"/>
      <c r="Q20" s="443"/>
      <c r="R20" s="418">
        <f t="shared" si="0"/>
        <v>0</v>
      </c>
      <c r="S20" s="419"/>
      <c r="T20" s="420"/>
      <c r="U20" s="255"/>
      <c r="V20" s="255"/>
      <c r="W20" s="51"/>
      <c r="X20" s="292"/>
    </row>
    <row r="21" spans="1:32" ht="21.95" customHeight="1" thickBot="1">
      <c r="B21" s="32"/>
      <c r="C21" s="33"/>
      <c r="D21" s="33"/>
      <c r="E21" s="426" t="s">
        <v>208</v>
      </c>
      <c r="F21" s="427"/>
      <c r="G21" s="427"/>
      <c r="H21" s="427"/>
      <c r="I21" s="428"/>
      <c r="J21" s="432"/>
      <c r="K21" s="433"/>
      <c r="L21" s="434"/>
      <c r="M21" s="437"/>
      <c r="N21" s="429">
        <f>SUMIF(支出入力表!$F$6:$F$1000,14,支出入力表!$N$6:$N$1000)</f>
        <v>0</v>
      </c>
      <c r="O21" s="430"/>
      <c r="P21" s="430"/>
      <c r="Q21" s="431"/>
      <c r="R21" s="429">
        <f t="shared" ref="R21" si="1">N21-J21</f>
        <v>0</v>
      </c>
      <c r="S21" s="430"/>
      <c r="T21" s="431"/>
      <c r="U21" s="255"/>
      <c r="V21" s="255"/>
      <c r="W21" s="51"/>
      <c r="X21" s="292"/>
    </row>
    <row r="22" spans="1:32" ht="25.35" customHeight="1" thickTop="1">
      <c r="B22" s="421" t="s">
        <v>215</v>
      </c>
      <c r="C22" s="422"/>
      <c r="D22" s="422"/>
      <c r="E22" s="422"/>
      <c r="F22" s="422"/>
      <c r="G22" s="422"/>
      <c r="H22" s="422"/>
      <c r="I22" s="422"/>
      <c r="J22" s="423">
        <f>SUM(J7:L9)</f>
        <v>0</v>
      </c>
      <c r="K22" s="424"/>
      <c r="L22" s="425"/>
      <c r="M22" s="413" t="s">
        <v>157</v>
      </c>
      <c r="N22" s="423">
        <f>SUM(N7:Q9)</f>
        <v>0</v>
      </c>
      <c r="O22" s="424"/>
      <c r="P22" s="424"/>
      <c r="Q22" s="425"/>
      <c r="R22" s="423">
        <f t="shared" ref="R22:R23" si="2">N22-J22</f>
        <v>0</v>
      </c>
      <c r="S22" s="424"/>
      <c r="T22" s="425"/>
      <c r="U22" s="255"/>
      <c r="V22" s="255"/>
      <c r="W22" s="51"/>
      <c r="X22" s="292"/>
    </row>
    <row r="23" spans="1:32" ht="29.1" customHeight="1" thickBot="1">
      <c r="B23" s="415" t="s">
        <v>156</v>
      </c>
      <c r="C23" s="416"/>
      <c r="D23" s="416"/>
      <c r="E23" s="416"/>
      <c r="F23" s="416"/>
      <c r="G23" s="416"/>
      <c r="H23" s="416"/>
      <c r="I23" s="416"/>
      <c r="J23" s="486"/>
      <c r="K23" s="487"/>
      <c r="L23" s="488"/>
      <c r="M23" s="414"/>
      <c r="N23" s="404">
        <f>SUM(支出入力表!O1001:O1004)</f>
        <v>0</v>
      </c>
      <c r="O23" s="405"/>
      <c r="P23" s="405"/>
      <c r="Q23" s="406"/>
      <c r="R23" s="404">
        <f t="shared" si="2"/>
        <v>0</v>
      </c>
      <c r="S23" s="405"/>
      <c r="T23" s="406"/>
      <c r="U23" s="255"/>
      <c r="V23" s="255"/>
      <c r="W23" s="51"/>
      <c r="X23" s="292"/>
      <c r="AF23" s="2"/>
    </row>
    <row r="24" spans="1:32" ht="25.35" customHeight="1" thickTop="1" thickBot="1">
      <c r="B24" s="359" t="s">
        <v>129</v>
      </c>
      <c r="C24" s="360"/>
      <c r="D24" s="360"/>
      <c r="E24" s="360"/>
      <c r="F24" s="360"/>
      <c r="G24" s="360"/>
      <c r="H24" s="360"/>
      <c r="I24" s="360"/>
      <c r="J24" s="364">
        <f>SUM(J22:L23)</f>
        <v>0</v>
      </c>
      <c r="K24" s="365"/>
      <c r="L24" s="366"/>
      <c r="M24" s="149" t="s">
        <v>158</v>
      </c>
      <c r="N24" s="364">
        <f>SUM(N22:Q23)</f>
        <v>0</v>
      </c>
      <c r="O24" s="365"/>
      <c r="P24" s="365"/>
      <c r="Q24" s="366"/>
      <c r="R24" s="364">
        <f>N24-J24</f>
        <v>0</v>
      </c>
      <c r="S24" s="365"/>
      <c r="T24" s="366"/>
      <c r="U24" s="255"/>
      <c r="V24" s="255"/>
      <c r="W24" s="51"/>
      <c r="X24" s="292"/>
      <c r="AC24" s="29"/>
    </row>
    <row r="25" spans="1:32" ht="26.25" customHeight="1">
      <c r="B25" s="412" t="str">
        <f>IF(AF10&gt;0,Z25," ")</f>
        <v xml:space="preserve"> </v>
      </c>
      <c r="C25" s="412"/>
      <c r="D25" s="412"/>
      <c r="E25" s="412"/>
      <c r="F25" s="412"/>
      <c r="G25" s="412"/>
      <c r="H25" s="412"/>
      <c r="I25" s="412"/>
      <c r="J25" s="412"/>
      <c r="K25" s="412"/>
      <c r="L25" s="412"/>
      <c r="M25" s="412"/>
      <c r="N25" s="412"/>
      <c r="O25" s="412"/>
      <c r="P25" s="412"/>
      <c r="Q25" s="412"/>
      <c r="R25" s="412"/>
      <c r="S25" s="412"/>
      <c r="T25" s="412"/>
      <c r="U25" s="243"/>
      <c r="V25" s="243"/>
      <c r="W25" s="176"/>
      <c r="X25" s="292"/>
      <c r="Y25" s="311"/>
      <c r="Z25" s="312" t="str">
        <f>IF(団体基本情報入力!D5=プルダウン用リスト!Q4,プルダウン用リスト!O9,プルダウン用リスト!O13)</f>
        <v>※¹ 3.賃金（職員）について、（E）助成決定額または（F）精算額のどちらか低い金額に対する割合が５０％より大きい場合、超過部分については助成事業対象外となります。</v>
      </c>
      <c r="AC25" s="29"/>
    </row>
    <row r="26" spans="1:32" s="245" customFormat="1" ht="17.25" customHeight="1">
      <c r="A26" s="247"/>
      <c r="B26" s="417" t="str">
        <f>IF(H19&gt;=0.5,Z26," ")</f>
        <v xml:space="preserve"> </v>
      </c>
      <c r="C26" s="417"/>
      <c r="D26" s="417"/>
      <c r="E26" s="417"/>
      <c r="F26" s="417"/>
      <c r="G26" s="417"/>
      <c r="H26" s="417"/>
      <c r="I26" s="417"/>
      <c r="J26" s="417"/>
      <c r="K26" s="417"/>
      <c r="L26" s="417"/>
      <c r="M26" s="417"/>
      <c r="N26" s="417"/>
      <c r="O26" s="417"/>
      <c r="P26" s="417"/>
      <c r="Q26" s="417"/>
      <c r="R26" s="417"/>
      <c r="S26" s="417"/>
      <c r="T26" s="417"/>
      <c r="U26" s="243"/>
      <c r="V26" s="243"/>
      <c r="W26" s="287"/>
      <c r="X26" s="292"/>
      <c r="Y26" s="311"/>
      <c r="Z26" s="312" t="str">
        <f>IF(団体基本情報入力!D5=プルダウン用リスト!Q4,プルダウン用リスト!O10,プルダウン用リスト!O14)</f>
        <v>※² 12.委託費について、（Ａ）総事業費に対する割合が５０％以上の場合、助成事業対象外となります。</v>
      </c>
      <c r="AA26" s="247"/>
      <c r="AB26" s="247"/>
      <c r="AC26" s="29"/>
      <c r="AD26" s="247"/>
      <c r="AE26" s="247"/>
    </row>
    <row r="27" spans="1:32" ht="18.600000000000001" customHeight="1" thickBot="1">
      <c r="B27" s="148" t="s">
        <v>216</v>
      </c>
      <c r="C27" s="148"/>
      <c r="D27" s="148"/>
      <c r="E27" s="148"/>
      <c r="F27" s="148"/>
      <c r="G27" s="148"/>
      <c r="H27" s="148"/>
      <c r="I27" s="148"/>
      <c r="J27" s="33"/>
      <c r="K27" s="33"/>
      <c r="L27" s="33"/>
      <c r="M27" s="33"/>
      <c r="N27" s="33"/>
      <c r="O27" s="33"/>
      <c r="P27" s="33"/>
      <c r="Q27" s="33"/>
      <c r="R27" s="35"/>
      <c r="S27" s="35"/>
      <c r="T27" s="33"/>
      <c r="U27" s="249"/>
      <c r="V27" s="249"/>
      <c r="W27" s="33"/>
      <c r="X27" s="249"/>
      <c r="Y27" s="311"/>
    </row>
    <row r="28" spans="1:32" ht="15" customHeight="1" thickBot="1">
      <c r="B28" s="370" t="s">
        <v>28</v>
      </c>
      <c r="C28" s="371"/>
      <c r="D28" s="371"/>
      <c r="E28" s="371"/>
      <c r="F28" s="371"/>
      <c r="G28" s="371"/>
      <c r="H28" s="371"/>
      <c r="I28" s="371"/>
      <c r="J28" s="376" t="s">
        <v>29</v>
      </c>
      <c r="K28" s="377"/>
      <c r="L28" s="377"/>
      <c r="M28" s="377"/>
      <c r="N28" s="377"/>
      <c r="O28" s="377"/>
      <c r="P28" s="377"/>
      <c r="Q28" s="378"/>
      <c r="R28" s="379" t="s">
        <v>140</v>
      </c>
      <c r="S28" s="371"/>
      <c r="T28" s="380"/>
      <c r="U28" s="254"/>
      <c r="V28" s="254"/>
      <c r="W28" s="50"/>
      <c r="X28" s="291"/>
    </row>
    <row r="29" spans="1:32" ht="9" customHeight="1">
      <c r="B29" s="372"/>
      <c r="C29" s="373"/>
      <c r="D29" s="373"/>
      <c r="E29" s="373"/>
      <c r="F29" s="373"/>
      <c r="G29" s="373"/>
      <c r="H29" s="373"/>
      <c r="I29" s="373"/>
      <c r="J29" s="370" t="s">
        <v>115</v>
      </c>
      <c r="K29" s="371"/>
      <c r="L29" s="380"/>
      <c r="M29" s="367" t="s">
        <v>158</v>
      </c>
      <c r="N29" s="370" t="s">
        <v>116</v>
      </c>
      <c r="O29" s="371"/>
      <c r="P29" s="371"/>
      <c r="Q29" s="380"/>
      <c r="R29" s="372"/>
      <c r="S29" s="373"/>
      <c r="T29" s="381"/>
      <c r="U29" s="254"/>
      <c r="V29" s="254"/>
      <c r="W29" s="50"/>
      <c r="X29" s="291"/>
    </row>
    <row r="30" spans="1:32" ht="9.6" customHeight="1" thickBot="1">
      <c r="B30" s="374"/>
      <c r="C30" s="375"/>
      <c r="D30" s="375"/>
      <c r="E30" s="375"/>
      <c r="F30" s="375"/>
      <c r="G30" s="375"/>
      <c r="H30" s="375"/>
      <c r="I30" s="375"/>
      <c r="J30" s="374"/>
      <c r="K30" s="375"/>
      <c r="L30" s="382"/>
      <c r="M30" s="368"/>
      <c r="N30" s="374"/>
      <c r="O30" s="375"/>
      <c r="P30" s="375"/>
      <c r="Q30" s="382"/>
      <c r="R30" s="374"/>
      <c r="S30" s="375"/>
      <c r="T30" s="382"/>
      <c r="U30" s="254"/>
      <c r="V30" s="254"/>
      <c r="W30" s="50"/>
      <c r="X30" s="291"/>
      <c r="Y30" s="29"/>
      <c r="Z30" s="29"/>
      <c r="AA30" s="29"/>
      <c r="AB30" s="29"/>
    </row>
    <row r="31" spans="1:32" ht="23.1" customHeight="1">
      <c r="B31" s="407" t="s">
        <v>217</v>
      </c>
      <c r="C31" s="408"/>
      <c r="D31" s="408"/>
      <c r="E31" s="408"/>
      <c r="F31" s="408"/>
      <c r="G31" s="408"/>
      <c r="H31" s="408"/>
      <c r="I31" s="408"/>
      <c r="J31" s="409"/>
      <c r="K31" s="410"/>
      <c r="L31" s="411"/>
      <c r="M31" s="368"/>
      <c r="N31" s="347">
        <f>SUMIF(収入入力表!$C$6:$C$200,"助成事業における収入（参加費・利用料等）",収入入力表!$E$6:$E$200)</f>
        <v>0</v>
      </c>
      <c r="O31" s="348"/>
      <c r="P31" s="348"/>
      <c r="Q31" s="349"/>
      <c r="R31" s="347">
        <f>N31-J31</f>
        <v>0</v>
      </c>
      <c r="S31" s="348"/>
      <c r="T31" s="349"/>
      <c r="U31" s="255"/>
      <c r="V31" s="255"/>
      <c r="W31" s="51"/>
      <c r="X31" s="292"/>
    </row>
    <row r="32" spans="1:32" ht="23.1" customHeight="1">
      <c r="B32" s="356" t="s">
        <v>218</v>
      </c>
      <c r="C32" s="357"/>
      <c r="D32" s="357"/>
      <c r="E32" s="357"/>
      <c r="F32" s="357"/>
      <c r="G32" s="357"/>
      <c r="H32" s="357"/>
      <c r="I32" s="358"/>
      <c r="J32" s="383"/>
      <c r="K32" s="384"/>
      <c r="L32" s="385"/>
      <c r="M32" s="368"/>
      <c r="N32" s="347">
        <f>SUMIF(収入入力表!$C$6:$C$200,"利息収入（助成事業専用口座利息）",収入入力表!$E$6:$E$200)</f>
        <v>0</v>
      </c>
      <c r="O32" s="348"/>
      <c r="P32" s="348"/>
      <c r="Q32" s="349"/>
      <c r="R32" s="347">
        <f t="shared" ref="R32:R34" si="3">N32-J32</f>
        <v>0</v>
      </c>
      <c r="S32" s="348"/>
      <c r="T32" s="349"/>
      <c r="U32" s="255"/>
      <c r="V32" s="255"/>
      <c r="W32" s="51"/>
      <c r="X32" s="292"/>
    </row>
    <row r="33" spans="1:31" ht="23.1" customHeight="1">
      <c r="B33" s="356" t="s">
        <v>33</v>
      </c>
      <c r="C33" s="357"/>
      <c r="D33" s="357"/>
      <c r="E33" s="357"/>
      <c r="F33" s="357"/>
      <c r="G33" s="357"/>
      <c r="H33" s="357"/>
      <c r="I33" s="358"/>
      <c r="J33" s="383"/>
      <c r="K33" s="384"/>
      <c r="L33" s="385"/>
      <c r="M33" s="368"/>
      <c r="N33" s="347">
        <f>SUMIF(収入入力表!$C$6:$C$200,"寄付金・協賛金収入",収入入力表!$E$6:$E$200)</f>
        <v>0</v>
      </c>
      <c r="O33" s="348"/>
      <c r="P33" s="348"/>
      <c r="Q33" s="349"/>
      <c r="R33" s="347">
        <f t="shared" si="3"/>
        <v>0</v>
      </c>
      <c r="S33" s="348"/>
      <c r="T33" s="349"/>
      <c r="U33" s="255"/>
      <c r="V33" s="255"/>
      <c r="W33" s="51"/>
      <c r="X33" s="292"/>
    </row>
    <row r="34" spans="1:31" ht="23.1" customHeight="1" thickBot="1">
      <c r="B34" s="350" t="s">
        <v>177</v>
      </c>
      <c r="C34" s="351"/>
      <c r="D34" s="351"/>
      <c r="E34" s="351"/>
      <c r="F34" s="351"/>
      <c r="G34" s="351"/>
      <c r="H34" s="351"/>
      <c r="I34" s="351"/>
      <c r="J34" s="352"/>
      <c r="K34" s="353"/>
      <c r="L34" s="354"/>
      <c r="M34" s="368"/>
      <c r="N34" s="347">
        <f>SUMIF(収入入力表!$C$6:$C$200,"一般会計繰入金",収入入力表!$E$6:$E$200)</f>
        <v>0</v>
      </c>
      <c r="O34" s="348"/>
      <c r="P34" s="348"/>
      <c r="Q34" s="349"/>
      <c r="R34" s="347">
        <f t="shared" si="3"/>
        <v>0</v>
      </c>
      <c r="S34" s="348"/>
      <c r="T34" s="349"/>
      <c r="U34" s="255"/>
      <c r="V34" s="255"/>
      <c r="W34" s="51"/>
      <c r="X34" s="292"/>
    </row>
    <row r="35" spans="1:31" ht="25.35" customHeight="1" thickTop="1" thickBot="1">
      <c r="B35" s="359" t="s">
        <v>141</v>
      </c>
      <c r="C35" s="360"/>
      <c r="D35" s="360"/>
      <c r="E35" s="360"/>
      <c r="F35" s="360"/>
      <c r="G35" s="360"/>
      <c r="H35" s="360"/>
      <c r="I35" s="360"/>
      <c r="J35" s="361">
        <f>SUM(J31:L34)</f>
        <v>0</v>
      </c>
      <c r="K35" s="362"/>
      <c r="L35" s="363"/>
      <c r="M35" s="369"/>
      <c r="N35" s="364">
        <f>SUM(N31:Q34)</f>
        <v>0</v>
      </c>
      <c r="O35" s="365"/>
      <c r="P35" s="365"/>
      <c r="Q35" s="366"/>
      <c r="R35" s="364">
        <f>N35-J35</f>
        <v>0</v>
      </c>
      <c r="S35" s="365"/>
      <c r="T35" s="366"/>
      <c r="U35" s="255"/>
      <c r="V35" s="255"/>
      <c r="W35" s="51"/>
      <c r="X35" s="292"/>
    </row>
    <row r="36" spans="1:31" ht="15.75" customHeight="1">
      <c r="B36" s="489"/>
      <c r="C36" s="489"/>
      <c r="D36" s="489"/>
      <c r="E36" s="489"/>
      <c r="F36" s="489"/>
      <c r="G36" s="489"/>
      <c r="H36" s="489"/>
      <c r="I36" s="489"/>
      <c r="J36" s="489"/>
      <c r="K36" s="489"/>
      <c r="L36" s="489"/>
      <c r="M36" s="489"/>
      <c r="N36" s="355" t="str">
        <f>IF(N23&lt;=N35,"","↑「（Ｂ） 寄付金その他の収入」 が 「（ｂ） 対象外経費」 を下回らないでください。")</f>
        <v/>
      </c>
      <c r="O36" s="355"/>
      <c r="P36" s="355"/>
      <c r="Q36" s="355"/>
      <c r="R36" s="355"/>
      <c r="S36" s="355"/>
      <c r="T36" s="355"/>
      <c r="U36" s="355"/>
      <c r="V36" s="355"/>
      <c r="W36" s="355"/>
      <c r="X36" s="290"/>
    </row>
    <row r="37" spans="1:31" ht="18" customHeight="1" thickBot="1">
      <c r="A37" s="29"/>
      <c r="B37" s="490" t="s">
        <v>219</v>
      </c>
      <c r="C37" s="490"/>
      <c r="D37" s="490"/>
      <c r="E37" s="490"/>
      <c r="F37" s="490"/>
      <c r="G37" s="33"/>
      <c r="H37" s="33"/>
      <c r="I37" s="33"/>
      <c r="J37" s="33"/>
      <c r="K37" s="33"/>
      <c r="L37" s="33"/>
      <c r="M37" s="33"/>
      <c r="N37" s="355"/>
      <c r="O37" s="355"/>
      <c r="P37" s="355"/>
      <c r="Q37" s="355"/>
      <c r="R37" s="355"/>
      <c r="S37" s="355"/>
      <c r="T37" s="355"/>
      <c r="U37" s="355"/>
      <c r="V37" s="355"/>
      <c r="W37" s="355"/>
      <c r="X37" s="250"/>
      <c r="Y37" s="313"/>
      <c r="Z37" s="313"/>
      <c r="AA37" s="313"/>
      <c r="AB37" s="313"/>
      <c r="AC37" s="313"/>
      <c r="AD37" s="313"/>
    </row>
    <row r="38" spans="1:31" ht="20.85" customHeight="1">
      <c r="B38" s="397" t="s">
        <v>124</v>
      </c>
      <c r="C38" s="387"/>
      <c r="D38" s="387"/>
      <c r="E38" s="386" t="s">
        <v>130</v>
      </c>
      <c r="F38" s="387"/>
      <c r="G38" s="387"/>
      <c r="H38" s="386" t="s">
        <v>125</v>
      </c>
      <c r="I38" s="387"/>
      <c r="J38" s="386" t="s">
        <v>137</v>
      </c>
      <c r="K38" s="399"/>
      <c r="L38" s="402" t="s">
        <v>131</v>
      </c>
      <c r="M38" s="402"/>
      <c r="N38" s="387"/>
      <c r="O38" s="387"/>
      <c r="P38" s="386" t="s">
        <v>132</v>
      </c>
      <c r="Q38" s="387"/>
      <c r="R38" s="386" t="s">
        <v>133</v>
      </c>
      <c r="S38" s="387"/>
      <c r="T38" s="388"/>
      <c r="U38" s="250"/>
      <c r="V38" s="250"/>
      <c r="W38" s="46"/>
      <c r="X38" s="250"/>
      <c r="Y38" s="313"/>
      <c r="Z38" s="313"/>
      <c r="AA38" s="313"/>
      <c r="AB38" s="313"/>
      <c r="AC38" s="313"/>
      <c r="AD38" s="313"/>
    </row>
    <row r="39" spans="1:31" ht="28.35" customHeight="1" thickBot="1">
      <c r="B39" s="398"/>
      <c r="C39" s="390"/>
      <c r="D39" s="390"/>
      <c r="E39" s="389"/>
      <c r="F39" s="390"/>
      <c r="G39" s="390"/>
      <c r="H39" s="389"/>
      <c r="I39" s="390"/>
      <c r="J39" s="400"/>
      <c r="K39" s="401"/>
      <c r="L39" s="390"/>
      <c r="M39" s="390"/>
      <c r="N39" s="390"/>
      <c r="O39" s="390"/>
      <c r="P39" s="389"/>
      <c r="Q39" s="390"/>
      <c r="R39" s="389"/>
      <c r="S39" s="390"/>
      <c r="T39" s="391"/>
      <c r="U39" s="250"/>
      <c r="V39" s="250"/>
      <c r="W39" s="46"/>
      <c r="X39" s="251"/>
      <c r="AE39" s="29"/>
    </row>
    <row r="40" spans="1:31" ht="35.85" customHeight="1" thickBot="1">
      <c r="B40" s="392">
        <f>N24</f>
        <v>0</v>
      </c>
      <c r="C40" s="393"/>
      <c r="D40" s="36" t="s">
        <v>24</v>
      </c>
      <c r="E40" s="394">
        <f>N35</f>
        <v>0</v>
      </c>
      <c r="F40" s="393"/>
      <c r="G40" s="36" t="s">
        <v>24</v>
      </c>
      <c r="H40" s="11">
        <f>B40-E40</f>
        <v>0</v>
      </c>
      <c r="I40" s="37" t="s">
        <v>24</v>
      </c>
      <c r="J40" s="49">
        <f>ROUNDDOWN(H40/1000,0)</f>
        <v>0</v>
      </c>
      <c r="K40" s="36" t="s">
        <v>34</v>
      </c>
      <c r="L40" s="395">
        <f>団体基本情報入力!D13</f>
        <v>0</v>
      </c>
      <c r="M40" s="396"/>
      <c r="N40" s="396"/>
      <c r="O40" s="59" t="s">
        <v>34</v>
      </c>
      <c r="P40" s="11">
        <f>IF(J40&gt;L40,L40,J40)</f>
        <v>0</v>
      </c>
      <c r="Q40" s="36" t="s">
        <v>34</v>
      </c>
      <c r="R40" s="394">
        <f>L40-P40</f>
        <v>0</v>
      </c>
      <c r="S40" s="403"/>
      <c r="T40" s="38" t="s">
        <v>22</v>
      </c>
      <c r="U40" s="251"/>
      <c r="V40" s="251"/>
      <c r="W40" s="47"/>
      <c r="X40" s="248"/>
    </row>
    <row r="41" spans="1:31" ht="21" customHeight="1">
      <c r="B41" s="186" t="s">
        <v>247</v>
      </c>
      <c r="W41" s="14"/>
      <c r="AC41" s="29"/>
    </row>
    <row r="42" spans="1:31" ht="19.5" thickBot="1">
      <c r="B42" s="502" t="s">
        <v>248</v>
      </c>
      <c r="C42" s="502"/>
      <c r="D42" s="502"/>
      <c r="E42" s="502"/>
      <c r="F42" s="502"/>
      <c r="G42" s="502"/>
      <c r="H42" s="502"/>
      <c r="I42" s="502"/>
      <c r="J42" s="502"/>
      <c r="K42" s="502"/>
      <c r="L42" s="502"/>
      <c r="M42" s="502"/>
      <c r="N42" s="502"/>
      <c r="O42" s="502"/>
      <c r="P42" s="502"/>
      <c r="Q42" s="502"/>
      <c r="R42" s="502"/>
      <c r="S42" s="502"/>
      <c r="T42" s="502"/>
      <c r="U42" s="256"/>
      <c r="V42" s="256"/>
    </row>
    <row r="43" spans="1:31" ht="17.100000000000001" customHeight="1">
      <c r="B43" s="503"/>
      <c r="C43" s="504"/>
      <c r="D43" s="504"/>
      <c r="E43" s="504"/>
      <c r="F43" s="504"/>
      <c r="G43" s="504"/>
      <c r="H43" s="504"/>
      <c r="I43" s="504"/>
      <c r="J43" s="504"/>
      <c r="K43" s="504"/>
      <c r="L43" s="504"/>
      <c r="M43" s="504"/>
      <c r="N43" s="504"/>
      <c r="O43" s="504"/>
      <c r="P43" s="504"/>
      <c r="Q43" s="504"/>
      <c r="R43" s="504"/>
      <c r="S43" s="504"/>
      <c r="T43" s="505"/>
      <c r="U43" s="241"/>
      <c r="V43" s="241"/>
      <c r="X43" s="346" t="str">
        <f>IF(AND(R40&gt;0,B43=""),"←必ず入力してください"," ")</f>
        <v xml:space="preserve"> </v>
      </c>
      <c r="Y43" s="288"/>
    </row>
    <row r="44" spans="1:31" ht="17.100000000000001" customHeight="1">
      <c r="B44" s="506"/>
      <c r="C44" s="507"/>
      <c r="D44" s="507"/>
      <c r="E44" s="507"/>
      <c r="F44" s="507"/>
      <c r="G44" s="507"/>
      <c r="H44" s="507"/>
      <c r="I44" s="507"/>
      <c r="J44" s="507"/>
      <c r="K44" s="507"/>
      <c r="L44" s="507"/>
      <c r="M44" s="507"/>
      <c r="N44" s="507"/>
      <c r="O44" s="507"/>
      <c r="P44" s="507"/>
      <c r="Q44" s="507"/>
      <c r="R44" s="507"/>
      <c r="S44" s="507"/>
      <c r="T44" s="508"/>
      <c r="U44" s="241"/>
      <c r="V44" s="241"/>
      <c r="X44" s="346"/>
    </row>
    <row r="45" spans="1:31" ht="17.100000000000001" customHeight="1">
      <c r="B45" s="506"/>
      <c r="C45" s="507"/>
      <c r="D45" s="507"/>
      <c r="E45" s="507"/>
      <c r="F45" s="507"/>
      <c r="G45" s="507"/>
      <c r="H45" s="507"/>
      <c r="I45" s="507"/>
      <c r="J45" s="507"/>
      <c r="K45" s="507"/>
      <c r="L45" s="507"/>
      <c r="M45" s="507"/>
      <c r="N45" s="507"/>
      <c r="O45" s="507"/>
      <c r="P45" s="507"/>
      <c r="Q45" s="507"/>
      <c r="R45" s="507"/>
      <c r="S45" s="507"/>
      <c r="T45" s="508"/>
      <c r="U45" s="241"/>
      <c r="V45" s="241"/>
    </row>
    <row r="46" spans="1:31" ht="17.100000000000001" customHeight="1" thickBot="1">
      <c r="B46" s="509"/>
      <c r="C46" s="510"/>
      <c r="D46" s="510"/>
      <c r="E46" s="510"/>
      <c r="F46" s="510"/>
      <c r="G46" s="510"/>
      <c r="H46" s="510"/>
      <c r="I46" s="510"/>
      <c r="J46" s="510"/>
      <c r="K46" s="510"/>
      <c r="L46" s="510"/>
      <c r="M46" s="510"/>
      <c r="N46" s="510"/>
      <c r="O46" s="510"/>
      <c r="P46" s="510"/>
      <c r="Q46" s="510"/>
      <c r="R46" s="510"/>
      <c r="S46" s="510"/>
      <c r="T46" s="511"/>
      <c r="U46" s="241"/>
      <c r="V46" s="241"/>
    </row>
    <row r="47" spans="1:31" ht="34.5" customHeight="1" thickBot="1">
      <c r="B47" s="537" t="s">
        <v>249</v>
      </c>
      <c r="C47" s="537"/>
      <c r="D47" s="537"/>
      <c r="E47" s="537"/>
      <c r="F47" s="537"/>
      <c r="G47" s="537"/>
      <c r="H47" s="537"/>
      <c r="I47" s="537"/>
      <c r="J47" s="537"/>
      <c r="K47" s="537"/>
      <c r="L47" s="537"/>
      <c r="M47" s="537"/>
      <c r="N47" s="537"/>
      <c r="O47" s="537"/>
      <c r="P47" s="537"/>
      <c r="Q47" s="537"/>
      <c r="R47" s="537"/>
      <c r="S47" s="537"/>
    </row>
    <row r="48" spans="1:31" ht="21.75" thickBot="1">
      <c r="B48" s="538" t="s">
        <v>235</v>
      </c>
      <c r="C48" s="480"/>
      <c r="D48" s="479" t="s">
        <v>236</v>
      </c>
      <c r="E48" s="480"/>
      <c r="F48" s="479" t="s">
        <v>237</v>
      </c>
      <c r="G48" s="480"/>
      <c r="H48" s="479" t="s">
        <v>238</v>
      </c>
      <c r="I48" s="480"/>
      <c r="J48" s="479" t="s">
        <v>239</v>
      </c>
      <c r="K48" s="480"/>
      <c r="L48" s="179" t="s">
        <v>240</v>
      </c>
      <c r="M48" s="479" t="s">
        <v>241</v>
      </c>
      <c r="N48" s="481"/>
      <c r="O48" s="480"/>
      <c r="P48" s="180" t="s">
        <v>242</v>
      </c>
      <c r="Q48" s="512" t="s">
        <v>243</v>
      </c>
      <c r="R48" s="513"/>
      <c r="S48" s="513"/>
      <c r="T48" s="514"/>
      <c r="U48" s="244"/>
      <c r="V48" s="244"/>
    </row>
    <row r="49" spans="2:22">
      <c r="B49" s="519"/>
      <c r="C49" s="520"/>
      <c r="D49" s="521"/>
      <c r="E49" s="522"/>
      <c r="F49" s="523"/>
      <c r="G49" s="524"/>
      <c r="H49" s="525"/>
      <c r="I49" s="526"/>
      <c r="J49" s="181"/>
      <c r="K49" s="182" t="s">
        <v>24</v>
      </c>
      <c r="L49" s="183"/>
      <c r="M49" s="521"/>
      <c r="N49" s="527"/>
      <c r="O49" s="522"/>
      <c r="P49" s="185"/>
      <c r="Q49" s="515"/>
      <c r="R49" s="515"/>
      <c r="S49" s="515"/>
      <c r="T49" s="516"/>
      <c r="U49" s="257"/>
      <c r="V49" s="257"/>
    </row>
    <row r="50" spans="2:22">
      <c r="B50" s="528"/>
      <c r="C50" s="529"/>
      <c r="D50" s="530"/>
      <c r="E50" s="531"/>
      <c r="F50" s="532"/>
      <c r="G50" s="533"/>
      <c r="H50" s="534"/>
      <c r="I50" s="535"/>
      <c r="J50" s="187"/>
      <c r="K50" s="188" t="s">
        <v>24</v>
      </c>
      <c r="L50" s="189"/>
      <c r="M50" s="530"/>
      <c r="N50" s="536"/>
      <c r="O50" s="531"/>
      <c r="P50" s="194"/>
      <c r="Q50" s="517"/>
      <c r="R50" s="517"/>
      <c r="S50" s="517"/>
      <c r="T50" s="518"/>
      <c r="U50" s="257"/>
      <c r="V50" s="257"/>
    </row>
    <row r="51" spans="2:22" ht="19.5" thickBot="1">
      <c r="B51" s="491"/>
      <c r="C51" s="492"/>
      <c r="D51" s="493"/>
      <c r="E51" s="494"/>
      <c r="F51" s="495"/>
      <c r="G51" s="496"/>
      <c r="H51" s="497"/>
      <c r="I51" s="498"/>
      <c r="J51" s="191"/>
      <c r="K51" s="192" t="s">
        <v>24</v>
      </c>
      <c r="L51" s="193"/>
      <c r="M51" s="493"/>
      <c r="N51" s="499"/>
      <c r="O51" s="494"/>
      <c r="P51" s="184"/>
      <c r="Q51" s="500"/>
      <c r="R51" s="500"/>
      <c r="S51" s="500"/>
      <c r="T51" s="501"/>
      <c r="U51" s="257"/>
      <c r="V51" s="257"/>
    </row>
    <row r="52" spans="2:22" ht="6.75" customHeight="1"/>
  </sheetData>
  <sheetProtection algorithmName="SHA-512" hashValue="RZbNDM9m/JU9+VsXVby0xKda1I+DeVsxqFtKGHG8Xrq9XrDO6M2FoBXnGfO6H2+Qi9XuMR1WLhkPFDX6D6GQlg==" saltValue="evPWbc975sV8wPQajVcddw==" spinCount="100000" sheet="1" autoFilter="0"/>
  <mergeCells count="155">
    <mergeCell ref="B51:C51"/>
    <mergeCell ref="D51:E51"/>
    <mergeCell ref="F51:G51"/>
    <mergeCell ref="H51:I51"/>
    <mergeCell ref="M51:O51"/>
    <mergeCell ref="Q51:T51"/>
    <mergeCell ref="B42:T42"/>
    <mergeCell ref="B43:T46"/>
    <mergeCell ref="Q48:T48"/>
    <mergeCell ref="Q49:T49"/>
    <mergeCell ref="Q50:T50"/>
    <mergeCell ref="B49:C49"/>
    <mergeCell ref="D49:E49"/>
    <mergeCell ref="F49:G49"/>
    <mergeCell ref="H49:I49"/>
    <mergeCell ref="M49:O49"/>
    <mergeCell ref="B50:C50"/>
    <mergeCell ref="D50:E50"/>
    <mergeCell ref="F50:G50"/>
    <mergeCell ref="H50:I50"/>
    <mergeCell ref="M50:O50"/>
    <mergeCell ref="B47:S47"/>
    <mergeCell ref="B48:C48"/>
    <mergeCell ref="D48:E48"/>
    <mergeCell ref="F48:G48"/>
    <mergeCell ref="H48:I48"/>
    <mergeCell ref="J48:K48"/>
    <mergeCell ref="M48:O48"/>
    <mergeCell ref="B1:D1"/>
    <mergeCell ref="B3:C3"/>
    <mergeCell ref="D3:K3"/>
    <mergeCell ref="J1:N1"/>
    <mergeCell ref="B2:D2"/>
    <mergeCell ref="J12:L12"/>
    <mergeCell ref="N12:Q12"/>
    <mergeCell ref="J16:L16"/>
    <mergeCell ref="N16:Q16"/>
    <mergeCell ref="J23:L23"/>
    <mergeCell ref="N23:Q23"/>
    <mergeCell ref="B36:M36"/>
    <mergeCell ref="B37:F37"/>
    <mergeCell ref="J33:L33"/>
    <mergeCell ref="N33:Q33"/>
    <mergeCell ref="N17:Q17"/>
    <mergeCell ref="E18:I18"/>
    <mergeCell ref="E20:I20"/>
    <mergeCell ref="J20:L20"/>
    <mergeCell ref="N20:Q20"/>
    <mergeCell ref="R5:T6"/>
    <mergeCell ref="J6:L6"/>
    <mergeCell ref="N6:Q6"/>
    <mergeCell ref="B7:I7"/>
    <mergeCell ref="J7:L7"/>
    <mergeCell ref="N7:Q7"/>
    <mergeCell ref="R7:T7"/>
    <mergeCell ref="B5:I6"/>
    <mergeCell ref="J5:Q5"/>
    <mergeCell ref="J10:L10"/>
    <mergeCell ref="N10:Q10"/>
    <mergeCell ref="R10:T10"/>
    <mergeCell ref="E11:I11"/>
    <mergeCell ref="J11:L11"/>
    <mergeCell ref="N11:Q11"/>
    <mergeCell ref="R11:T11"/>
    <mergeCell ref="E12:I12"/>
    <mergeCell ref="R8:T8"/>
    <mergeCell ref="E9:I9"/>
    <mergeCell ref="J9:L9"/>
    <mergeCell ref="N9:Q9"/>
    <mergeCell ref="R9:T9"/>
    <mergeCell ref="B8:I8"/>
    <mergeCell ref="J8:L8"/>
    <mergeCell ref="N8:Q8"/>
    <mergeCell ref="N14:Q14"/>
    <mergeCell ref="R14:T14"/>
    <mergeCell ref="E15:I15"/>
    <mergeCell ref="J15:L15"/>
    <mergeCell ref="N15:Q15"/>
    <mergeCell ref="R15:T15"/>
    <mergeCell ref="B15:D15"/>
    <mergeCell ref="R12:T12"/>
    <mergeCell ref="E13:I13"/>
    <mergeCell ref="J13:L13"/>
    <mergeCell ref="N13:Q13"/>
    <mergeCell ref="R13:T13"/>
    <mergeCell ref="R20:T20"/>
    <mergeCell ref="B22:I22"/>
    <mergeCell ref="J22:L22"/>
    <mergeCell ref="N22:Q22"/>
    <mergeCell ref="R22:T22"/>
    <mergeCell ref="E21:I21"/>
    <mergeCell ref="R21:T21"/>
    <mergeCell ref="N21:Q21"/>
    <mergeCell ref="J21:L21"/>
    <mergeCell ref="M6:M21"/>
    <mergeCell ref="J18:L18"/>
    <mergeCell ref="N18:Q18"/>
    <mergeCell ref="R18:T18"/>
    <mergeCell ref="J19:L19"/>
    <mergeCell ref="N19:Q19"/>
    <mergeCell ref="R19:T19"/>
    <mergeCell ref="E16:I16"/>
    <mergeCell ref="R16:T16"/>
    <mergeCell ref="E17:I17"/>
    <mergeCell ref="J17:L17"/>
    <mergeCell ref="R17:T17"/>
    <mergeCell ref="B14:D14"/>
    <mergeCell ref="E14:I14"/>
    <mergeCell ref="J14:L14"/>
    <mergeCell ref="R23:T23"/>
    <mergeCell ref="B24:I24"/>
    <mergeCell ref="J24:L24"/>
    <mergeCell ref="N24:Q24"/>
    <mergeCell ref="R24:T24"/>
    <mergeCell ref="B31:I31"/>
    <mergeCell ref="J31:L31"/>
    <mergeCell ref="N31:Q31"/>
    <mergeCell ref="R31:T31"/>
    <mergeCell ref="B25:T25"/>
    <mergeCell ref="M22:M23"/>
    <mergeCell ref="B23:I23"/>
    <mergeCell ref="B26:T26"/>
    <mergeCell ref="E40:F40"/>
    <mergeCell ref="L40:N40"/>
    <mergeCell ref="B38:D39"/>
    <mergeCell ref="E38:G39"/>
    <mergeCell ref="H38:I39"/>
    <mergeCell ref="J38:K39"/>
    <mergeCell ref="L38:O39"/>
    <mergeCell ref="P38:Q39"/>
    <mergeCell ref="R40:S40"/>
    <mergeCell ref="X43:X44"/>
    <mergeCell ref="R33:T33"/>
    <mergeCell ref="B34:I34"/>
    <mergeCell ref="J34:L34"/>
    <mergeCell ref="N34:Q34"/>
    <mergeCell ref="N36:W37"/>
    <mergeCell ref="R34:T34"/>
    <mergeCell ref="B33:I33"/>
    <mergeCell ref="B35:I35"/>
    <mergeCell ref="J35:L35"/>
    <mergeCell ref="N35:Q35"/>
    <mergeCell ref="R35:T35"/>
    <mergeCell ref="M29:M35"/>
    <mergeCell ref="B28:I30"/>
    <mergeCell ref="J28:Q28"/>
    <mergeCell ref="R28:T30"/>
    <mergeCell ref="J29:L30"/>
    <mergeCell ref="N29:Q30"/>
    <mergeCell ref="B32:I32"/>
    <mergeCell ref="J32:L32"/>
    <mergeCell ref="N32:Q32"/>
    <mergeCell ref="R32:T32"/>
    <mergeCell ref="R38:T39"/>
    <mergeCell ref="B40:C40"/>
  </mergeCells>
  <phoneticPr fontId="4"/>
  <conditionalFormatting sqref="J7:L8 J10:L20 J23:L23 J21 J31:L34">
    <cfRule type="cellIs" dxfId="31" priority="31" operator="equal">
      <formula>""</formula>
    </cfRule>
  </conditionalFormatting>
  <conditionalFormatting sqref="N31:Q34">
    <cfRule type="cellIs" dxfId="30" priority="30" operator="equal">
      <formula>""</formula>
    </cfRule>
  </conditionalFormatting>
  <conditionalFormatting sqref="N36">
    <cfRule type="cellIs" dxfId="29" priority="25" operator="lessThan">
      <formula>$N$23</formula>
    </cfRule>
  </conditionalFormatting>
  <conditionalFormatting sqref="N35:Q35">
    <cfRule type="expression" dxfId="28" priority="22">
      <formula>NOT(N36="")</formula>
    </cfRule>
  </conditionalFormatting>
  <conditionalFormatting sqref="J10:L10">
    <cfRule type="expression" priority="20">
      <formula>$H$10&gt;50</formula>
    </cfRule>
  </conditionalFormatting>
  <conditionalFormatting sqref="H19">
    <cfRule type="cellIs" dxfId="27" priority="12" operator="greaterThanOrEqual">
      <formula>0.5</formula>
    </cfRule>
  </conditionalFormatting>
  <conditionalFormatting sqref="N19:Q19">
    <cfRule type="expression" dxfId="26" priority="5">
      <formula>$H$19&gt;=50</formula>
    </cfRule>
  </conditionalFormatting>
  <conditionalFormatting sqref="B49:J50 L49:Q50">
    <cfRule type="cellIs" dxfId="25" priority="4" operator="equal">
      <formula>""</formula>
    </cfRule>
  </conditionalFormatting>
  <conditionalFormatting sqref="B43:D46 R43:U46">
    <cfRule type="expression" dxfId="24" priority="3">
      <formula>AND(R40&gt;0,B43="")</formula>
    </cfRule>
  </conditionalFormatting>
  <conditionalFormatting sqref="B51:J51 L51:Q51">
    <cfRule type="cellIs" dxfId="23" priority="2" operator="equal">
      <formula>""</formula>
    </cfRule>
  </conditionalFormatting>
  <conditionalFormatting sqref="V43:V46">
    <cfRule type="expression" dxfId="22" priority="242">
      <formula>AND(AK40&gt;0,V43="")</formula>
    </cfRule>
  </conditionalFormatting>
  <conditionalFormatting sqref="E43:E46">
    <cfRule type="expression" dxfId="21" priority="243">
      <formula>AND(W40&gt;0,E43="")</formula>
    </cfRule>
  </conditionalFormatting>
  <conditionalFormatting sqref="AB10:AB11">
    <cfRule type="expression" dxfId="20" priority="1">
      <formula>$AF$10&gt;0</formula>
    </cfRule>
  </conditionalFormatting>
  <conditionalFormatting sqref="H10">
    <cfRule type="expression" dxfId="19" priority="258">
      <formula>#REF!&gt;0</formula>
    </cfRule>
  </conditionalFormatting>
  <conditionalFormatting sqref="N10:Q10">
    <cfRule type="expression" dxfId="18" priority="259">
      <formula>#REF!&gt;0</formula>
    </cfRule>
    <cfRule type="expression" dxfId="17" priority="260">
      <formula>#REF!&gt;0</formula>
    </cfRule>
  </conditionalFormatting>
  <conditionalFormatting sqref="F43:Q46">
    <cfRule type="expression" dxfId="16" priority="261">
      <formula>AND(#REF!&gt;0,F43="")</formula>
    </cfRule>
  </conditionalFormatting>
  <dataValidations xWindow="672" yWindow="362" count="2">
    <dataValidation allowBlank="1" showErrorMessage="1" sqref="N23:Q23" xr:uid="{00000000-0002-0000-0800-000000000000}"/>
    <dataValidation allowBlank="1" showInputMessage="1" showErrorMessage="1" promptTitle="助成決定時の予算額" prompt="ご応募時の「助成金額調書」にご記載の金額をご入力ください。_x000a__x000a_「助成金申請書兼請求書」のご提出時（４～５月頃）に、_x000a_予算を変更された場合は、ご変更後の金額となります。_x000a__x000a_事業期中に予算を変更しても、その金額を入力しないでください。" sqref="J7:L8 J23:L23 J10:L21 J31:L34" xr:uid="{8EFAA2A9-823B-404D-850C-7A1A76EE6AA9}"/>
  </dataValidations>
  <hyperlinks>
    <hyperlink ref="B1:D1" location="メニュー画面!B5" display="メニュー画面へ" xr:uid="{00000000-0004-0000-0800-000000000000}"/>
    <hyperlink ref="B2:D2" location="支出入力表!B5" display="支出入力表へ" xr:uid="{00000000-0004-0000-0800-000001000000}"/>
  </hyperlinks>
  <pageMargins left="0.7" right="0.7" top="0.75" bottom="0.75" header="0.3" footer="0.3"/>
  <pageSetup paperSize="9" scale="65"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Q165"/>
  <sheetViews>
    <sheetView showGridLines="0" view="pageBreakPreview" zoomScale="80" zoomScaleNormal="100" zoomScaleSheetLayoutView="80" workbookViewId="0">
      <selection activeCell="K16" sqref="K16"/>
    </sheetView>
  </sheetViews>
  <sheetFormatPr defaultRowHeight="18.75"/>
  <cols>
    <col min="1" max="1" width="2.125" style="9" customWidth="1"/>
    <col min="2" max="2" width="19" style="9" bestFit="1" customWidth="1"/>
    <col min="3" max="3" width="2.125" style="9" customWidth="1"/>
    <col min="4" max="4" width="16.625" style="9" customWidth="1"/>
    <col min="5" max="5" width="13.125" style="9" customWidth="1"/>
    <col min="6" max="6" width="3.625" style="9" customWidth="1"/>
    <col min="7" max="7" width="13.125" style="9" customWidth="1"/>
    <col min="8" max="8" width="3.625" style="9" customWidth="1"/>
    <col min="9" max="9" width="13.125" style="9" customWidth="1"/>
    <col min="10" max="10" width="3.625" style="9" customWidth="1"/>
    <col min="11" max="11" width="2.125" style="9" customWidth="1"/>
    <col min="12" max="17" width="8.625" style="9"/>
  </cols>
  <sheetData>
    <row r="1" spans="1:16" ht="36.6" customHeight="1">
      <c r="B1" s="150" t="s">
        <v>75</v>
      </c>
      <c r="C1" s="61"/>
      <c r="D1" s="324" t="s">
        <v>176</v>
      </c>
      <c r="E1" s="324"/>
      <c r="F1" s="324"/>
      <c r="G1" s="324"/>
      <c r="H1" s="324"/>
      <c r="I1" s="324"/>
      <c r="J1" s="324"/>
    </row>
    <row r="2" spans="1:16" ht="27.6" customHeight="1">
      <c r="B2" s="150" t="s">
        <v>106</v>
      </c>
      <c r="C2" s="52"/>
      <c r="D2" s="151" t="s">
        <v>114</v>
      </c>
      <c r="E2" s="484">
        <f>団体基本情報入力!D7</f>
        <v>0</v>
      </c>
      <c r="F2" s="484"/>
      <c r="G2" s="484"/>
      <c r="H2" s="484"/>
      <c r="I2" s="14"/>
      <c r="J2" s="14"/>
    </row>
    <row r="3" spans="1:16" ht="11.1" customHeight="1" thickBot="1">
      <c r="B3" s="14"/>
      <c r="C3" s="14"/>
      <c r="D3" s="53"/>
      <c r="E3" s="53"/>
      <c r="F3" s="53"/>
      <c r="G3" s="53"/>
      <c r="H3" s="53"/>
      <c r="I3" s="14"/>
      <c r="J3" s="35"/>
    </row>
    <row r="4" spans="1:16" ht="19.5" thickBot="1">
      <c r="B4" s="164" t="s">
        <v>251</v>
      </c>
      <c r="C4" s="546" t="s">
        <v>28</v>
      </c>
      <c r="D4" s="546"/>
      <c r="E4" s="545" t="s">
        <v>43</v>
      </c>
      <c r="F4" s="545"/>
      <c r="G4" s="546" t="s">
        <v>220</v>
      </c>
      <c r="H4" s="546"/>
      <c r="I4" s="546" t="s">
        <v>221</v>
      </c>
      <c r="J4" s="547"/>
      <c r="K4" s="29"/>
      <c r="M4" s="29"/>
    </row>
    <row r="5" spans="1:16">
      <c r="A5" s="54"/>
      <c r="B5" s="85">
        <f>団体基本情報入力!$B$15</f>
        <v>1</v>
      </c>
      <c r="C5" s="86" t="s">
        <v>49</v>
      </c>
      <c r="D5" s="87" t="s">
        <v>0</v>
      </c>
      <c r="E5" s="88">
        <f>SUMIFS(支出入力表!$M$6:$M$1000,支出入力表!$C$6:$C$1000,"1",支出入力表!$F$6:$F$1000,"1")</f>
        <v>0</v>
      </c>
      <c r="F5" s="89" t="s">
        <v>45</v>
      </c>
      <c r="G5" s="88">
        <f>SUMIFS(支出入力表!$N$6:$N$1000,支出入力表!$C$6:$C$1000,"1",支出入力表!$F$6:$F$1000,"1")</f>
        <v>0</v>
      </c>
      <c r="H5" s="89" t="s">
        <v>45</v>
      </c>
      <c r="I5" s="88">
        <f>SUMIFS(支出入力表!$O$6:$O$1000,支出入力表!$C$6:$C$1000,"1",支出入力表!$F$6:$F$1000,"1")</f>
        <v>0</v>
      </c>
      <c r="J5" s="137" t="s">
        <v>45</v>
      </c>
      <c r="K5" s="29"/>
      <c r="M5" s="29"/>
      <c r="N5" s="29"/>
    </row>
    <row r="6" spans="1:16">
      <c r="A6" s="55"/>
      <c r="B6" s="85">
        <f>団体基本情報入力!$B$15</f>
        <v>1</v>
      </c>
      <c r="C6" s="91" t="s">
        <v>50</v>
      </c>
      <c r="D6" s="92" t="s">
        <v>2</v>
      </c>
      <c r="E6" s="93">
        <f>SUMIFS(支出入力表!$M$6:$M$1000,支出入力表!$C$6:$C$1000,"1",支出入力表!$F$6:$F$1000,"2")</f>
        <v>0</v>
      </c>
      <c r="F6" s="94" t="s">
        <v>46</v>
      </c>
      <c r="G6" s="93">
        <f>SUMIFS(支出入力表!$N$6:$N$1000,支出入力表!$C$6:$C$1000,"1",支出入力表!$F$6:$F$1000,"2")</f>
        <v>0</v>
      </c>
      <c r="H6" s="94" t="s">
        <v>46</v>
      </c>
      <c r="I6" s="93">
        <f>SUMIFS(支出入力表!$O$6:$O$1000,支出入力表!$C$6:$C$1000,"1",支出入力表!$F$6:$F$1000,"2")</f>
        <v>0</v>
      </c>
      <c r="J6" s="138" t="s">
        <v>46</v>
      </c>
      <c r="K6" s="29"/>
      <c r="M6" s="29"/>
      <c r="N6" s="29"/>
    </row>
    <row r="7" spans="1:16">
      <c r="A7" s="55"/>
      <c r="B7" s="85">
        <f>団体基本情報入力!$B$15</f>
        <v>1</v>
      </c>
      <c r="C7" s="91" t="s">
        <v>51</v>
      </c>
      <c r="D7" s="92" t="s">
        <v>198</v>
      </c>
      <c r="E7" s="93">
        <f>SUMIFS(支出入力表!$M$6:$M$1000,支出入力表!$C$6:$C$1000,"1",支出入力表!$F$6:$F$1000,"3")</f>
        <v>0</v>
      </c>
      <c r="F7" s="94" t="s">
        <v>46</v>
      </c>
      <c r="G7" s="93">
        <f>SUMIFS(支出入力表!$N$6:$N$1000,支出入力表!$C$6:$C$1000,"1",支出入力表!$F$6:$F$1000,"3")</f>
        <v>0</v>
      </c>
      <c r="H7" s="94" t="s">
        <v>46</v>
      </c>
      <c r="I7" s="93">
        <f>SUMIFS(支出入力表!$O$6:$O$1000,支出入力表!$C$6:$C$1000,"1",支出入力表!$F$6:$F$1000,"3")</f>
        <v>0</v>
      </c>
      <c r="J7" s="138" t="s">
        <v>46</v>
      </c>
      <c r="K7" s="29"/>
      <c r="M7" s="29"/>
      <c r="N7" s="29"/>
    </row>
    <row r="8" spans="1:16">
      <c r="A8" s="55"/>
      <c r="B8" s="85">
        <f>団体基本情報入力!$B$15</f>
        <v>1</v>
      </c>
      <c r="C8" s="91" t="s">
        <v>52</v>
      </c>
      <c r="D8" s="92" t="s">
        <v>199</v>
      </c>
      <c r="E8" s="93">
        <f>SUMIFS(支出入力表!$M$6:$M$1000,支出入力表!$C$6:$C$1000,"1",支出入力表!$F$6:$F$1000,"4")</f>
        <v>0</v>
      </c>
      <c r="F8" s="94" t="s">
        <v>46</v>
      </c>
      <c r="G8" s="93">
        <f>SUMIFS(支出入力表!$N$6:$N$1000,支出入力表!$C$6:$C$1000,"1",支出入力表!$F$6:$F$1000,"4")</f>
        <v>0</v>
      </c>
      <c r="H8" s="94" t="s">
        <v>46</v>
      </c>
      <c r="I8" s="93">
        <f>SUMIFS(支出入力表!$O$6:$O$1000,支出入力表!$C$6:$C$1000,"1",支出入力表!$F$6:$F$1000,"4")</f>
        <v>0</v>
      </c>
      <c r="J8" s="138" t="s">
        <v>46</v>
      </c>
      <c r="K8" s="29"/>
      <c r="M8" s="29"/>
      <c r="N8" s="29"/>
      <c r="P8" s="29"/>
    </row>
    <row r="9" spans="1:16">
      <c r="A9" s="55"/>
      <c r="B9" s="85">
        <f>団体基本情報入力!$B$15</f>
        <v>1</v>
      </c>
      <c r="C9" s="91" t="s">
        <v>53</v>
      </c>
      <c r="D9" s="92" t="s">
        <v>10</v>
      </c>
      <c r="E9" s="93">
        <f>SUMIFS(支出入力表!$M$6:$M$1000,支出入力表!$C$6:$C$1000,"1",支出入力表!$F$6:$F$1000,"5")</f>
        <v>0</v>
      </c>
      <c r="F9" s="94" t="s">
        <v>46</v>
      </c>
      <c r="G9" s="93">
        <f>SUMIFS(支出入力表!$N$6:$N$1000,支出入力表!$C$6:$C$1000,"1",支出入力表!$F$6:$F$1000,"5")</f>
        <v>0</v>
      </c>
      <c r="H9" s="94" t="s">
        <v>46</v>
      </c>
      <c r="I9" s="93">
        <f>SUMIFS(支出入力表!$O$6:$O$1000,支出入力表!$C$6:$C$1000,"1",支出入力表!$F$6:$F$1000,"5")</f>
        <v>0</v>
      </c>
      <c r="J9" s="138" t="s">
        <v>46</v>
      </c>
      <c r="K9" s="29"/>
      <c r="M9" s="29"/>
      <c r="N9" s="29"/>
      <c r="O9" s="29"/>
    </row>
    <row r="10" spans="1:16">
      <c r="A10" s="55"/>
      <c r="B10" s="85">
        <f>団体基本情報入力!$B$15</f>
        <v>1</v>
      </c>
      <c r="C10" s="91" t="s">
        <v>54</v>
      </c>
      <c r="D10" s="92" t="s">
        <v>3</v>
      </c>
      <c r="E10" s="93">
        <f>SUMIFS(支出入力表!$M$6:$M$1000,支出入力表!$C$6:$C$1000,"1",支出入力表!$F$6:$F$1000,"6")</f>
        <v>0</v>
      </c>
      <c r="F10" s="94" t="s">
        <v>46</v>
      </c>
      <c r="G10" s="93">
        <f>SUMIFS(支出入力表!$N$6:$N$1000,支出入力表!$C$6:$C$1000,"1",支出入力表!$F$6:$F$1000,"6")</f>
        <v>0</v>
      </c>
      <c r="H10" s="94" t="s">
        <v>46</v>
      </c>
      <c r="I10" s="93">
        <f>SUMIFS(支出入力表!$O$6:$O$1000,支出入力表!$C$6:$C$1000,"1",支出入力表!$F$6:$F$1000,"6")</f>
        <v>0</v>
      </c>
      <c r="J10" s="138" t="s">
        <v>46</v>
      </c>
      <c r="K10" s="29"/>
      <c r="L10" s="29"/>
      <c r="M10" s="29"/>
      <c r="N10" s="29"/>
    </row>
    <row r="11" spans="1:16">
      <c r="A11" s="55"/>
      <c r="B11" s="85">
        <f>団体基本情報入力!$B$15</f>
        <v>1</v>
      </c>
      <c r="C11" s="91" t="s">
        <v>55</v>
      </c>
      <c r="D11" s="92" t="s">
        <v>7</v>
      </c>
      <c r="E11" s="93">
        <f>SUMIFS(支出入力表!$M$6:$M$1000,支出入力表!$C$6:$C$1000,"1",支出入力表!$F$6:$F$1000,"7")</f>
        <v>0</v>
      </c>
      <c r="F11" s="94" t="s">
        <v>46</v>
      </c>
      <c r="G11" s="93">
        <f>SUMIFS(支出入力表!$N$6:$N$1000,支出入力表!$C$6:$C$1000,"1",支出入力表!$F$6:$F$1000,"7")</f>
        <v>0</v>
      </c>
      <c r="H11" s="94" t="s">
        <v>46</v>
      </c>
      <c r="I11" s="93">
        <f>SUMIFS(支出入力表!$O$6:$O$1000,支出入力表!$C$6:$C$1000,"1",支出入力表!$F$6:$F$1000,"7")</f>
        <v>0</v>
      </c>
      <c r="J11" s="138" t="s">
        <v>46</v>
      </c>
      <c r="K11" s="29"/>
      <c r="M11" s="29"/>
      <c r="N11" s="29"/>
    </row>
    <row r="12" spans="1:16">
      <c r="A12" s="55"/>
      <c r="B12" s="85">
        <f>団体基本情報入力!$B$15</f>
        <v>1</v>
      </c>
      <c r="C12" s="91" t="s">
        <v>56</v>
      </c>
      <c r="D12" s="92" t="s">
        <v>1</v>
      </c>
      <c r="E12" s="93">
        <f>SUMIFS(支出入力表!$M$6:$M$1000,支出入力表!$C$6:$C$1000,"1",支出入力表!$F$6:$F$1000,"8")</f>
        <v>0</v>
      </c>
      <c r="F12" s="94" t="s">
        <v>46</v>
      </c>
      <c r="G12" s="93">
        <f>SUMIFS(支出入力表!$N$6:$N$1000,支出入力表!$C$6:$C$1000,"1",支出入力表!$F$6:$F$1000,"8")</f>
        <v>0</v>
      </c>
      <c r="H12" s="94" t="s">
        <v>46</v>
      </c>
      <c r="I12" s="93">
        <f>SUMIFS(支出入力表!$O$6:$O$1000,支出入力表!$C$6:$C$1000,"1",支出入力表!$F$6:$F$1000,"8")</f>
        <v>0</v>
      </c>
      <c r="J12" s="138" t="s">
        <v>46</v>
      </c>
      <c r="K12" s="29"/>
      <c r="M12" s="29"/>
      <c r="N12" s="29"/>
    </row>
    <row r="13" spans="1:16">
      <c r="A13" s="55"/>
      <c r="B13" s="85">
        <f>団体基本情報入力!$B$15</f>
        <v>1</v>
      </c>
      <c r="C13" s="91" t="s">
        <v>57</v>
      </c>
      <c r="D13" s="92" t="s">
        <v>4</v>
      </c>
      <c r="E13" s="93">
        <f>SUMIFS(支出入力表!$M$6:$M$1000,支出入力表!$C$6:$C$1000,"1",支出入力表!$F$6:$F$1000,"9")</f>
        <v>0</v>
      </c>
      <c r="F13" s="94" t="s">
        <v>46</v>
      </c>
      <c r="G13" s="93">
        <f>SUMIFS(支出入力表!$N$6:$N$1000,支出入力表!$C$6:$C$1000,"1",支出入力表!$F$6:$F$1000,"9")</f>
        <v>0</v>
      </c>
      <c r="H13" s="94" t="s">
        <v>46</v>
      </c>
      <c r="I13" s="93">
        <f>SUMIFS(支出入力表!$O$6:$O$1000,支出入力表!$C$6:$C$1000,"1",支出入力表!$F$6:$F$1000,"9")</f>
        <v>0</v>
      </c>
      <c r="J13" s="138" t="s">
        <v>46</v>
      </c>
      <c r="K13" s="29"/>
      <c r="M13" s="29"/>
      <c r="N13" s="29"/>
    </row>
    <row r="14" spans="1:16">
      <c r="A14" s="55"/>
      <c r="B14" s="85">
        <f>団体基本情報入力!$B$15</f>
        <v>1</v>
      </c>
      <c r="C14" s="91" t="s">
        <v>58</v>
      </c>
      <c r="D14" s="92" t="s">
        <v>8</v>
      </c>
      <c r="E14" s="93">
        <f>SUMIFS(支出入力表!$M$6:$M$1000,支出入力表!$C$6:$C$1000,"1",支出入力表!$F$6:$F$1000,"10")</f>
        <v>0</v>
      </c>
      <c r="F14" s="94" t="s">
        <v>46</v>
      </c>
      <c r="G14" s="93">
        <f>SUMIFS(支出入力表!$N$6:$N$1000,支出入力表!$C$6:$C$1000,"1",支出入力表!$F$6:$F$1000,"10")</f>
        <v>0</v>
      </c>
      <c r="H14" s="94" t="s">
        <v>46</v>
      </c>
      <c r="I14" s="93">
        <f>SUMIFS(支出入力表!$O$6:$O$1000,支出入力表!$C$6:$C$1000,"1",支出入力表!$F$6:$F$1000,"10")</f>
        <v>0</v>
      </c>
      <c r="J14" s="138" t="s">
        <v>46</v>
      </c>
      <c r="K14" s="29"/>
      <c r="M14" s="29"/>
      <c r="N14" s="29"/>
    </row>
    <row r="15" spans="1:16">
      <c r="A15" s="55"/>
      <c r="B15" s="85">
        <f>団体基本情報入力!$B$15</f>
        <v>1</v>
      </c>
      <c r="C15" s="91" t="s">
        <v>59</v>
      </c>
      <c r="D15" s="92" t="s">
        <v>11</v>
      </c>
      <c r="E15" s="93">
        <f>SUMIFS(支出入力表!$M$6:$M$1000,支出入力表!$C$6:$C$1000,"1",支出入力表!$F$6:$F$1000,"11")</f>
        <v>0</v>
      </c>
      <c r="F15" s="94" t="s">
        <v>46</v>
      </c>
      <c r="G15" s="93">
        <f>SUMIFS(支出入力表!$N$6:$N$1000,支出入力表!$C$6:$C$1000,"1",支出入力表!$F$6:$F$1000,"11")</f>
        <v>0</v>
      </c>
      <c r="H15" s="94" t="s">
        <v>46</v>
      </c>
      <c r="I15" s="93">
        <f>SUMIFS(支出入力表!$O$6:$O$1000,支出入力表!$C$6:$C$1000,"1",支出入力表!$F$6:$F$1000,"11")</f>
        <v>0</v>
      </c>
      <c r="J15" s="138" t="s">
        <v>46</v>
      </c>
      <c r="K15" s="29"/>
      <c r="M15" s="29"/>
      <c r="N15" s="29"/>
    </row>
    <row r="16" spans="1:16">
      <c r="A16" s="55"/>
      <c r="B16" s="85">
        <f>団体基本情報入力!$B$15</f>
        <v>1</v>
      </c>
      <c r="C16" s="91" t="s">
        <v>60</v>
      </c>
      <c r="D16" s="92" t="s">
        <v>12</v>
      </c>
      <c r="E16" s="93">
        <f>SUMIFS(支出入力表!$M$6:$M$1000,支出入力表!$C$6:$C$1000,"1",支出入力表!$F$6:$F$1000,"12")</f>
        <v>0</v>
      </c>
      <c r="F16" s="94" t="s">
        <v>46</v>
      </c>
      <c r="G16" s="93">
        <f>SUMIFS(支出入力表!$N$6:$N$1000,支出入力表!$C$6:$C$1000,"1",支出入力表!$F$6:$F$1000,"12")</f>
        <v>0</v>
      </c>
      <c r="H16" s="94" t="s">
        <v>46</v>
      </c>
      <c r="I16" s="93">
        <f>SUMIFS(支出入力表!$O$6:$O$1000,支出入力表!$C$6:$C$1000,"1",支出入力表!$F$6:$F$1000,"12")</f>
        <v>0</v>
      </c>
      <c r="J16" s="138" t="s">
        <v>46</v>
      </c>
      <c r="K16" s="29"/>
      <c r="M16" s="29"/>
      <c r="N16" s="29"/>
    </row>
    <row r="17" spans="1:15">
      <c r="A17" s="55"/>
      <c r="B17" s="85">
        <f>団体基本情報入力!$B$15</f>
        <v>1</v>
      </c>
      <c r="C17" s="91" t="s">
        <v>61</v>
      </c>
      <c r="D17" s="92" t="s">
        <v>9</v>
      </c>
      <c r="E17" s="93">
        <f>SUMIFS(支出入力表!$M$6:$M$1000,支出入力表!$C$6:$C$1000,"1",支出入力表!$F$6:$F$1000,"13")</f>
        <v>0</v>
      </c>
      <c r="F17" s="94" t="s">
        <v>46</v>
      </c>
      <c r="G17" s="93">
        <f>SUMIFS(支出入力表!$N$6:$N$1000,支出入力表!$C$6:$C$1000,"1",支出入力表!$F$6:$F$1000,"13")</f>
        <v>0</v>
      </c>
      <c r="H17" s="94" t="s">
        <v>46</v>
      </c>
      <c r="I17" s="93">
        <f>SUMIFS(支出入力表!$O$6:$O$1000,支出入力表!$C$6:$C$1000,"1",支出入力表!$F$6:$F$1000,"13")</f>
        <v>0</v>
      </c>
      <c r="J17" s="138" t="s">
        <v>46</v>
      </c>
      <c r="K17" s="29"/>
      <c r="M17" s="29"/>
      <c r="N17" s="29"/>
    </row>
    <row r="18" spans="1:15">
      <c r="A18" s="55"/>
      <c r="B18" s="85">
        <f>団体基本情報入力!$B$15</f>
        <v>1</v>
      </c>
      <c r="C18" s="91" t="s">
        <v>47</v>
      </c>
      <c r="D18" s="92" t="s">
        <v>5</v>
      </c>
      <c r="E18" s="93">
        <f>SUMIFS(支出入力表!$M$6:$M$1000,支出入力表!$C$6:$C$1000,"1",支出入力表!$F$6:$F$1000,"14")</f>
        <v>0</v>
      </c>
      <c r="F18" s="94" t="s">
        <v>46</v>
      </c>
      <c r="G18" s="93">
        <f>SUMIFS(支出入力表!$N$6:$N$1000,支出入力表!$C$6:$C$1000,"1",支出入力表!$F$6:$F$1000,"14")</f>
        <v>0</v>
      </c>
      <c r="H18" s="94" t="s">
        <v>46</v>
      </c>
      <c r="I18" s="93">
        <f>SUMIFS(支出入力表!$O$6:$O$1000,支出入力表!$C$6:$C$1000,"1",支出入力表!$F$6:$F$1000,"14")</f>
        <v>0</v>
      </c>
      <c r="J18" s="138" t="s">
        <v>46</v>
      </c>
      <c r="K18" s="29"/>
      <c r="M18" s="29"/>
      <c r="N18" s="29"/>
    </row>
    <row r="19" spans="1:15" ht="19.5" thickBot="1">
      <c r="A19" s="55"/>
      <c r="B19" s="85">
        <f>団体基本情報入力!$B$15</f>
        <v>1</v>
      </c>
      <c r="C19" s="97" t="s">
        <v>107</v>
      </c>
      <c r="D19" s="98" t="s">
        <v>104</v>
      </c>
      <c r="E19" s="99">
        <f>SUMIFS(支出入力表!$M$6:$M$1000,支出入力表!$C$6:$C$1000,"1",支出入力表!$F$6:$F$1000,"15")</f>
        <v>0</v>
      </c>
      <c r="F19" s="100" t="s">
        <v>24</v>
      </c>
      <c r="G19" s="114" t="s">
        <v>108</v>
      </c>
      <c r="H19" s="100" t="s">
        <v>24</v>
      </c>
      <c r="I19" s="99">
        <f>SUMIFS(支出入力表!$O$6:$O$1000,支出入力表!$C$6:$C$1000,"1",支出入力表!$F$6:$F$1000,"15")</f>
        <v>0</v>
      </c>
      <c r="J19" s="139" t="s">
        <v>24</v>
      </c>
      <c r="K19" s="29"/>
      <c r="M19" s="29"/>
      <c r="N19" s="29"/>
    </row>
    <row r="20" spans="1:15" ht="19.5" thickTop="1">
      <c r="A20" s="55"/>
      <c r="B20" s="116">
        <f>団体基本情報入力!$B$15</f>
        <v>1</v>
      </c>
      <c r="C20" s="543" t="s">
        <v>178</v>
      </c>
      <c r="D20" s="544"/>
      <c r="E20" s="117">
        <f>SUM(E5:E19)</f>
        <v>0</v>
      </c>
      <c r="F20" s="118" t="s">
        <v>46</v>
      </c>
      <c r="G20" s="117">
        <f>SUM(G5:G19)</f>
        <v>0</v>
      </c>
      <c r="H20" s="118" t="s">
        <v>46</v>
      </c>
      <c r="I20" s="117">
        <f>SUM(I5:I19)</f>
        <v>0</v>
      </c>
      <c r="J20" s="140" t="s">
        <v>46</v>
      </c>
      <c r="K20" s="29"/>
      <c r="M20" s="29"/>
      <c r="N20" s="29"/>
    </row>
    <row r="21" spans="1:15">
      <c r="A21" s="54"/>
      <c r="B21" s="85">
        <f>団体基本情報入力!$B$16</f>
        <v>2</v>
      </c>
      <c r="C21" s="101" t="s">
        <v>49</v>
      </c>
      <c r="D21" s="102" t="s">
        <v>0</v>
      </c>
      <c r="E21" s="103">
        <f>SUMIFS(支出入力表!$M$6:$M$1000,支出入力表!$C$6:$C$1000,"2",支出入力表!$F$6:$F$1000,"1")</f>
        <v>0</v>
      </c>
      <c r="F21" s="104" t="s">
        <v>46</v>
      </c>
      <c r="G21" s="103">
        <f>SUMIFS(支出入力表!$N$6:$N$1000,支出入力表!$C$6:$C$1000,"2",支出入力表!$F$6:$F$1000,"1")</f>
        <v>0</v>
      </c>
      <c r="H21" s="104" t="s">
        <v>46</v>
      </c>
      <c r="I21" s="103">
        <f>SUMIFS(支出入力表!$O$6:$O$1000,支出入力表!$C$6:$C$1000,"2",支出入力表!$F$6:$F$1000,"1")</f>
        <v>0</v>
      </c>
      <c r="J21" s="141" t="s">
        <v>46</v>
      </c>
      <c r="K21" s="29"/>
      <c r="M21" s="29"/>
      <c r="N21" s="29"/>
    </row>
    <row r="22" spans="1:15">
      <c r="A22" s="55"/>
      <c r="B22" s="90">
        <f>団体基本情報入力!$B$16</f>
        <v>2</v>
      </c>
      <c r="C22" s="91" t="s">
        <v>83</v>
      </c>
      <c r="D22" s="92" t="s">
        <v>2</v>
      </c>
      <c r="E22" s="93">
        <f>SUMIFS(支出入力表!$M$6:$M$1000,支出入力表!$C$6:$C$1000,"2",支出入力表!$F$6:$F$1000,"2")</f>
        <v>0</v>
      </c>
      <c r="F22" s="94" t="s">
        <v>46</v>
      </c>
      <c r="G22" s="93">
        <f>SUMIFS(支出入力表!$N$6:$N$1000,支出入力表!$C$6:$C$1000,"2",支出入力表!$F$6:$F$1000,"2")</f>
        <v>0</v>
      </c>
      <c r="H22" s="94" t="s">
        <v>46</v>
      </c>
      <c r="I22" s="93">
        <f>SUMIFS(支出入力表!$O$6:$O$1000,支出入力表!$C$6:$C$1000,"2",支出入力表!$F$6:$F$1000,"2")</f>
        <v>0</v>
      </c>
      <c r="J22" s="138" t="s">
        <v>46</v>
      </c>
      <c r="K22" s="29"/>
      <c r="M22" s="29"/>
      <c r="N22" s="29"/>
    </row>
    <row r="23" spans="1:15">
      <c r="A23" s="55"/>
      <c r="B23" s="90">
        <f>団体基本情報入力!$B$16</f>
        <v>2</v>
      </c>
      <c r="C23" s="91" t="s">
        <v>51</v>
      </c>
      <c r="D23" s="92" t="s">
        <v>198</v>
      </c>
      <c r="E23" s="93">
        <f>SUMIFS(支出入力表!$M$6:$M$1000,支出入力表!$C$6:$C$1000,"2",支出入力表!$F$6:$F$1000,"3")</f>
        <v>0</v>
      </c>
      <c r="F23" s="94" t="s">
        <v>46</v>
      </c>
      <c r="G23" s="93">
        <f>SUMIFS(支出入力表!$N$6:$N$1000,支出入力表!$C$6:$C$1000,"2",支出入力表!$F$6:$F$1000,"3")</f>
        <v>0</v>
      </c>
      <c r="H23" s="94" t="s">
        <v>46</v>
      </c>
      <c r="I23" s="93">
        <f>SUMIFS(支出入力表!$O$6:$O$1000,支出入力表!$C$6:$C$1000,"2",支出入力表!$F$6:$F$1000,"3")</f>
        <v>0</v>
      </c>
      <c r="J23" s="138" t="s">
        <v>46</v>
      </c>
      <c r="K23" s="29"/>
      <c r="M23" s="29"/>
      <c r="N23" s="29"/>
    </row>
    <row r="24" spans="1:15">
      <c r="A24" s="55"/>
      <c r="B24" s="90">
        <f>団体基本情報入力!$B$16</f>
        <v>2</v>
      </c>
      <c r="C24" s="91" t="s">
        <v>84</v>
      </c>
      <c r="D24" s="92" t="s">
        <v>199</v>
      </c>
      <c r="E24" s="93">
        <f>SUMIFS(支出入力表!$M$6:$M$1000,支出入力表!$C$6:$C$1000,"2",支出入力表!$F$6:$F$1000,"4")</f>
        <v>0</v>
      </c>
      <c r="F24" s="94" t="s">
        <v>46</v>
      </c>
      <c r="G24" s="93">
        <f>SUMIFS(支出入力表!$N$6:$N$1000,支出入力表!$C$6:$C$1000,"2",支出入力表!$F$6:$F$1000,"4")</f>
        <v>0</v>
      </c>
      <c r="H24" s="94" t="s">
        <v>46</v>
      </c>
      <c r="I24" s="93">
        <f>SUMIFS(支出入力表!$O$6:$O$1000,支出入力表!$C$6:$C$1000,"2",支出入力表!$F$6:$F$1000,"4")</f>
        <v>0</v>
      </c>
      <c r="J24" s="138" t="s">
        <v>46</v>
      </c>
      <c r="K24" s="29"/>
      <c r="M24" s="29"/>
      <c r="N24" s="29"/>
    </row>
    <row r="25" spans="1:15">
      <c r="A25" s="55"/>
      <c r="B25" s="90">
        <f>団体基本情報入力!$B$16</f>
        <v>2</v>
      </c>
      <c r="C25" s="91" t="s">
        <v>85</v>
      </c>
      <c r="D25" s="92" t="s">
        <v>10</v>
      </c>
      <c r="E25" s="93">
        <f>SUMIFS(支出入力表!$M$6:$M$1000,支出入力表!$C$6:$C$1000,"2",支出入力表!$F$6:$F$1000,"5")</f>
        <v>0</v>
      </c>
      <c r="F25" s="94" t="s">
        <v>46</v>
      </c>
      <c r="G25" s="93">
        <f>SUMIFS(支出入力表!$N$6:$N$1000,支出入力表!$C$6:$C$1000,"2",支出入力表!$F$6:$F$1000,"5")</f>
        <v>0</v>
      </c>
      <c r="H25" s="94" t="s">
        <v>46</v>
      </c>
      <c r="I25" s="93">
        <f>SUMIFS(支出入力表!$O$6:$O$1000,支出入力表!$C$6:$C$1000,"2",支出入力表!$F$6:$F$1000,"5")</f>
        <v>0</v>
      </c>
      <c r="J25" s="138" t="s">
        <v>46</v>
      </c>
      <c r="K25" s="29"/>
      <c r="M25" s="29"/>
      <c r="N25" s="29"/>
      <c r="O25" s="29"/>
    </row>
    <row r="26" spans="1:15">
      <c r="A26" s="55"/>
      <c r="B26" s="90">
        <f>団体基本情報入力!$B$16</f>
        <v>2</v>
      </c>
      <c r="C26" s="91" t="s">
        <v>86</v>
      </c>
      <c r="D26" s="92" t="s">
        <v>3</v>
      </c>
      <c r="E26" s="93">
        <f>SUMIFS(支出入力表!$M$6:$M$1000,支出入力表!$C$6:$C$1000,"2",支出入力表!$F$6:$F$1000,"6")</f>
        <v>0</v>
      </c>
      <c r="F26" s="94" t="s">
        <v>46</v>
      </c>
      <c r="G26" s="93">
        <f>SUMIFS(支出入力表!$N$6:$N$1000,支出入力表!$C$6:$C$1000,"2",支出入力表!$F$6:$F$1000,"6")</f>
        <v>0</v>
      </c>
      <c r="H26" s="94" t="s">
        <v>46</v>
      </c>
      <c r="I26" s="93">
        <f>SUMIFS(支出入力表!$O$6:$O$1000,支出入力表!$C$6:$C$1000,"2",支出入力表!$F$6:$F$1000,"6")</f>
        <v>0</v>
      </c>
      <c r="J26" s="138" t="s">
        <v>46</v>
      </c>
      <c r="K26" s="29"/>
      <c r="M26" s="29"/>
      <c r="N26" s="29"/>
    </row>
    <row r="27" spans="1:15">
      <c r="A27" s="55"/>
      <c r="B27" s="90">
        <f>団体基本情報入力!$B$16</f>
        <v>2</v>
      </c>
      <c r="C27" s="91" t="s">
        <v>87</v>
      </c>
      <c r="D27" s="92" t="s">
        <v>7</v>
      </c>
      <c r="E27" s="93">
        <f>SUMIFS(支出入力表!$M$6:$M$1000,支出入力表!$C$6:$C$1000,"2",支出入力表!$F$6:$F$1000,"7")</f>
        <v>0</v>
      </c>
      <c r="F27" s="94" t="s">
        <v>46</v>
      </c>
      <c r="G27" s="93">
        <f>SUMIFS(支出入力表!$N$6:$N$1000,支出入力表!$C$6:$C$1000,"2",支出入力表!$F$6:$F$1000,"7")</f>
        <v>0</v>
      </c>
      <c r="H27" s="94" t="s">
        <v>46</v>
      </c>
      <c r="I27" s="93">
        <f>SUMIFS(支出入力表!$O$6:$O$1000,支出入力表!$C$6:$C$1000,"2",支出入力表!$F$6:$F$1000,"7")</f>
        <v>0</v>
      </c>
      <c r="J27" s="138" t="s">
        <v>46</v>
      </c>
      <c r="K27" s="29"/>
      <c r="M27" s="29"/>
      <c r="N27" s="29"/>
    </row>
    <row r="28" spans="1:15">
      <c r="A28" s="55"/>
      <c r="B28" s="90">
        <f>団体基本情報入力!$B$16</f>
        <v>2</v>
      </c>
      <c r="C28" s="91" t="s">
        <v>88</v>
      </c>
      <c r="D28" s="92" t="s">
        <v>1</v>
      </c>
      <c r="E28" s="93">
        <f>SUMIFS(支出入力表!$M$6:$M$1000,支出入力表!$C$6:$C$1000,"2",支出入力表!$F$6:$F$1000,"8")</f>
        <v>0</v>
      </c>
      <c r="F28" s="94" t="s">
        <v>46</v>
      </c>
      <c r="G28" s="93">
        <f>SUMIFS(支出入力表!$N$6:$N$1000,支出入力表!$C$6:$C$1000,"2",支出入力表!$F$6:$F$1000,"8")</f>
        <v>0</v>
      </c>
      <c r="H28" s="94" t="s">
        <v>46</v>
      </c>
      <c r="I28" s="93">
        <f>SUMIFS(支出入力表!$O$6:$O$1000,支出入力表!$C$6:$C$1000,"2",支出入力表!$F$6:$F$1000,"8")</f>
        <v>0</v>
      </c>
      <c r="J28" s="138" t="s">
        <v>46</v>
      </c>
      <c r="K28" s="29"/>
      <c r="M28" s="29"/>
      <c r="N28" s="29"/>
    </row>
    <row r="29" spans="1:15">
      <c r="A29" s="55"/>
      <c r="B29" s="90">
        <f>団体基本情報入力!$B$16</f>
        <v>2</v>
      </c>
      <c r="C29" s="91" t="s">
        <v>89</v>
      </c>
      <c r="D29" s="92" t="s">
        <v>4</v>
      </c>
      <c r="E29" s="93">
        <f>SUMIFS(支出入力表!$M$6:$M$1000,支出入力表!$C$6:$C$1000,"2",支出入力表!$F$6:$F$1000,"9")</f>
        <v>0</v>
      </c>
      <c r="F29" s="94" t="s">
        <v>46</v>
      </c>
      <c r="G29" s="93">
        <f>SUMIFS(支出入力表!$N$6:$N$1000,支出入力表!$C$6:$C$1000,"2",支出入力表!$F$6:$F$1000,"9")</f>
        <v>0</v>
      </c>
      <c r="H29" s="94" t="s">
        <v>46</v>
      </c>
      <c r="I29" s="93">
        <f>SUMIFS(支出入力表!$O$6:$O$1000,支出入力表!$C$6:$C$1000,"2",支出入力表!$F$6:$F$1000,"9")</f>
        <v>0</v>
      </c>
      <c r="J29" s="138" t="s">
        <v>46</v>
      </c>
      <c r="K29" s="29"/>
      <c r="M29" s="29"/>
      <c r="N29" s="29"/>
    </row>
    <row r="30" spans="1:15">
      <c r="A30" s="55"/>
      <c r="B30" s="90">
        <f>団体基本情報入力!$B$16</f>
        <v>2</v>
      </c>
      <c r="C30" s="91" t="s">
        <v>90</v>
      </c>
      <c r="D30" s="92" t="s">
        <v>8</v>
      </c>
      <c r="E30" s="93">
        <f>SUMIFS(支出入力表!$M$6:$M$1000,支出入力表!$C$6:$C$1000,"2",支出入力表!$F$6:$F$1000,"10")</f>
        <v>0</v>
      </c>
      <c r="F30" s="94" t="s">
        <v>46</v>
      </c>
      <c r="G30" s="93">
        <f>SUMIFS(支出入力表!$N$6:$N$1000,支出入力表!$C$6:$C$1000,"2",支出入力表!$F$6:$F$1000,"10")</f>
        <v>0</v>
      </c>
      <c r="H30" s="94" t="s">
        <v>46</v>
      </c>
      <c r="I30" s="93">
        <f>SUMIFS(支出入力表!$O$6:$O$1000,支出入力表!$C$6:$C$1000,"2",支出入力表!$F$6:$F$1000,"10")</f>
        <v>0</v>
      </c>
      <c r="J30" s="138" t="s">
        <v>46</v>
      </c>
      <c r="K30" s="29"/>
      <c r="M30" s="29"/>
      <c r="N30" s="29"/>
    </row>
    <row r="31" spans="1:15">
      <c r="A31" s="55"/>
      <c r="B31" s="90">
        <f>団体基本情報入力!$B$16</f>
        <v>2</v>
      </c>
      <c r="C31" s="91" t="s">
        <v>91</v>
      </c>
      <c r="D31" s="92" t="s">
        <v>11</v>
      </c>
      <c r="E31" s="93">
        <f>SUMIFS(支出入力表!$M$6:$M$1000,支出入力表!$C$6:$C$1000,"2",支出入力表!$F$6:$F$1000,"11")</f>
        <v>0</v>
      </c>
      <c r="F31" s="94" t="s">
        <v>45</v>
      </c>
      <c r="G31" s="93">
        <f>SUMIFS(支出入力表!$N$6:$N$1000,支出入力表!$C$6:$C$1000,"2",支出入力表!$F$6:$F$1000,"11")</f>
        <v>0</v>
      </c>
      <c r="H31" s="94" t="s">
        <v>45</v>
      </c>
      <c r="I31" s="93">
        <f>SUMIFS(支出入力表!$O$6:$O$1000,支出入力表!$C$6:$C$1000,"2",支出入力表!$F$6:$F$1000,"11")</f>
        <v>0</v>
      </c>
      <c r="J31" s="138" t="s">
        <v>45</v>
      </c>
      <c r="K31" s="29"/>
      <c r="M31" s="29"/>
    </row>
    <row r="32" spans="1:15">
      <c r="A32" s="55"/>
      <c r="B32" s="90">
        <f>団体基本情報入力!$B$16</f>
        <v>2</v>
      </c>
      <c r="C32" s="91" t="s">
        <v>92</v>
      </c>
      <c r="D32" s="92" t="s">
        <v>12</v>
      </c>
      <c r="E32" s="93">
        <f>SUMIFS(支出入力表!$M$6:$M$1000,支出入力表!$C$6:$C$1000,"2",支出入力表!$F$6:$F$1000,"12")</f>
        <v>0</v>
      </c>
      <c r="F32" s="94" t="s">
        <v>24</v>
      </c>
      <c r="G32" s="93">
        <f>SUMIFS(支出入力表!$N$6:$N$1000,支出入力表!$C$6:$C$1000,"2",支出入力表!$F$6:$F$1000,"12")</f>
        <v>0</v>
      </c>
      <c r="H32" s="94" t="s">
        <v>24</v>
      </c>
      <c r="I32" s="93">
        <f>SUMIFS(支出入力表!$O$6:$O$1000,支出入力表!$C$6:$C$1000,"2",支出入力表!$F$6:$F$1000,"12")</f>
        <v>0</v>
      </c>
      <c r="J32" s="138" t="s">
        <v>24</v>
      </c>
      <c r="K32" s="29"/>
      <c r="M32" s="29"/>
      <c r="N32" s="29"/>
    </row>
    <row r="33" spans="1:15">
      <c r="A33" s="55"/>
      <c r="B33" s="90">
        <f>団体基本情報入力!$B$16</f>
        <v>2</v>
      </c>
      <c r="C33" s="91" t="s">
        <v>93</v>
      </c>
      <c r="D33" s="92" t="s">
        <v>9</v>
      </c>
      <c r="E33" s="93">
        <f>SUMIFS(支出入力表!$M$6:$M$1000,支出入力表!$C$6:$C$1000,"2",支出入力表!$F$6:$F$1000,"13")</f>
        <v>0</v>
      </c>
      <c r="F33" s="94" t="s">
        <v>24</v>
      </c>
      <c r="G33" s="93">
        <f>SUMIFS(支出入力表!$N$6:$N$1000,支出入力表!$C$6:$C$1000,"2",支出入力表!$F$6:$F$1000,"13")</f>
        <v>0</v>
      </c>
      <c r="H33" s="94" t="s">
        <v>24</v>
      </c>
      <c r="I33" s="93">
        <f>SUMIFS(支出入力表!$O$6:$O$1000,支出入力表!$C$6:$C$1000,"2",支出入力表!$F$6:$F$1000,"13")</f>
        <v>0</v>
      </c>
      <c r="J33" s="138" t="s">
        <v>24</v>
      </c>
      <c r="K33" s="29"/>
      <c r="M33" s="29"/>
    </row>
    <row r="34" spans="1:15">
      <c r="A34" s="55"/>
      <c r="B34" s="95">
        <f>団体基本情報入力!$B$16</f>
        <v>2</v>
      </c>
      <c r="C34" s="91" t="s">
        <v>48</v>
      </c>
      <c r="D34" s="92" t="s">
        <v>5</v>
      </c>
      <c r="E34" s="93">
        <f>SUMIFS(支出入力表!$M$6:$M$1000,支出入力表!$C$6:$C$1000,"2",支出入力表!$F$6:$F$1000,"14")</f>
        <v>0</v>
      </c>
      <c r="F34" s="94" t="s">
        <v>24</v>
      </c>
      <c r="G34" s="93">
        <f>SUMIFS(支出入力表!$N$6:$N$1000,支出入力表!$C$6:$C$1000,"2",支出入力表!$F$6:$F$1000,"14")</f>
        <v>0</v>
      </c>
      <c r="H34" s="94" t="s">
        <v>24</v>
      </c>
      <c r="I34" s="93">
        <f>SUMIFS(支出入力表!$O$6:$O$1000,支出入力表!$C$6:$C$1000,"2",支出入力表!$F$6:$F$1000,"14")</f>
        <v>0</v>
      </c>
      <c r="J34" s="138" t="s">
        <v>24</v>
      </c>
      <c r="K34" s="29"/>
      <c r="M34" s="29"/>
    </row>
    <row r="35" spans="1:15" ht="19.5" thickBot="1">
      <c r="A35" s="55"/>
      <c r="B35" s="96">
        <f>団体基本情報入力!$B$16</f>
        <v>2</v>
      </c>
      <c r="C35" s="97" t="s">
        <v>107</v>
      </c>
      <c r="D35" s="98" t="s">
        <v>104</v>
      </c>
      <c r="E35" s="99">
        <f>SUMIFS(支出入力表!$M$6:$M$1000,支出入力表!$C$6:$C$1000,"2",支出入力表!$F$6:$F$1000,"15")</f>
        <v>0</v>
      </c>
      <c r="F35" s="100" t="s">
        <v>24</v>
      </c>
      <c r="G35" s="114" t="s">
        <v>109</v>
      </c>
      <c r="H35" s="100" t="s">
        <v>24</v>
      </c>
      <c r="I35" s="99">
        <f>SUMIFS(支出入力表!$O$6:$O$1000,支出入力表!$C$6:$C$1000,"2",支出入力表!$F$6:$F$1000,"15")</f>
        <v>0</v>
      </c>
      <c r="J35" s="139" t="s">
        <v>24</v>
      </c>
      <c r="K35" s="29"/>
      <c r="M35" s="29"/>
    </row>
    <row r="36" spans="1:15" ht="19.5" thickTop="1">
      <c r="A36" s="55"/>
      <c r="B36" s="116">
        <f>団体基本情報入力!$B$16</f>
        <v>2</v>
      </c>
      <c r="C36" s="541" t="s">
        <v>179</v>
      </c>
      <c r="D36" s="541"/>
      <c r="E36" s="117">
        <f>SUM(E21:E35)</f>
        <v>0</v>
      </c>
      <c r="F36" s="118" t="s">
        <v>24</v>
      </c>
      <c r="G36" s="117">
        <f>SUM(G21:G35)</f>
        <v>0</v>
      </c>
      <c r="H36" s="118" t="s">
        <v>24</v>
      </c>
      <c r="I36" s="117">
        <f>SUM(I21:I35)</f>
        <v>0</v>
      </c>
      <c r="J36" s="140" t="s">
        <v>24</v>
      </c>
      <c r="K36" s="29"/>
      <c r="M36" s="29"/>
    </row>
    <row r="37" spans="1:15">
      <c r="A37" s="54"/>
      <c r="B37" s="85">
        <f>団体基本情報入力!$B$17</f>
        <v>3</v>
      </c>
      <c r="C37" s="101" t="s">
        <v>65</v>
      </c>
      <c r="D37" s="102" t="s">
        <v>0</v>
      </c>
      <c r="E37" s="103">
        <f>SUMIFS(支出入力表!$M$6:$M$1000,支出入力表!$C$6:$C$1000,"3",支出入力表!$F$6:$F$1000,"1")</f>
        <v>0</v>
      </c>
      <c r="F37" s="104" t="s">
        <v>73</v>
      </c>
      <c r="G37" s="103">
        <f>SUMIFS(支出入力表!$N$6:$N$1000,支出入力表!$C$6:$C$1000,"3",支出入力表!$F$6:$F$1000,"1")</f>
        <v>0</v>
      </c>
      <c r="H37" s="104" t="s">
        <v>73</v>
      </c>
      <c r="I37" s="103">
        <f>SUMIFS(支出入力表!$O$6:$O$1000,支出入力表!$C$6:$C$1000,"3",支出入力表!$F$6:$F$1000,"1")</f>
        <v>0</v>
      </c>
      <c r="J37" s="141" t="s">
        <v>73</v>
      </c>
      <c r="K37" s="29"/>
      <c r="M37" s="29"/>
    </row>
    <row r="38" spans="1:15">
      <c r="A38" s="55"/>
      <c r="B38" s="90">
        <f>団体基本情報入力!$B$17</f>
        <v>3</v>
      </c>
      <c r="C38" s="91" t="s">
        <v>66</v>
      </c>
      <c r="D38" s="92" t="s">
        <v>2</v>
      </c>
      <c r="E38" s="93">
        <f>SUMIFS(支出入力表!$M$6:$M$1000,支出入力表!$C$6:$C$1000,"3",支出入力表!$F$6:$F$1000,"2")</f>
        <v>0</v>
      </c>
      <c r="F38" s="94" t="s">
        <v>73</v>
      </c>
      <c r="G38" s="93">
        <f>SUMIFS(支出入力表!$N$6:$N$1000,支出入力表!$C$6:$C$1000,"3",支出入力表!$F$6:$F$1000,"2")</f>
        <v>0</v>
      </c>
      <c r="H38" s="94" t="s">
        <v>73</v>
      </c>
      <c r="I38" s="93">
        <f>SUMIFS(支出入力表!$O$6:$O$1000,支出入力表!$C$6:$C$1000,"3",支出入力表!$F$6:$F$1000,"2")</f>
        <v>0</v>
      </c>
      <c r="J38" s="138" t="s">
        <v>73</v>
      </c>
      <c r="K38" s="29"/>
      <c r="M38" s="29"/>
    </row>
    <row r="39" spans="1:15">
      <c r="A39" s="55"/>
      <c r="B39" s="90">
        <f>団体基本情報入力!$B$17</f>
        <v>3</v>
      </c>
      <c r="C39" s="91" t="s">
        <v>67</v>
      </c>
      <c r="D39" s="92" t="s">
        <v>198</v>
      </c>
      <c r="E39" s="93">
        <f>SUMIFS(支出入力表!$M$6:$M$1000,支出入力表!$C$6:$C$1000,"3",支出入力表!$F$6:$F$1000,"3")</f>
        <v>0</v>
      </c>
      <c r="F39" s="94" t="s">
        <v>73</v>
      </c>
      <c r="G39" s="93">
        <f>SUMIFS(支出入力表!$N$6:$N$1000,支出入力表!$C$6:$C$1000,"3",支出入力表!$F$6:$F$1000,"3")</f>
        <v>0</v>
      </c>
      <c r="H39" s="94" t="s">
        <v>73</v>
      </c>
      <c r="I39" s="93">
        <f>SUMIFS(支出入力表!$O$6:$O$1000,支出入力表!$C$6:$C$1000,"3",支出入力表!$F$6:$F$1000,"3")</f>
        <v>0</v>
      </c>
      <c r="J39" s="138" t="s">
        <v>73</v>
      </c>
      <c r="L39" s="29"/>
      <c r="M39" s="29"/>
    </row>
    <row r="40" spans="1:15">
      <c r="A40" s="55"/>
      <c r="B40" s="90">
        <f>団体基本情報入力!$B$17</f>
        <v>3</v>
      </c>
      <c r="C40" s="91" t="s">
        <v>52</v>
      </c>
      <c r="D40" s="92" t="s">
        <v>199</v>
      </c>
      <c r="E40" s="93">
        <f>SUMIFS(支出入力表!$M$6:$M$1000,支出入力表!$C$6:$C$1000,"3",支出入力表!$F$6:$F$1000,"4")</f>
        <v>0</v>
      </c>
      <c r="F40" s="94" t="s">
        <v>73</v>
      </c>
      <c r="G40" s="93">
        <f>SUMIFS(支出入力表!$N$6:$N$1000,支出入力表!$C$6:$C$1000,"3",支出入力表!$F$6:$F$1000,"4")</f>
        <v>0</v>
      </c>
      <c r="H40" s="94" t="s">
        <v>73</v>
      </c>
      <c r="I40" s="93">
        <f>SUMIFS(支出入力表!$O$6:$O$1000,支出入力表!$C$6:$C$1000,"3",支出入力表!$F$6:$F$1000,"4")</f>
        <v>0</v>
      </c>
      <c r="J40" s="138" t="s">
        <v>73</v>
      </c>
      <c r="L40" s="29"/>
      <c r="M40" s="29"/>
    </row>
    <row r="41" spans="1:15">
      <c r="A41" s="55"/>
      <c r="B41" s="90">
        <f>団体基本情報入力!$B$17</f>
        <v>3</v>
      </c>
      <c r="C41" s="91" t="s">
        <v>53</v>
      </c>
      <c r="D41" s="92" t="s">
        <v>10</v>
      </c>
      <c r="E41" s="93">
        <f>SUMIFS(支出入力表!$M$6:$M$1000,支出入力表!$C$6:$C$1000,"3",支出入力表!$F$6:$F$1000,"5")</f>
        <v>0</v>
      </c>
      <c r="F41" s="94" t="s">
        <v>73</v>
      </c>
      <c r="G41" s="93">
        <f>SUMIFS(支出入力表!$N$6:$N$1000,支出入力表!$C$6:$C$1000,"3",支出入力表!$F$6:$F$1000,"5")</f>
        <v>0</v>
      </c>
      <c r="H41" s="94" t="s">
        <v>73</v>
      </c>
      <c r="I41" s="93">
        <f>SUMIFS(支出入力表!$O$6:$O$1000,支出入力表!$C$6:$C$1000,"3",支出入力表!$F$6:$F$1000,"5")</f>
        <v>0</v>
      </c>
      <c r="J41" s="138" t="s">
        <v>73</v>
      </c>
      <c r="L41" s="29"/>
    </row>
    <row r="42" spans="1:15">
      <c r="A42" s="55"/>
      <c r="B42" s="90">
        <f>団体基本情報入力!$B$17</f>
        <v>3</v>
      </c>
      <c r="C42" s="91" t="s">
        <v>54</v>
      </c>
      <c r="D42" s="92" t="s">
        <v>3</v>
      </c>
      <c r="E42" s="93">
        <f>SUMIFS(支出入力表!$M$6:$M$1000,支出入力表!$C$6:$C$1000,"3",支出入力表!$F$6:$F$1000,"6")</f>
        <v>0</v>
      </c>
      <c r="F42" s="94" t="s">
        <v>73</v>
      </c>
      <c r="G42" s="93">
        <f>SUMIFS(支出入力表!$N$6:$N$1000,支出入力表!$C$6:$C$1000,"3",支出入力表!$F$6:$F$1000,"6")</f>
        <v>0</v>
      </c>
      <c r="H42" s="94" t="s">
        <v>73</v>
      </c>
      <c r="I42" s="93">
        <f>SUMIFS(支出入力表!$O$6:$O$1000,支出入力表!$C$6:$C$1000,"3",支出入力表!$F$6:$F$1000,"6")</f>
        <v>0</v>
      </c>
      <c r="J42" s="138" t="s">
        <v>73</v>
      </c>
      <c r="O42" s="29"/>
    </row>
    <row r="43" spans="1:15">
      <c r="A43" s="55"/>
      <c r="B43" s="90">
        <f>団体基本情報入力!$B$17</f>
        <v>3</v>
      </c>
      <c r="C43" s="91" t="s">
        <v>55</v>
      </c>
      <c r="D43" s="92" t="s">
        <v>7</v>
      </c>
      <c r="E43" s="93">
        <f>SUMIFS(支出入力表!$M$6:$M$1000,支出入力表!$C$6:$C$1000,"3",支出入力表!$F$6:$F$1000,"7")</f>
        <v>0</v>
      </c>
      <c r="F43" s="94" t="s">
        <v>73</v>
      </c>
      <c r="G43" s="93">
        <f>SUMIFS(支出入力表!$N$6:$N$1000,支出入力表!$C$6:$C$1000,"3",支出入力表!$F$6:$F$1000,"7")</f>
        <v>0</v>
      </c>
      <c r="H43" s="94" t="s">
        <v>73</v>
      </c>
      <c r="I43" s="93">
        <f>SUMIFS(支出入力表!$O$6:$O$1000,支出入力表!$C$6:$C$1000,"3",支出入力表!$F$6:$F$1000,"7")</f>
        <v>0</v>
      </c>
      <c r="J43" s="138" t="s">
        <v>73</v>
      </c>
    </row>
    <row r="44" spans="1:15">
      <c r="A44" s="55"/>
      <c r="B44" s="90">
        <f>団体基本情報入力!$B$17</f>
        <v>3</v>
      </c>
      <c r="C44" s="91" t="s">
        <v>56</v>
      </c>
      <c r="D44" s="92" t="s">
        <v>1</v>
      </c>
      <c r="E44" s="93">
        <f>SUMIFS(支出入力表!$M$6:$M$1000,支出入力表!$C$6:$C$1000,"3",支出入力表!$F$6:$F$1000,"8")</f>
        <v>0</v>
      </c>
      <c r="F44" s="94" t="s">
        <v>73</v>
      </c>
      <c r="G44" s="93">
        <f>SUMIFS(支出入力表!$N$6:$N$1000,支出入力表!$C$6:$C$1000,"3",支出入力表!$F$6:$F$1000,"8")</f>
        <v>0</v>
      </c>
      <c r="H44" s="94" t="s">
        <v>73</v>
      </c>
      <c r="I44" s="93">
        <f>SUMIFS(支出入力表!$O$6:$O$1000,支出入力表!$C$6:$C$1000,"3",支出入力表!$F$6:$F$1000,"8")</f>
        <v>0</v>
      </c>
      <c r="J44" s="138" t="s">
        <v>73</v>
      </c>
    </row>
    <row r="45" spans="1:15">
      <c r="A45" s="55"/>
      <c r="B45" s="90">
        <f>団体基本情報入力!$B$17</f>
        <v>3</v>
      </c>
      <c r="C45" s="91" t="s">
        <v>57</v>
      </c>
      <c r="D45" s="92" t="s">
        <v>4</v>
      </c>
      <c r="E45" s="93">
        <f>SUMIFS(支出入力表!$M$6:$M$1000,支出入力表!$C$6:$C$1000,"3",支出入力表!$F$6:$F$1000,"9")</f>
        <v>0</v>
      </c>
      <c r="F45" s="94" t="s">
        <v>73</v>
      </c>
      <c r="G45" s="93">
        <f>SUMIFS(支出入力表!$N$6:$N$1000,支出入力表!$C$6:$C$1000,"3",支出入力表!$F$6:$F$1000,"9")</f>
        <v>0</v>
      </c>
      <c r="H45" s="94" t="s">
        <v>73</v>
      </c>
      <c r="I45" s="93">
        <f>SUMIFS(支出入力表!$O$6:$O$1000,支出入力表!$C$6:$C$1000,"3",支出入力表!$F$6:$F$1000,"9")</f>
        <v>0</v>
      </c>
      <c r="J45" s="138" t="s">
        <v>73</v>
      </c>
    </row>
    <row r="46" spans="1:15">
      <c r="A46" s="55"/>
      <c r="B46" s="90">
        <f>団体基本情報入力!$B$17</f>
        <v>3</v>
      </c>
      <c r="C46" s="91" t="s">
        <v>58</v>
      </c>
      <c r="D46" s="92" t="s">
        <v>8</v>
      </c>
      <c r="E46" s="93">
        <f>SUMIFS(支出入力表!$M$6:$M$1000,支出入力表!$C$6:$C$1000,"3",支出入力表!$F$6:$F$1000,"10")</f>
        <v>0</v>
      </c>
      <c r="F46" s="94" t="s">
        <v>73</v>
      </c>
      <c r="G46" s="93">
        <f>SUMIFS(支出入力表!$N$6:$N$1000,支出入力表!$C$6:$C$1000,"3",支出入力表!$F$6:$F$1000,"10")</f>
        <v>0</v>
      </c>
      <c r="H46" s="94" t="s">
        <v>73</v>
      </c>
      <c r="I46" s="93">
        <f>SUMIFS(支出入力表!$O$6:$O$1000,支出入力表!$C$6:$C$1000,"3",支出入力表!$F$6:$F$1000,"10")</f>
        <v>0</v>
      </c>
      <c r="J46" s="138" t="s">
        <v>73</v>
      </c>
    </row>
    <row r="47" spans="1:15">
      <c r="A47" s="55"/>
      <c r="B47" s="90">
        <f>団体基本情報入力!$B$17</f>
        <v>3</v>
      </c>
      <c r="C47" s="91" t="s">
        <v>59</v>
      </c>
      <c r="D47" s="92" t="s">
        <v>11</v>
      </c>
      <c r="E47" s="93">
        <f>SUMIFS(支出入力表!$M$6:$M$1000,支出入力表!$C$6:$C$1000,"3",支出入力表!$F$6:$F$1000,"11")</f>
        <v>0</v>
      </c>
      <c r="F47" s="94" t="s">
        <v>73</v>
      </c>
      <c r="G47" s="93">
        <f>SUMIFS(支出入力表!$N$6:$N$1000,支出入力表!$C$6:$C$1000,"3",支出入力表!$F$6:$F$1000,"11")</f>
        <v>0</v>
      </c>
      <c r="H47" s="94" t="s">
        <v>73</v>
      </c>
      <c r="I47" s="93">
        <f>SUMIFS(支出入力表!$O$6:$O$1000,支出入力表!$C$6:$C$1000,"3",支出入力表!$F$6:$F$1000,"11")</f>
        <v>0</v>
      </c>
      <c r="J47" s="138" t="s">
        <v>73</v>
      </c>
    </row>
    <row r="48" spans="1:15">
      <c r="A48" s="55"/>
      <c r="B48" s="90">
        <f>団体基本情報入力!$B$17</f>
        <v>3</v>
      </c>
      <c r="C48" s="91" t="s">
        <v>60</v>
      </c>
      <c r="D48" s="92" t="s">
        <v>12</v>
      </c>
      <c r="E48" s="93">
        <f>SUMIFS(支出入力表!$M$6:$M$1000,支出入力表!$C$6:$C$1000,"3",支出入力表!$F$6:$F$1000,"12")</f>
        <v>0</v>
      </c>
      <c r="F48" s="94" t="s">
        <v>73</v>
      </c>
      <c r="G48" s="93">
        <f>SUMIFS(支出入力表!$N$6:$N$1000,支出入力表!$C$6:$C$1000,"3",支出入力表!$F$6:$F$1000,"12")</f>
        <v>0</v>
      </c>
      <c r="H48" s="94" t="s">
        <v>73</v>
      </c>
      <c r="I48" s="93">
        <f>SUMIFS(支出入力表!$O$6:$O$1000,支出入力表!$C$6:$C$1000,"3",支出入力表!$F$6:$F$1000,"12")</f>
        <v>0</v>
      </c>
      <c r="J48" s="138" t="s">
        <v>73</v>
      </c>
    </row>
    <row r="49" spans="1:10">
      <c r="A49" s="55"/>
      <c r="B49" s="90">
        <f>団体基本情報入力!$B$17</f>
        <v>3</v>
      </c>
      <c r="C49" s="91" t="s">
        <v>61</v>
      </c>
      <c r="D49" s="92" t="s">
        <v>9</v>
      </c>
      <c r="E49" s="93">
        <f>SUMIFS(支出入力表!$M$6:$M$1000,支出入力表!$C$6:$C$1000,"3",支出入力表!$F$6:$F$1000,"13")</f>
        <v>0</v>
      </c>
      <c r="F49" s="94" t="s">
        <v>73</v>
      </c>
      <c r="G49" s="93">
        <f>SUMIFS(支出入力表!$N$6:$N$1000,支出入力表!$C$6:$C$1000,"3",支出入力表!$F$6:$F$1000,"13")</f>
        <v>0</v>
      </c>
      <c r="H49" s="94" t="s">
        <v>73</v>
      </c>
      <c r="I49" s="93">
        <f>SUMIFS(支出入力表!$O$6:$O$1000,支出入力表!$C$6:$C$1000,"3",支出入力表!$F$6:$F$1000,"13")</f>
        <v>0</v>
      </c>
      <c r="J49" s="138" t="s">
        <v>73</v>
      </c>
    </row>
    <row r="50" spans="1:10">
      <c r="A50" s="55"/>
      <c r="B50" s="95">
        <f>団体基本情報入力!$B$17</f>
        <v>3</v>
      </c>
      <c r="C50" s="91" t="s">
        <v>47</v>
      </c>
      <c r="D50" s="92" t="s">
        <v>5</v>
      </c>
      <c r="E50" s="93">
        <f>SUMIFS(支出入力表!$M$6:$M$1000,支出入力表!$C$6:$C$1000,"3",支出入力表!$F$6:$F$1000,"14")</f>
        <v>0</v>
      </c>
      <c r="F50" s="94" t="s">
        <v>73</v>
      </c>
      <c r="G50" s="93">
        <f>SUMIFS(支出入力表!$N$6:$N$1000,支出入力表!$C$6:$C$1000,"3",支出入力表!$F$6:$F$1000,"14")</f>
        <v>0</v>
      </c>
      <c r="H50" s="94" t="s">
        <v>73</v>
      </c>
      <c r="I50" s="93">
        <f>SUMIFS(支出入力表!$O$6:$O$1000,支出入力表!$C$6:$C$1000,"3",支出入力表!$F$6:$F$1000,"14")</f>
        <v>0</v>
      </c>
      <c r="J50" s="138" t="s">
        <v>24</v>
      </c>
    </row>
    <row r="51" spans="1:10" ht="19.5" thickBot="1">
      <c r="A51" s="29"/>
      <c r="B51" s="96">
        <f>団体基本情報入力!$B$17</f>
        <v>3</v>
      </c>
      <c r="C51" s="97" t="s">
        <v>107</v>
      </c>
      <c r="D51" s="98" t="s">
        <v>104</v>
      </c>
      <c r="E51" s="99">
        <f>SUMIFS(支出入力表!$M$6:$M$1000,支出入力表!$C$6:$C$1000,"3",支出入力表!$F$6:$F$1000,"15")</f>
        <v>0</v>
      </c>
      <c r="F51" s="100" t="s">
        <v>24</v>
      </c>
      <c r="G51" s="114" t="s">
        <v>108</v>
      </c>
      <c r="H51" s="100" t="s">
        <v>24</v>
      </c>
      <c r="I51" s="99">
        <f>SUMIFS(支出入力表!$O$6:$O$1000,支出入力表!$C$6:$C$1000,"3",支出入力表!$F$6:$F$1000,"15")</f>
        <v>0</v>
      </c>
      <c r="J51" s="139" t="s">
        <v>24</v>
      </c>
    </row>
    <row r="52" spans="1:10" ht="19.5" thickTop="1">
      <c r="B52" s="116">
        <f>団体基本情報入力!$B$17</f>
        <v>3</v>
      </c>
      <c r="C52" s="541" t="s">
        <v>180</v>
      </c>
      <c r="D52" s="541"/>
      <c r="E52" s="117">
        <f>SUM(E37:E51)</f>
        <v>0</v>
      </c>
      <c r="F52" s="118" t="s">
        <v>73</v>
      </c>
      <c r="G52" s="117">
        <f>SUM(G37:G51)</f>
        <v>0</v>
      </c>
      <c r="H52" s="118" t="s">
        <v>73</v>
      </c>
      <c r="I52" s="117">
        <f>SUM(I37:I51)</f>
        <v>0</v>
      </c>
      <c r="J52" s="140" t="s">
        <v>73</v>
      </c>
    </row>
    <row r="53" spans="1:10">
      <c r="A53" s="56"/>
      <c r="B53" s="85">
        <f>団体基本情報入力!$B$18</f>
        <v>4</v>
      </c>
      <c r="C53" s="101" t="s">
        <v>68</v>
      </c>
      <c r="D53" s="102" t="s">
        <v>0</v>
      </c>
      <c r="E53" s="103">
        <f>SUMIFS(支出入力表!$M$6:$M$1000,支出入力表!$C$6:$C$1000,"4",支出入力表!$F$6:$F$1000,"1")</f>
        <v>0</v>
      </c>
      <c r="F53" s="104" t="s">
        <v>73</v>
      </c>
      <c r="G53" s="103">
        <f>SUMIFS(支出入力表!$N$6:$N$1000,支出入力表!$C$6:$C$1000,"4",支出入力表!$F$6:$F$1000,"1")</f>
        <v>0</v>
      </c>
      <c r="H53" s="104" t="s">
        <v>73</v>
      </c>
      <c r="I53" s="103">
        <f>SUMIFS(支出入力表!$O$6:$O$1000,支出入力表!$C$6:$C$1000,"4",支出入力表!$F$6:$F$1000,"1")</f>
        <v>0</v>
      </c>
      <c r="J53" s="141" t="s">
        <v>73</v>
      </c>
    </row>
    <row r="54" spans="1:10">
      <c r="B54" s="90">
        <f>団体基本情報入力!$B$18</f>
        <v>4</v>
      </c>
      <c r="C54" s="91" t="s">
        <v>69</v>
      </c>
      <c r="D54" s="92" t="s">
        <v>2</v>
      </c>
      <c r="E54" s="93">
        <f>SUMIFS(支出入力表!$M$6:$M$1000,支出入力表!$C$6:$C$1000,"4",支出入力表!$F$6:$F$1000,"2")</f>
        <v>0</v>
      </c>
      <c r="F54" s="94" t="s">
        <v>73</v>
      </c>
      <c r="G54" s="93">
        <f>SUMIFS(支出入力表!$N$6:$N$1000,支出入力表!$C$6:$C$1000,"4",支出入力表!$F$6:$F$1000,"2")</f>
        <v>0</v>
      </c>
      <c r="H54" s="94" t="s">
        <v>73</v>
      </c>
      <c r="I54" s="93">
        <f>SUMIFS(支出入力表!$O$6:$O$1000,支出入力表!$C$6:$C$1000,"4",支出入力表!$F$6:$F$1000,"2")</f>
        <v>0</v>
      </c>
      <c r="J54" s="138" t="s">
        <v>73</v>
      </c>
    </row>
    <row r="55" spans="1:10">
      <c r="B55" s="90">
        <f>団体基本情報入力!$B$18</f>
        <v>4</v>
      </c>
      <c r="C55" s="91" t="s">
        <v>67</v>
      </c>
      <c r="D55" s="92" t="s">
        <v>198</v>
      </c>
      <c r="E55" s="93">
        <f>SUMIFS(支出入力表!$M$6:$M$1000,支出入力表!$C$6:$C$1000,"4",支出入力表!$F$6:$F$1000,"3")</f>
        <v>0</v>
      </c>
      <c r="F55" s="94" t="s">
        <v>73</v>
      </c>
      <c r="G55" s="93">
        <f>SUMIFS(支出入力表!$N$6:$N$1000,支出入力表!$C$6:$C$1000,"4",支出入力表!$F$6:$F$1000,"3")</f>
        <v>0</v>
      </c>
      <c r="H55" s="94" t="s">
        <v>73</v>
      </c>
      <c r="I55" s="93">
        <f>SUMIFS(支出入力表!$O$6:$O$1000,支出入力表!$C$6:$C$1000,"4",支出入力表!$F$6:$F$1000,"3")</f>
        <v>0</v>
      </c>
      <c r="J55" s="138" t="s">
        <v>73</v>
      </c>
    </row>
    <row r="56" spans="1:10">
      <c r="B56" s="90">
        <f>団体基本情報入力!$B$18</f>
        <v>4</v>
      </c>
      <c r="C56" s="91" t="s">
        <v>52</v>
      </c>
      <c r="D56" s="92" t="s">
        <v>199</v>
      </c>
      <c r="E56" s="93">
        <f>SUMIFS(支出入力表!$M$6:$M$1000,支出入力表!$C$6:$C$1000,"4",支出入力表!$F$6:$F$1000,"4")</f>
        <v>0</v>
      </c>
      <c r="F56" s="94" t="s">
        <v>73</v>
      </c>
      <c r="G56" s="93">
        <f>SUMIFS(支出入力表!$N$6:$N$1000,支出入力表!$C$6:$C$1000,"4",支出入力表!$F$6:$F$1000,"4")</f>
        <v>0</v>
      </c>
      <c r="H56" s="94" t="s">
        <v>73</v>
      </c>
      <c r="I56" s="93">
        <f>SUMIFS(支出入力表!$O$6:$O$1000,支出入力表!$C$6:$C$1000,"4",支出入力表!$F$6:$F$1000,"4")</f>
        <v>0</v>
      </c>
      <c r="J56" s="138" t="s">
        <v>73</v>
      </c>
    </row>
    <row r="57" spans="1:10">
      <c r="B57" s="90">
        <f>団体基本情報入力!$B$18</f>
        <v>4</v>
      </c>
      <c r="C57" s="91" t="s">
        <v>53</v>
      </c>
      <c r="D57" s="92" t="s">
        <v>10</v>
      </c>
      <c r="E57" s="93">
        <f>SUMIFS(支出入力表!$M$6:$M$1000,支出入力表!$C$6:$C$1000,"4",支出入力表!$F$6:$F$1000,"5")</f>
        <v>0</v>
      </c>
      <c r="F57" s="94" t="s">
        <v>73</v>
      </c>
      <c r="G57" s="93">
        <f>SUMIFS(支出入力表!$N$6:$N$1000,支出入力表!$C$6:$C$1000,"4",支出入力表!$F$6:$F$1000,"5")</f>
        <v>0</v>
      </c>
      <c r="H57" s="94" t="s">
        <v>73</v>
      </c>
      <c r="I57" s="93">
        <f>SUMIFS(支出入力表!$O$6:$O$1000,支出入力表!$C$6:$C$1000,"4",支出入力表!$F$6:$F$1000,"5")</f>
        <v>0</v>
      </c>
      <c r="J57" s="138" t="s">
        <v>73</v>
      </c>
    </row>
    <row r="58" spans="1:10">
      <c r="B58" s="90">
        <f>団体基本情報入力!$B$18</f>
        <v>4</v>
      </c>
      <c r="C58" s="91" t="s">
        <v>54</v>
      </c>
      <c r="D58" s="92" t="s">
        <v>3</v>
      </c>
      <c r="E58" s="93">
        <f>SUMIFS(支出入力表!$M$6:$M$1000,支出入力表!$C$6:$C$1000,"4",支出入力表!$F$6:$F$1000,"6")</f>
        <v>0</v>
      </c>
      <c r="F58" s="94" t="s">
        <v>73</v>
      </c>
      <c r="G58" s="93">
        <f>SUMIFS(支出入力表!$N$6:$N$1000,支出入力表!$C$6:$C$1000,"4",支出入力表!$F$6:$F$1000,"6")</f>
        <v>0</v>
      </c>
      <c r="H58" s="94" t="s">
        <v>73</v>
      </c>
      <c r="I58" s="93">
        <f>SUMIFS(支出入力表!$O$6:$O$1000,支出入力表!$C$6:$C$1000,"4",支出入力表!$F$6:$F$1000,"6")</f>
        <v>0</v>
      </c>
      <c r="J58" s="138" t="s">
        <v>73</v>
      </c>
    </row>
    <row r="59" spans="1:10">
      <c r="B59" s="90">
        <f>団体基本情報入力!$B$18</f>
        <v>4</v>
      </c>
      <c r="C59" s="91" t="s">
        <v>55</v>
      </c>
      <c r="D59" s="92" t="s">
        <v>7</v>
      </c>
      <c r="E59" s="93">
        <f>SUMIFS(支出入力表!$M$6:$M$1000,支出入力表!$C$6:$C$1000,"4",支出入力表!$F$6:$F$1000,"7")</f>
        <v>0</v>
      </c>
      <c r="F59" s="94" t="s">
        <v>73</v>
      </c>
      <c r="G59" s="93">
        <f>SUMIFS(支出入力表!$N$6:$N$1000,支出入力表!$C$6:$C$1000,"4",支出入力表!$F$6:$F$1000,"7")</f>
        <v>0</v>
      </c>
      <c r="H59" s="94" t="s">
        <v>73</v>
      </c>
      <c r="I59" s="93">
        <f>SUMIFS(支出入力表!$O$6:$O$1000,支出入力表!$C$6:$C$1000,"4",支出入力表!$F$6:$F$1000,"7")</f>
        <v>0</v>
      </c>
      <c r="J59" s="138" t="s">
        <v>73</v>
      </c>
    </row>
    <row r="60" spans="1:10">
      <c r="B60" s="90">
        <f>団体基本情報入力!$B$18</f>
        <v>4</v>
      </c>
      <c r="C60" s="91" t="s">
        <v>56</v>
      </c>
      <c r="D60" s="92" t="s">
        <v>1</v>
      </c>
      <c r="E60" s="93">
        <f>SUMIFS(支出入力表!$M$6:$M$1000,支出入力表!$C$6:$C$1000,"4",支出入力表!$F$6:$F$1000,"8")</f>
        <v>0</v>
      </c>
      <c r="F60" s="94" t="s">
        <v>73</v>
      </c>
      <c r="G60" s="93">
        <f>SUMIFS(支出入力表!$N$6:$N$1000,支出入力表!$C$6:$C$1000,"4",支出入力表!$F$6:$F$1000,"8")</f>
        <v>0</v>
      </c>
      <c r="H60" s="94" t="s">
        <v>73</v>
      </c>
      <c r="I60" s="93">
        <f>SUMIFS(支出入力表!$O$6:$O$1000,支出入力表!$C$6:$C$1000,"4",支出入力表!$F$6:$F$1000,"8")</f>
        <v>0</v>
      </c>
      <c r="J60" s="138" t="s">
        <v>73</v>
      </c>
    </row>
    <row r="61" spans="1:10">
      <c r="B61" s="90">
        <f>団体基本情報入力!$B$18</f>
        <v>4</v>
      </c>
      <c r="C61" s="91" t="s">
        <v>57</v>
      </c>
      <c r="D61" s="92" t="s">
        <v>4</v>
      </c>
      <c r="E61" s="93">
        <f>SUMIFS(支出入力表!$M$6:$M$1000,支出入力表!$C$6:$C$1000,"4",支出入力表!$F$6:$F$1000,"9")</f>
        <v>0</v>
      </c>
      <c r="F61" s="94" t="s">
        <v>73</v>
      </c>
      <c r="G61" s="93">
        <f>SUMIFS(支出入力表!$N$6:$N$1000,支出入力表!$C$6:$C$1000,"4",支出入力表!$F$6:$F$1000,"9")</f>
        <v>0</v>
      </c>
      <c r="H61" s="94" t="s">
        <v>73</v>
      </c>
      <c r="I61" s="93">
        <f>SUMIFS(支出入力表!$O$6:$O$1000,支出入力表!$C$6:$C$1000,"4",支出入力表!$F$6:$F$1000,"9")</f>
        <v>0</v>
      </c>
      <c r="J61" s="138" t="s">
        <v>73</v>
      </c>
    </row>
    <row r="62" spans="1:10">
      <c r="B62" s="90">
        <f>団体基本情報入力!$B$18</f>
        <v>4</v>
      </c>
      <c r="C62" s="91" t="s">
        <v>58</v>
      </c>
      <c r="D62" s="92" t="s">
        <v>8</v>
      </c>
      <c r="E62" s="93">
        <f>SUMIFS(支出入力表!$M$6:$M$1000,支出入力表!$C$6:$C$1000,"4",支出入力表!$F$6:$F$1000,"10")</f>
        <v>0</v>
      </c>
      <c r="F62" s="94" t="s">
        <v>73</v>
      </c>
      <c r="G62" s="93">
        <f>SUMIFS(支出入力表!$N$6:$N$1000,支出入力表!$C$6:$C$1000,"4",支出入力表!$F$6:$F$1000,"10")</f>
        <v>0</v>
      </c>
      <c r="H62" s="94" t="s">
        <v>73</v>
      </c>
      <c r="I62" s="93">
        <f>SUMIFS(支出入力表!$O$6:$O$1000,支出入力表!$C$6:$C$1000,"4",支出入力表!$F$6:$F$1000,"10")</f>
        <v>0</v>
      </c>
      <c r="J62" s="138" t="s">
        <v>73</v>
      </c>
    </row>
    <row r="63" spans="1:10">
      <c r="B63" s="90">
        <f>団体基本情報入力!$B$18</f>
        <v>4</v>
      </c>
      <c r="C63" s="91" t="s">
        <v>59</v>
      </c>
      <c r="D63" s="92" t="s">
        <v>11</v>
      </c>
      <c r="E63" s="93">
        <f>SUMIFS(支出入力表!$M$6:$M$1000,支出入力表!$C$6:$C$1000,"4",支出入力表!$F$6:$F$1000,"11")</f>
        <v>0</v>
      </c>
      <c r="F63" s="94" t="s">
        <v>73</v>
      </c>
      <c r="G63" s="93">
        <f>SUMIFS(支出入力表!$N$6:$N$1000,支出入力表!$C$6:$C$1000,"4",支出入力表!$F$6:$F$1000,"11")</f>
        <v>0</v>
      </c>
      <c r="H63" s="94" t="s">
        <v>73</v>
      </c>
      <c r="I63" s="93">
        <f>SUMIFS(支出入力表!$O$6:$O$1000,支出入力表!$C$6:$C$1000,"4",支出入力表!$F$6:$F$1000,"11")</f>
        <v>0</v>
      </c>
      <c r="J63" s="138" t="s">
        <v>73</v>
      </c>
    </row>
    <row r="64" spans="1:10">
      <c r="B64" s="90">
        <f>団体基本情報入力!$B$18</f>
        <v>4</v>
      </c>
      <c r="C64" s="91" t="s">
        <v>60</v>
      </c>
      <c r="D64" s="92" t="s">
        <v>12</v>
      </c>
      <c r="E64" s="93">
        <f>SUMIFS(支出入力表!$M$6:$M$1000,支出入力表!$C$6:$C$1000,"4",支出入力表!$F$6:$F$1000,"12")</f>
        <v>0</v>
      </c>
      <c r="F64" s="94" t="s">
        <v>73</v>
      </c>
      <c r="G64" s="93">
        <f>SUMIFS(支出入力表!$N$6:$N$1000,支出入力表!$C$6:$C$1000,"4",支出入力表!$F$6:$F$1000,"12")</f>
        <v>0</v>
      </c>
      <c r="H64" s="94" t="s">
        <v>73</v>
      </c>
      <c r="I64" s="93">
        <f>SUMIFS(支出入力表!$O$6:$O$1000,支出入力表!$C$6:$C$1000,"4",支出入力表!$F$6:$F$1000,"12")</f>
        <v>0</v>
      </c>
      <c r="J64" s="138" t="s">
        <v>73</v>
      </c>
    </row>
    <row r="65" spans="2:14">
      <c r="B65" s="90">
        <f>団体基本情報入力!$B$18</f>
        <v>4</v>
      </c>
      <c r="C65" s="91" t="s">
        <v>61</v>
      </c>
      <c r="D65" s="92" t="s">
        <v>9</v>
      </c>
      <c r="E65" s="93">
        <f>SUMIFS(支出入力表!$M$6:$M$1000,支出入力表!$C$6:$C$1000,"4",支出入力表!$F$6:$F$1000,"13")</f>
        <v>0</v>
      </c>
      <c r="F65" s="94" t="s">
        <v>73</v>
      </c>
      <c r="G65" s="93">
        <f>SUMIFS(支出入力表!$N$6:$N$1000,支出入力表!$C$6:$C$1000,"4",支出入力表!$F$6:$F$1000,"13")</f>
        <v>0</v>
      </c>
      <c r="H65" s="94" t="s">
        <v>73</v>
      </c>
      <c r="I65" s="93">
        <f>SUMIFS(支出入力表!$O$6:$O$1000,支出入力表!$C$6:$C$1000,"4",支出入力表!$F$6:$F$1000,"13")</f>
        <v>0</v>
      </c>
      <c r="J65" s="138" t="s">
        <v>73</v>
      </c>
    </row>
    <row r="66" spans="2:14">
      <c r="B66" s="95">
        <f>団体基本情報入力!$B$18</f>
        <v>4</v>
      </c>
      <c r="C66" s="91" t="s">
        <v>47</v>
      </c>
      <c r="D66" s="92" t="s">
        <v>5</v>
      </c>
      <c r="E66" s="93">
        <f>SUMIFS(支出入力表!$M$6:$M$1000,支出入力表!$C$6:$C$1000,"4",支出入力表!$F$6:$F$1000,"14")</f>
        <v>0</v>
      </c>
      <c r="F66" s="94" t="s">
        <v>73</v>
      </c>
      <c r="G66" s="93">
        <f>SUMIFS(支出入力表!$N$6:$N$1000,支出入力表!$C$6:$C$1000,"4",支出入力表!$F$6:$F$1000,"14")</f>
        <v>0</v>
      </c>
      <c r="H66" s="94" t="s">
        <v>73</v>
      </c>
      <c r="I66" s="93">
        <f>SUMIFS(支出入力表!$O$6:$O$1000,支出入力表!$C$6:$C$1000,"4",支出入力表!$F$6:$F$1000,"14")</f>
        <v>0</v>
      </c>
      <c r="J66" s="138" t="s">
        <v>73</v>
      </c>
    </row>
    <row r="67" spans="2:14" ht="19.5" thickBot="1">
      <c r="B67" s="96">
        <f>団体基本情報入力!$B$18</f>
        <v>4</v>
      </c>
      <c r="C67" s="97" t="s">
        <v>107</v>
      </c>
      <c r="D67" s="98" t="s">
        <v>104</v>
      </c>
      <c r="E67" s="99">
        <f>SUMIFS(支出入力表!$M$6:$M$1000,支出入力表!$C$6:$C$1000,"4",支出入力表!$F$6:$F$1000,"15")</f>
        <v>0</v>
      </c>
      <c r="F67" s="100" t="s">
        <v>24</v>
      </c>
      <c r="G67" s="114" t="s">
        <v>110</v>
      </c>
      <c r="H67" s="100" t="s">
        <v>24</v>
      </c>
      <c r="I67" s="99">
        <f>SUMIFS(支出入力表!$O$6:$O$1000,支出入力表!$C$6:$C$1000,"4",支出入力表!$F$6:$F$1000,"15")</f>
        <v>0</v>
      </c>
      <c r="J67" s="139" t="s">
        <v>24</v>
      </c>
    </row>
    <row r="68" spans="2:14" ht="19.5" thickTop="1">
      <c r="B68" s="116">
        <f>団体基本情報入力!$B$18</f>
        <v>4</v>
      </c>
      <c r="C68" s="541" t="s">
        <v>181</v>
      </c>
      <c r="D68" s="541"/>
      <c r="E68" s="117">
        <f>SUM(E53:E67)</f>
        <v>0</v>
      </c>
      <c r="F68" s="118" t="s">
        <v>73</v>
      </c>
      <c r="G68" s="117">
        <f>SUM(G53:G67)</f>
        <v>0</v>
      </c>
      <c r="H68" s="118" t="s">
        <v>73</v>
      </c>
      <c r="I68" s="117">
        <f>SUM(I53:I67)</f>
        <v>0</v>
      </c>
      <c r="J68" s="140" t="s">
        <v>73</v>
      </c>
    </row>
    <row r="69" spans="2:14">
      <c r="B69" s="85">
        <f>団体基本情報入力!$B$19</f>
        <v>5</v>
      </c>
      <c r="C69" s="101" t="s">
        <v>49</v>
      </c>
      <c r="D69" s="102" t="s">
        <v>0</v>
      </c>
      <c r="E69" s="103">
        <f>SUMIFS(支出入力表!$M$6:$M$1000,支出入力表!$C$6:$C$1000,"5",支出入力表!$F$6:$F$1000,"1")</f>
        <v>0</v>
      </c>
      <c r="F69" s="104" t="s">
        <v>73</v>
      </c>
      <c r="G69" s="103">
        <f>SUMIFS(支出入力表!$N$6:$N$1000,支出入力表!$C$6:$C$1000,"5",支出入力表!$F$6:$F$1000,"1")</f>
        <v>0</v>
      </c>
      <c r="H69" s="104" t="s">
        <v>73</v>
      </c>
      <c r="I69" s="103">
        <f>SUMIFS(支出入力表!$O$6:$O$1000,支出入力表!$C$6:$C$1000,"5",支出入力表!$F$6:$F$1000,"1")</f>
        <v>0</v>
      </c>
      <c r="J69" s="141" t="s">
        <v>73</v>
      </c>
    </row>
    <row r="70" spans="2:14">
      <c r="B70" s="90">
        <f>団体基本情報入力!$B$19</f>
        <v>5</v>
      </c>
      <c r="C70" s="91" t="s">
        <v>50</v>
      </c>
      <c r="D70" s="92" t="s">
        <v>2</v>
      </c>
      <c r="E70" s="93">
        <f>SUMIFS(支出入力表!$M$6:$M$1000,支出入力表!$C$6:$C$1000,"5",支出入力表!$F$6:$F$1000,"2")</f>
        <v>0</v>
      </c>
      <c r="F70" s="94" t="s">
        <v>73</v>
      </c>
      <c r="G70" s="93">
        <f>SUMIFS(支出入力表!$N$6:$N$1000,支出入力表!$C$6:$C$1000,"5",支出入力表!$F$6:$F$1000,"2")</f>
        <v>0</v>
      </c>
      <c r="H70" s="94" t="s">
        <v>73</v>
      </c>
      <c r="I70" s="93">
        <f>SUMIFS(支出入力表!$O$6:$O$1000,支出入力表!$C$6:$C$1000,"5",支出入力表!$F$6:$F$1000,"2")</f>
        <v>0</v>
      </c>
      <c r="J70" s="138" t="s">
        <v>73</v>
      </c>
    </row>
    <row r="71" spans="2:14">
      <c r="B71" s="90">
        <f>団体基本情報入力!$B$19</f>
        <v>5</v>
      </c>
      <c r="C71" s="91" t="s">
        <v>70</v>
      </c>
      <c r="D71" s="92" t="s">
        <v>198</v>
      </c>
      <c r="E71" s="93">
        <f>SUMIFS(支出入力表!$M$6:$M$1000,支出入力表!$C$6:$C$1000,"5",支出入力表!$F$6:$F$1000,"3")</f>
        <v>0</v>
      </c>
      <c r="F71" s="94" t="s">
        <v>73</v>
      </c>
      <c r="G71" s="93">
        <f>SUMIFS(支出入力表!$N$6:$N$1000,支出入力表!$C$6:$C$1000,"5",支出入力表!$F$6:$F$1000,"3")</f>
        <v>0</v>
      </c>
      <c r="H71" s="94" t="s">
        <v>73</v>
      </c>
      <c r="I71" s="93">
        <f>SUMIFS(支出入力表!$O$6:$O$1000,支出入力表!$C$6:$C$1000,"5",支出入力表!$F$6:$F$1000,"3")</f>
        <v>0</v>
      </c>
      <c r="J71" s="138" t="s">
        <v>73</v>
      </c>
    </row>
    <row r="72" spans="2:14">
      <c r="B72" s="90">
        <f>団体基本情報入力!$B$19</f>
        <v>5</v>
      </c>
      <c r="C72" s="91" t="s">
        <v>52</v>
      </c>
      <c r="D72" s="92" t="s">
        <v>199</v>
      </c>
      <c r="E72" s="93">
        <f>SUMIFS(支出入力表!$M$6:$M$1000,支出入力表!$C$6:$C$1000,"5",支出入力表!$F$6:$F$1000,"4")</f>
        <v>0</v>
      </c>
      <c r="F72" s="94" t="s">
        <v>73</v>
      </c>
      <c r="G72" s="93">
        <f>SUMIFS(支出入力表!$N$6:$N$1000,支出入力表!$C$6:$C$1000,"5",支出入力表!$F$6:$F$1000,"4")</f>
        <v>0</v>
      </c>
      <c r="H72" s="94" t="s">
        <v>73</v>
      </c>
      <c r="I72" s="93">
        <f>SUMIFS(支出入力表!$O$6:$O$1000,支出入力表!$C$6:$C$1000,"5",支出入力表!$F$6:$F$1000,"4")</f>
        <v>0</v>
      </c>
      <c r="J72" s="138" t="s">
        <v>73</v>
      </c>
    </row>
    <row r="73" spans="2:14">
      <c r="B73" s="90">
        <f>団体基本情報入力!$B$19</f>
        <v>5</v>
      </c>
      <c r="C73" s="91" t="s">
        <v>53</v>
      </c>
      <c r="D73" s="92" t="s">
        <v>10</v>
      </c>
      <c r="E73" s="93">
        <f>SUMIFS(支出入力表!$M$6:$M$1000,支出入力表!$C$6:$C$1000,"5",支出入力表!$F$6:$F$1000,"5")</f>
        <v>0</v>
      </c>
      <c r="F73" s="94" t="s">
        <v>73</v>
      </c>
      <c r="G73" s="93">
        <f>SUMIFS(支出入力表!$N$6:$N$1000,支出入力表!$C$6:$C$1000,"5",支出入力表!$F$6:$F$1000,"5")</f>
        <v>0</v>
      </c>
      <c r="H73" s="94" t="s">
        <v>73</v>
      </c>
      <c r="I73" s="93">
        <f>SUMIFS(支出入力表!$O$6:$O$1000,支出入力表!$C$6:$C$1000,"5",支出入力表!$F$6:$F$1000,"5")</f>
        <v>0</v>
      </c>
      <c r="J73" s="138" t="s">
        <v>73</v>
      </c>
    </row>
    <row r="74" spans="2:14">
      <c r="B74" s="90">
        <f>団体基本情報入力!$B$19</f>
        <v>5</v>
      </c>
      <c r="C74" s="91" t="s">
        <v>54</v>
      </c>
      <c r="D74" s="92" t="s">
        <v>3</v>
      </c>
      <c r="E74" s="93">
        <f>SUMIFS(支出入力表!$M$6:$M$1000,支出入力表!$C$6:$C$1000,"5",支出入力表!$F$6:$F$1000,"6")</f>
        <v>0</v>
      </c>
      <c r="F74" s="94" t="s">
        <v>73</v>
      </c>
      <c r="G74" s="93">
        <f>SUMIFS(支出入力表!$N$6:$N$1000,支出入力表!$C$6:$C$1000,"5",支出入力表!$F$6:$F$1000,"6")</f>
        <v>0</v>
      </c>
      <c r="H74" s="94" t="s">
        <v>73</v>
      </c>
      <c r="I74" s="93">
        <f>SUMIFS(支出入力表!$O$6:$O$1000,支出入力表!$C$6:$C$1000,"5",支出入力表!$F$6:$F$1000,"6")</f>
        <v>0</v>
      </c>
      <c r="J74" s="138" t="s">
        <v>73</v>
      </c>
    </row>
    <row r="75" spans="2:14">
      <c r="B75" s="90">
        <f>団体基本情報入力!$B$19</f>
        <v>5</v>
      </c>
      <c r="C75" s="91" t="s">
        <v>55</v>
      </c>
      <c r="D75" s="92" t="s">
        <v>7</v>
      </c>
      <c r="E75" s="93">
        <f>SUMIFS(支出入力表!$M$6:$M$1000,支出入力表!$C$6:$C$1000,"5",支出入力表!$F$6:$F$1000,"7")</f>
        <v>0</v>
      </c>
      <c r="F75" s="94" t="s">
        <v>73</v>
      </c>
      <c r="G75" s="93">
        <f>SUMIFS(支出入力表!$N$6:$N$1000,支出入力表!$C$6:$C$1000,"5",支出入力表!$F$6:$F$1000,"7")</f>
        <v>0</v>
      </c>
      <c r="H75" s="94" t="s">
        <v>73</v>
      </c>
      <c r="I75" s="93">
        <f>SUMIFS(支出入力表!$O$6:$O$1000,支出入力表!$C$6:$C$1000,"5",支出入力表!$F$6:$F$1000,"7")</f>
        <v>0</v>
      </c>
      <c r="J75" s="138" t="s">
        <v>73</v>
      </c>
      <c r="N75" s="29"/>
    </row>
    <row r="76" spans="2:14">
      <c r="B76" s="90">
        <f>団体基本情報入力!$B$19</f>
        <v>5</v>
      </c>
      <c r="C76" s="91" t="s">
        <v>56</v>
      </c>
      <c r="D76" s="92" t="s">
        <v>1</v>
      </c>
      <c r="E76" s="93">
        <f>SUMIFS(支出入力表!$M$6:$M$1000,支出入力表!$C$6:$C$1000,"5",支出入力表!$F$6:$F$1000,"8")</f>
        <v>0</v>
      </c>
      <c r="F76" s="94" t="s">
        <v>73</v>
      </c>
      <c r="G76" s="93">
        <f>SUMIFS(支出入力表!$N$6:$N$1000,支出入力表!$C$6:$C$1000,"5",支出入力表!$F$6:$F$1000,"8")</f>
        <v>0</v>
      </c>
      <c r="H76" s="94" t="s">
        <v>73</v>
      </c>
      <c r="I76" s="93">
        <f>SUMIFS(支出入力表!$O$6:$O$1000,支出入力表!$C$6:$C$1000,"5",支出入力表!$F$6:$F$1000,"8")</f>
        <v>0</v>
      </c>
      <c r="J76" s="138" t="s">
        <v>73</v>
      </c>
      <c r="N76" s="29"/>
    </row>
    <row r="77" spans="2:14">
      <c r="B77" s="90">
        <f>団体基本情報入力!$B$19</f>
        <v>5</v>
      </c>
      <c r="C77" s="91" t="s">
        <v>57</v>
      </c>
      <c r="D77" s="92" t="s">
        <v>4</v>
      </c>
      <c r="E77" s="93">
        <f>SUMIFS(支出入力表!$M$6:$M$1000,支出入力表!$C$6:$C$1000,"5",支出入力表!$F$6:$F$1000,"9")</f>
        <v>0</v>
      </c>
      <c r="F77" s="94" t="s">
        <v>73</v>
      </c>
      <c r="G77" s="93">
        <f>SUMIFS(支出入力表!$N$6:$N$1000,支出入力表!$C$6:$C$1000,"5",支出入力表!$F$6:$F$1000,"9")</f>
        <v>0</v>
      </c>
      <c r="H77" s="94" t="s">
        <v>73</v>
      </c>
      <c r="I77" s="93">
        <f>SUMIFS(支出入力表!$O$6:$O$1000,支出入力表!$C$6:$C$1000,"5",支出入力表!$F$6:$F$1000,"9")</f>
        <v>0</v>
      </c>
      <c r="J77" s="138" t="s">
        <v>73</v>
      </c>
    </row>
    <row r="78" spans="2:14">
      <c r="B78" s="90">
        <f>団体基本情報入力!$B$19</f>
        <v>5</v>
      </c>
      <c r="C78" s="91" t="s">
        <v>58</v>
      </c>
      <c r="D78" s="92" t="s">
        <v>8</v>
      </c>
      <c r="E78" s="93">
        <f>SUMIFS(支出入力表!$M$6:$M$1000,支出入力表!$C$6:$C$1000,"5",支出入力表!$F$6:$F$1000,"10")</f>
        <v>0</v>
      </c>
      <c r="F78" s="94" t="s">
        <v>73</v>
      </c>
      <c r="G78" s="93">
        <f>SUMIFS(支出入力表!$N$6:$N$1000,支出入力表!$C$6:$C$1000,"5",支出入力表!$F$6:$F$1000,"10")</f>
        <v>0</v>
      </c>
      <c r="H78" s="94" t="s">
        <v>73</v>
      </c>
      <c r="I78" s="93">
        <f>SUMIFS(支出入力表!$O$6:$O$1000,支出入力表!$C$6:$C$1000,"5",支出入力表!$F$6:$F$1000,"10")</f>
        <v>0</v>
      </c>
      <c r="J78" s="138" t="s">
        <v>73</v>
      </c>
    </row>
    <row r="79" spans="2:14">
      <c r="B79" s="90">
        <f>団体基本情報入力!$B$19</f>
        <v>5</v>
      </c>
      <c r="C79" s="91" t="s">
        <v>59</v>
      </c>
      <c r="D79" s="92" t="s">
        <v>11</v>
      </c>
      <c r="E79" s="93">
        <f>SUMIFS(支出入力表!$M$6:$M$1000,支出入力表!$C$6:$C$1000,"5",支出入力表!$F$6:$F$1000,"11")</f>
        <v>0</v>
      </c>
      <c r="F79" s="94" t="s">
        <v>73</v>
      </c>
      <c r="G79" s="93">
        <f>SUMIFS(支出入力表!$N$6:$N$1000,支出入力表!$C$6:$C$1000,"5",支出入力表!$F$6:$F$1000,"11")</f>
        <v>0</v>
      </c>
      <c r="H79" s="94" t="s">
        <v>73</v>
      </c>
      <c r="I79" s="93">
        <f>SUMIFS(支出入力表!$O$6:$O$1000,支出入力表!$C$6:$C$1000,"5",支出入力表!$F$6:$F$1000,"11")</f>
        <v>0</v>
      </c>
      <c r="J79" s="138" t="s">
        <v>73</v>
      </c>
    </row>
    <row r="80" spans="2:14">
      <c r="B80" s="90">
        <f>団体基本情報入力!$B$19</f>
        <v>5</v>
      </c>
      <c r="C80" s="91" t="s">
        <v>60</v>
      </c>
      <c r="D80" s="92" t="s">
        <v>12</v>
      </c>
      <c r="E80" s="93">
        <f>SUMIFS(支出入力表!$M$6:$M$1000,支出入力表!$C$6:$C$1000,"5",支出入力表!$F$6:$F$1000,"12")</f>
        <v>0</v>
      </c>
      <c r="F80" s="94" t="s">
        <v>73</v>
      </c>
      <c r="G80" s="93">
        <f>SUMIFS(支出入力表!$N$6:$N$1000,支出入力表!$C$6:$C$1000,"5",支出入力表!$F$6:$F$1000,"12")</f>
        <v>0</v>
      </c>
      <c r="H80" s="94" t="s">
        <v>73</v>
      </c>
      <c r="I80" s="93">
        <f>SUMIFS(支出入力表!$O$6:$O$1000,支出入力表!$C$6:$C$1000,"5",支出入力表!$F$6:$F$1000,"12")</f>
        <v>0</v>
      </c>
      <c r="J80" s="138" t="s">
        <v>73</v>
      </c>
    </row>
    <row r="81" spans="2:16">
      <c r="B81" s="90">
        <f>団体基本情報入力!$B$19</f>
        <v>5</v>
      </c>
      <c r="C81" s="91" t="s">
        <v>61</v>
      </c>
      <c r="D81" s="92" t="s">
        <v>9</v>
      </c>
      <c r="E81" s="93">
        <f>SUMIFS(支出入力表!$M$6:$M$1000,支出入力表!$C$6:$C$1000,"5",支出入力表!$F$6:$F$1000,"13")</f>
        <v>0</v>
      </c>
      <c r="F81" s="94" t="s">
        <v>73</v>
      </c>
      <c r="G81" s="93">
        <f>SUMIFS(支出入力表!$N$6:$N$1000,支出入力表!$C$6:$C$1000,"5",支出入力表!$F$6:$F$1000,"13")</f>
        <v>0</v>
      </c>
      <c r="H81" s="94" t="s">
        <v>73</v>
      </c>
      <c r="I81" s="93">
        <f>SUMIFS(支出入力表!$O$6:$O$1000,支出入力表!$C$6:$C$1000,"5",支出入力表!$F$6:$F$1000,"13")</f>
        <v>0</v>
      </c>
      <c r="J81" s="138" t="s">
        <v>73</v>
      </c>
    </row>
    <row r="82" spans="2:16">
      <c r="B82" s="95">
        <f>団体基本情報入力!$B$19</f>
        <v>5</v>
      </c>
      <c r="C82" s="91" t="s">
        <v>47</v>
      </c>
      <c r="D82" s="92" t="s">
        <v>5</v>
      </c>
      <c r="E82" s="93">
        <f>SUMIFS(支出入力表!$M$6:$M$1000,支出入力表!$C$6:$C$1000,"5",支出入力表!$F$6:$F$1000,"14")</f>
        <v>0</v>
      </c>
      <c r="F82" s="94" t="s">
        <v>73</v>
      </c>
      <c r="G82" s="93">
        <f>SUMIFS(支出入力表!$N$6:$N$1000,支出入力表!$C$6:$C$1000,"5",支出入力表!$F$6:$F$1000,"14")</f>
        <v>0</v>
      </c>
      <c r="H82" s="94" t="s">
        <v>73</v>
      </c>
      <c r="I82" s="93">
        <f>SUMIFS(支出入力表!$O$6:$O$1000,支出入力表!$C$6:$C$1000,"5",支出入力表!$F$6:$F$1000,"14")</f>
        <v>0</v>
      </c>
      <c r="J82" s="138" t="s">
        <v>73</v>
      </c>
    </row>
    <row r="83" spans="2:16" ht="19.5" thickBot="1">
      <c r="B83" s="96">
        <f>団体基本情報入力!$B$19</f>
        <v>5</v>
      </c>
      <c r="C83" s="97" t="s">
        <v>107</v>
      </c>
      <c r="D83" s="98" t="s">
        <v>104</v>
      </c>
      <c r="E83" s="99">
        <f>SUMIFS(支出入力表!$M$6:$M$1000,支出入力表!$C$6:$C$1000,"5",支出入力表!$F$6:$F$1000,"15")</f>
        <v>0</v>
      </c>
      <c r="F83" s="100" t="s">
        <v>24</v>
      </c>
      <c r="G83" s="114" t="s">
        <v>111</v>
      </c>
      <c r="H83" s="100" t="s">
        <v>24</v>
      </c>
      <c r="I83" s="99">
        <f>SUMIFS(支出入力表!$O$6:$O$1000,支出入力表!$C$6:$C$1000,"5",支出入力表!$F$6:$F$1000,"15")</f>
        <v>0</v>
      </c>
      <c r="J83" s="139" t="s">
        <v>24</v>
      </c>
    </row>
    <row r="84" spans="2:16" ht="19.5" thickTop="1">
      <c r="B84" s="116">
        <f>団体基本情報入力!$B$19</f>
        <v>5</v>
      </c>
      <c r="C84" s="541" t="s">
        <v>182</v>
      </c>
      <c r="D84" s="541"/>
      <c r="E84" s="117">
        <f>SUM(E69:E83)</f>
        <v>0</v>
      </c>
      <c r="F84" s="118" t="s">
        <v>73</v>
      </c>
      <c r="G84" s="117">
        <f>SUM(G69:G83)</f>
        <v>0</v>
      </c>
      <c r="H84" s="118" t="s">
        <v>73</v>
      </c>
      <c r="I84" s="117">
        <f>SUM(I69:I83)</f>
        <v>0</v>
      </c>
      <c r="J84" s="140" t="s">
        <v>73</v>
      </c>
    </row>
    <row r="85" spans="2:16">
      <c r="B85" s="85">
        <f>団体基本情報入力!$B$20</f>
        <v>6</v>
      </c>
      <c r="C85" s="101" t="s">
        <v>49</v>
      </c>
      <c r="D85" s="102" t="s">
        <v>0</v>
      </c>
      <c r="E85" s="103">
        <f>SUMIFS(支出入力表!$M$6:$M$1000,支出入力表!$C$6:$C$1000,"6",支出入力表!$F$6:$F$1000,"1")</f>
        <v>0</v>
      </c>
      <c r="F85" s="104" t="s">
        <v>24</v>
      </c>
      <c r="G85" s="103">
        <f>SUMIFS(支出入力表!$N$6:$N$1000,支出入力表!$C$6:$C$1000,"6",支出入力表!$F$6:$F$1000,"1")</f>
        <v>0</v>
      </c>
      <c r="H85" s="104" t="s">
        <v>73</v>
      </c>
      <c r="I85" s="103">
        <f>SUMIFS(支出入力表!$O$6:$O$1000,支出入力表!$C$6:$C$1000,"6",支出入力表!$F$6:$F$1000,"1")</f>
        <v>0</v>
      </c>
      <c r="J85" s="141" t="s">
        <v>73</v>
      </c>
    </row>
    <row r="86" spans="2:16">
      <c r="B86" s="90">
        <f>団体基本情報入力!$B$20</f>
        <v>6</v>
      </c>
      <c r="C86" s="91" t="s">
        <v>50</v>
      </c>
      <c r="D86" s="92" t="s">
        <v>2</v>
      </c>
      <c r="E86" s="93">
        <f>SUMIFS(支出入力表!$M$6:$M$1000,支出入力表!$C$6:$C$1000,"6",支出入力表!$F$6:$F$1000,"2")</f>
        <v>0</v>
      </c>
      <c r="F86" s="94" t="s">
        <v>73</v>
      </c>
      <c r="G86" s="93">
        <f>SUMIFS(支出入力表!$N$6:$N$1000,支出入力表!$C$6:$C$1000,"6",支出入力表!$F$6:$F$1000,"2")</f>
        <v>0</v>
      </c>
      <c r="H86" s="94" t="s">
        <v>73</v>
      </c>
      <c r="I86" s="93">
        <f>SUMIFS(支出入力表!$O$6:$O$1000,支出入力表!$C$6:$C$1000,"6",支出入力表!$F$6:$F$1000,"2")</f>
        <v>0</v>
      </c>
      <c r="J86" s="138" t="s">
        <v>73</v>
      </c>
    </row>
    <row r="87" spans="2:16">
      <c r="B87" s="90">
        <f>団体基本情報入力!$B$20</f>
        <v>6</v>
      </c>
      <c r="C87" s="91" t="s">
        <v>71</v>
      </c>
      <c r="D87" s="92" t="s">
        <v>198</v>
      </c>
      <c r="E87" s="93">
        <f>SUMIFS(支出入力表!$M$6:$M$1000,支出入力表!$C$6:$C$1000,"6",支出入力表!$F$6:$F$1000,"3")</f>
        <v>0</v>
      </c>
      <c r="F87" s="94" t="s">
        <v>73</v>
      </c>
      <c r="G87" s="93">
        <f>SUMIFS(支出入力表!$N$6:$N$1000,支出入力表!$C$6:$C$1000,"6",支出入力表!$F$6:$F$1000,"3")</f>
        <v>0</v>
      </c>
      <c r="H87" s="94" t="s">
        <v>73</v>
      </c>
      <c r="I87" s="93">
        <f>SUMIFS(支出入力表!$O$6:$O$1000,支出入力表!$C$6:$C$1000,"6",支出入力表!$F$6:$F$1000,"3")</f>
        <v>0</v>
      </c>
      <c r="J87" s="138" t="s">
        <v>73</v>
      </c>
    </row>
    <row r="88" spans="2:16">
      <c r="B88" s="90">
        <f>団体基本情報入力!$B$20</f>
        <v>6</v>
      </c>
      <c r="C88" s="91" t="s">
        <v>52</v>
      </c>
      <c r="D88" s="92" t="s">
        <v>199</v>
      </c>
      <c r="E88" s="93">
        <f>SUMIFS(支出入力表!$M$6:$M$1000,支出入力表!$C$6:$C$1000,"6",支出入力表!$F$6:$F$1000,"4")</f>
        <v>0</v>
      </c>
      <c r="F88" s="94" t="s">
        <v>73</v>
      </c>
      <c r="G88" s="93">
        <f>SUMIFS(支出入力表!$N$6:$N$1000,支出入力表!$C$6:$C$1000,"6",支出入力表!$F$6:$F$1000,"4")</f>
        <v>0</v>
      </c>
      <c r="H88" s="94" t="s">
        <v>73</v>
      </c>
      <c r="I88" s="93">
        <f>SUMIFS(支出入力表!$O$6:$O$1000,支出入力表!$C$6:$C$1000,"6",支出入力表!$F$6:$F$1000,"4")</f>
        <v>0</v>
      </c>
      <c r="J88" s="138" t="s">
        <v>73</v>
      </c>
    </row>
    <row r="89" spans="2:16">
      <c r="B89" s="90">
        <f>団体基本情報入力!$B$20</f>
        <v>6</v>
      </c>
      <c r="C89" s="91" t="s">
        <v>53</v>
      </c>
      <c r="D89" s="92" t="s">
        <v>10</v>
      </c>
      <c r="E89" s="93">
        <f>SUMIFS(支出入力表!$M$6:$M$1000,支出入力表!$C$6:$C$1000,"6",支出入力表!$F$6:$F$1000,"5")</f>
        <v>0</v>
      </c>
      <c r="F89" s="94" t="s">
        <v>73</v>
      </c>
      <c r="G89" s="93">
        <f>SUMIFS(支出入力表!$N$6:$N$1000,支出入力表!$C$6:$C$1000,"6",支出入力表!$F$6:$F$1000,"5")</f>
        <v>0</v>
      </c>
      <c r="H89" s="94" t="s">
        <v>73</v>
      </c>
      <c r="I89" s="93">
        <f>SUMIFS(支出入力表!$O$6:$O$1000,支出入力表!$C$6:$C$1000,"6",支出入力表!$F$6:$F$1000,"5")</f>
        <v>0</v>
      </c>
      <c r="J89" s="138" t="s">
        <v>73</v>
      </c>
    </row>
    <row r="90" spans="2:16">
      <c r="B90" s="90">
        <f>団体基本情報入力!$B$20</f>
        <v>6</v>
      </c>
      <c r="C90" s="91" t="s">
        <v>54</v>
      </c>
      <c r="D90" s="92" t="s">
        <v>3</v>
      </c>
      <c r="E90" s="93">
        <f>SUMIFS(支出入力表!$M$6:$M$1000,支出入力表!$C$6:$C$1000,"6",支出入力表!$F$6:$F$1000,"6")</f>
        <v>0</v>
      </c>
      <c r="F90" s="94" t="s">
        <v>73</v>
      </c>
      <c r="G90" s="93">
        <f>SUMIFS(支出入力表!$N$6:$N$1000,支出入力表!$C$6:$C$1000,"6",支出入力表!$F$6:$F$1000,"6")</f>
        <v>0</v>
      </c>
      <c r="H90" s="94" t="s">
        <v>73</v>
      </c>
      <c r="I90" s="93">
        <f>SUMIFS(支出入力表!$O$6:$O$1000,支出入力表!$C$6:$C$1000,"6",支出入力表!$F$6:$F$1000,"6")</f>
        <v>0</v>
      </c>
      <c r="J90" s="138" t="s">
        <v>73</v>
      </c>
    </row>
    <row r="91" spans="2:16">
      <c r="B91" s="90">
        <f>団体基本情報入力!$B$20</f>
        <v>6</v>
      </c>
      <c r="C91" s="91" t="s">
        <v>55</v>
      </c>
      <c r="D91" s="92" t="s">
        <v>7</v>
      </c>
      <c r="E91" s="93">
        <f>SUMIFS(支出入力表!$M$6:$M$1000,支出入力表!$C$6:$C$1000,"6",支出入力表!$F$6:$F$1000,"7")</f>
        <v>0</v>
      </c>
      <c r="F91" s="94" t="s">
        <v>73</v>
      </c>
      <c r="G91" s="93">
        <f>SUMIFS(支出入力表!$N$6:$N$1000,支出入力表!$C$6:$C$1000,"6",支出入力表!$F$6:$F$1000,"7")</f>
        <v>0</v>
      </c>
      <c r="H91" s="94" t="s">
        <v>73</v>
      </c>
      <c r="I91" s="93">
        <f>SUMIFS(支出入力表!$O$6:$O$1000,支出入力表!$C$6:$C$1000,"6",支出入力表!$F$6:$F$1000,"7")</f>
        <v>0</v>
      </c>
      <c r="J91" s="138" t="s">
        <v>73</v>
      </c>
    </row>
    <row r="92" spans="2:16">
      <c r="B92" s="90">
        <f>団体基本情報入力!$B$20</f>
        <v>6</v>
      </c>
      <c r="C92" s="91" t="s">
        <v>56</v>
      </c>
      <c r="D92" s="92" t="s">
        <v>1</v>
      </c>
      <c r="E92" s="93">
        <f>SUMIFS(支出入力表!$M$6:$M$1000,支出入力表!$C$6:$C$1000,"6",支出入力表!$F$6:$F$1000,"8")</f>
        <v>0</v>
      </c>
      <c r="F92" s="94" t="s">
        <v>73</v>
      </c>
      <c r="G92" s="93">
        <f>SUMIFS(支出入力表!$N$6:$N$1000,支出入力表!$C$6:$C$1000,"6",支出入力表!$F$6:$F$1000,"8")</f>
        <v>0</v>
      </c>
      <c r="H92" s="94" t="s">
        <v>73</v>
      </c>
      <c r="I92" s="93">
        <f>SUMIFS(支出入力表!$O$6:$O$1000,支出入力表!$C$6:$C$1000,"6",支出入力表!$F$6:$F$1000,"8")</f>
        <v>0</v>
      </c>
      <c r="J92" s="138" t="s">
        <v>73</v>
      </c>
      <c r="P92" s="29"/>
    </row>
    <row r="93" spans="2:16">
      <c r="B93" s="90">
        <f>団体基本情報入力!$B$20</f>
        <v>6</v>
      </c>
      <c r="C93" s="91" t="s">
        <v>57</v>
      </c>
      <c r="D93" s="92" t="s">
        <v>4</v>
      </c>
      <c r="E93" s="93">
        <f>SUMIFS(支出入力表!$M$6:$M$1000,支出入力表!$C$6:$C$1000,"6",支出入力表!$F$6:$F$1000,"9")</f>
        <v>0</v>
      </c>
      <c r="F93" s="94" t="s">
        <v>73</v>
      </c>
      <c r="G93" s="93">
        <f>SUMIFS(支出入力表!$N$6:$N$1000,支出入力表!$C$6:$C$1000,"6",支出入力表!$F$6:$F$1000,"9")</f>
        <v>0</v>
      </c>
      <c r="H93" s="94" t="s">
        <v>73</v>
      </c>
      <c r="I93" s="93">
        <f>SUMIFS(支出入力表!$O$6:$O$1000,支出入力表!$C$6:$C$1000,"6",支出入力表!$F$6:$F$1000,"9")</f>
        <v>0</v>
      </c>
      <c r="J93" s="138" t="s">
        <v>73</v>
      </c>
      <c r="P93" s="29"/>
    </row>
    <row r="94" spans="2:16">
      <c r="B94" s="90">
        <f>団体基本情報入力!$B$20</f>
        <v>6</v>
      </c>
      <c r="C94" s="91" t="s">
        <v>58</v>
      </c>
      <c r="D94" s="92" t="s">
        <v>8</v>
      </c>
      <c r="E94" s="93">
        <f>SUMIFS(支出入力表!$M$6:$M$1000,支出入力表!$C$6:$C$1000,"6",支出入力表!$F$6:$F$1000,"10")</f>
        <v>0</v>
      </c>
      <c r="F94" s="94" t="s">
        <v>73</v>
      </c>
      <c r="G94" s="93">
        <f>SUMIFS(支出入力表!$N$6:$N$1000,支出入力表!$C$6:$C$1000,"6",支出入力表!$F$6:$F$1000,"10")</f>
        <v>0</v>
      </c>
      <c r="H94" s="94" t="s">
        <v>73</v>
      </c>
      <c r="I94" s="93">
        <f>SUMIFS(支出入力表!$O$6:$O$1000,支出入力表!$C$6:$C$1000,"6",支出入力表!$F$6:$F$1000,"10")</f>
        <v>0</v>
      </c>
      <c r="J94" s="138" t="s">
        <v>73</v>
      </c>
    </row>
    <row r="95" spans="2:16">
      <c r="B95" s="90">
        <f>団体基本情報入力!$B$20</f>
        <v>6</v>
      </c>
      <c r="C95" s="91" t="s">
        <v>59</v>
      </c>
      <c r="D95" s="92" t="s">
        <v>11</v>
      </c>
      <c r="E95" s="93">
        <f>SUMIFS(支出入力表!$M$6:$M$1000,支出入力表!$C$6:$C$1000,"6",支出入力表!$F$6:$F$1000,"11")</f>
        <v>0</v>
      </c>
      <c r="F95" s="94" t="s">
        <v>73</v>
      </c>
      <c r="G95" s="93">
        <f>SUMIFS(支出入力表!$N$6:$N$1000,支出入力表!$C$6:$C$1000,"6",支出入力表!$F$6:$F$1000,"11")</f>
        <v>0</v>
      </c>
      <c r="H95" s="94" t="s">
        <v>73</v>
      </c>
      <c r="I95" s="93">
        <f>SUMIFS(支出入力表!$O$6:$O$1000,支出入力表!$C$6:$C$1000,"6",支出入力表!$F$6:$F$1000,"11")</f>
        <v>0</v>
      </c>
      <c r="J95" s="138" t="s">
        <v>73</v>
      </c>
      <c r="L95" s="29"/>
    </row>
    <row r="96" spans="2:16">
      <c r="B96" s="90">
        <f>団体基本情報入力!$B$20</f>
        <v>6</v>
      </c>
      <c r="C96" s="91" t="s">
        <v>60</v>
      </c>
      <c r="D96" s="92" t="s">
        <v>12</v>
      </c>
      <c r="E96" s="93">
        <f>SUMIFS(支出入力表!$M$6:$M$1000,支出入力表!$C$6:$C$1000,"6",支出入力表!$F$6:$F$1000,"12")</f>
        <v>0</v>
      </c>
      <c r="F96" s="94" t="s">
        <v>73</v>
      </c>
      <c r="G96" s="93">
        <f>SUMIFS(支出入力表!$N$6:$N$1000,支出入力表!$C$6:$C$1000,"6",支出入力表!$F$6:$F$1000,"12")</f>
        <v>0</v>
      </c>
      <c r="H96" s="94" t="s">
        <v>73</v>
      </c>
      <c r="I96" s="93">
        <f>SUMIFS(支出入力表!$O$6:$O$1000,支出入力表!$C$6:$C$1000,"6",支出入力表!$F$6:$F$1000,"12")</f>
        <v>0</v>
      </c>
      <c r="J96" s="138" t="s">
        <v>73</v>
      </c>
    </row>
    <row r="97" spans="2:14">
      <c r="B97" s="90">
        <f>団体基本情報入力!$B$20</f>
        <v>6</v>
      </c>
      <c r="C97" s="91" t="s">
        <v>61</v>
      </c>
      <c r="D97" s="92" t="s">
        <v>9</v>
      </c>
      <c r="E97" s="93">
        <f>SUMIFS(支出入力表!$M$6:$M$1000,支出入力表!$C$6:$C$1000,"6",支出入力表!$F$6:$F$1000,"13")</f>
        <v>0</v>
      </c>
      <c r="F97" s="94" t="s">
        <v>73</v>
      </c>
      <c r="G97" s="93">
        <f>SUMIFS(支出入力表!$N$6:$N$1000,支出入力表!$C$6:$C$1000,"6",支出入力表!$F$6:$F$1000,"13")</f>
        <v>0</v>
      </c>
      <c r="H97" s="94" t="s">
        <v>73</v>
      </c>
      <c r="I97" s="93">
        <f>SUMIFS(支出入力表!$O$6:$O$1000,支出入力表!$C$6:$C$1000,"6",支出入力表!$F$6:$F$1000,"13")</f>
        <v>0</v>
      </c>
      <c r="J97" s="138" t="s">
        <v>73</v>
      </c>
    </row>
    <row r="98" spans="2:14">
      <c r="B98" s="95">
        <f>団体基本情報入力!$B$20</f>
        <v>6</v>
      </c>
      <c r="C98" s="91" t="s">
        <v>47</v>
      </c>
      <c r="D98" s="92" t="s">
        <v>5</v>
      </c>
      <c r="E98" s="93">
        <f>SUMIFS(支出入力表!$M$6:$M$1000,支出入力表!$C$6:$C$1000,"6",支出入力表!$F$6:$F$1000,"14")</f>
        <v>0</v>
      </c>
      <c r="F98" s="94" t="s">
        <v>73</v>
      </c>
      <c r="G98" s="93">
        <f>SUMIFS(支出入力表!$N$6:$N$1000,支出入力表!$C$6:$C$1000,"6",支出入力表!$F$6:$F$1000,"14")</f>
        <v>0</v>
      </c>
      <c r="H98" s="94" t="s">
        <v>73</v>
      </c>
      <c r="I98" s="93">
        <f>SUMIFS(支出入力表!$O$6:$O$1000,支出入力表!$C$6:$C$1000,"6",支出入力表!$F$6:$F$1000,"14")</f>
        <v>0</v>
      </c>
      <c r="J98" s="138" t="s">
        <v>73</v>
      </c>
    </row>
    <row r="99" spans="2:14" ht="19.5" thickBot="1">
      <c r="B99" s="96">
        <f>団体基本情報入力!$B$20</f>
        <v>6</v>
      </c>
      <c r="C99" s="97" t="s">
        <v>107</v>
      </c>
      <c r="D99" s="98" t="s">
        <v>104</v>
      </c>
      <c r="E99" s="99">
        <f>SUMIFS(支出入力表!$M$6:$M$1000,支出入力表!$C$6:$C$1000,"6",支出入力表!$F$6:$F$1000,"15")</f>
        <v>0</v>
      </c>
      <c r="F99" s="100" t="s">
        <v>24</v>
      </c>
      <c r="G99" s="114" t="s">
        <v>108</v>
      </c>
      <c r="H99" s="100" t="s">
        <v>24</v>
      </c>
      <c r="I99" s="99">
        <f>SUMIFS(支出入力表!$O$6:$O$1000,支出入力表!$C$6:$C$1000,"6",支出入力表!$F$6:$F$1000,"15")</f>
        <v>0</v>
      </c>
      <c r="J99" s="139" t="s">
        <v>24</v>
      </c>
    </row>
    <row r="100" spans="2:14" ht="19.5" thickTop="1">
      <c r="B100" s="116">
        <f>団体基本情報入力!$B$20</f>
        <v>6</v>
      </c>
      <c r="C100" s="541" t="s">
        <v>183</v>
      </c>
      <c r="D100" s="541"/>
      <c r="E100" s="117">
        <f>SUM(E85:E99)</f>
        <v>0</v>
      </c>
      <c r="F100" s="118" t="s">
        <v>73</v>
      </c>
      <c r="G100" s="117">
        <f>SUM(G85:G99)</f>
        <v>0</v>
      </c>
      <c r="H100" s="118" t="s">
        <v>73</v>
      </c>
      <c r="I100" s="117">
        <f>SUM(I85:I99)</f>
        <v>0</v>
      </c>
      <c r="J100" s="140" t="s">
        <v>73</v>
      </c>
    </row>
    <row r="101" spans="2:14">
      <c r="B101" s="85">
        <f>団体基本情報入力!$B$21</f>
        <v>7</v>
      </c>
      <c r="C101" s="101" t="s">
        <v>65</v>
      </c>
      <c r="D101" s="102" t="s">
        <v>0</v>
      </c>
      <c r="E101" s="103">
        <f>SUMIFS(支出入力表!$M$6:$M$1000,支出入力表!$C$6:$C$1000,"7",支出入力表!$F$6:$F$1000,"1")</f>
        <v>0</v>
      </c>
      <c r="F101" s="104" t="s">
        <v>73</v>
      </c>
      <c r="G101" s="103">
        <f>SUMIFS(支出入力表!$N$6:$N$1000,支出入力表!$C$6:$C$1000,"7",支出入力表!$F$6:$F$1000,"1")</f>
        <v>0</v>
      </c>
      <c r="H101" s="104" t="s">
        <v>73</v>
      </c>
      <c r="I101" s="103">
        <f>SUMIFS(支出入力表!$O$6:$O$1000,支出入力表!$C$6:$C$1000,"7",支出入力表!$F$6:$F$1000,"1")</f>
        <v>0</v>
      </c>
      <c r="J101" s="141" t="s">
        <v>73</v>
      </c>
    </row>
    <row r="102" spans="2:14">
      <c r="B102" s="90">
        <f>団体基本情報入力!$B$21</f>
        <v>7</v>
      </c>
      <c r="C102" s="91" t="s">
        <v>50</v>
      </c>
      <c r="D102" s="92" t="s">
        <v>2</v>
      </c>
      <c r="E102" s="93">
        <f>SUMIFS(支出入力表!$M$6:$M$1000,支出入力表!$C$6:$C$1000,"7",支出入力表!$F$6:$F$1000,"2")</f>
        <v>0</v>
      </c>
      <c r="F102" s="94" t="s">
        <v>73</v>
      </c>
      <c r="G102" s="93">
        <f>SUMIFS(支出入力表!$N$6:$N$1000,支出入力表!$C$6:$C$1000,"7",支出入力表!$F$6:$F$1000,"2")</f>
        <v>0</v>
      </c>
      <c r="H102" s="94" t="s">
        <v>73</v>
      </c>
      <c r="I102" s="93">
        <f>SUMIFS(支出入力表!$O$6:$O$1000,支出入力表!$C$6:$C$1000,"7",支出入力表!$F$6:$F$1000,"2")</f>
        <v>0</v>
      </c>
      <c r="J102" s="138" t="s">
        <v>73</v>
      </c>
    </row>
    <row r="103" spans="2:14">
      <c r="B103" s="90">
        <f>団体基本情報入力!$B$21</f>
        <v>7</v>
      </c>
      <c r="C103" s="91" t="s">
        <v>51</v>
      </c>
      <c r="D103" s="92" t="s">
        <v>198</v>
      </c>
      <c r="E103" s="93">
        <f>SUMIFS(支出入力表!$M$6:$M$1000,支出入力表!$C$6:$C$1000,"7",支出入力表!$F$6:$F$1000,"3")</f>
        <v>0</v>
      </c>
      <c r="F103" s="94" t="s">
        <v>73</v>
      </c>
      <c r="G103" s="93">
        <f>SUMIFS(支出入力表!$N$6:$N$1000,支出入力表!$C$6:$C$1000,"7",支出入力表!$F$6:$F$1000,"3")</f>
        <v>0</v>
      </c>
      <c r="H103" s="94" t="s">
        <v>73</v>
      </c>
      <c r="I103" s="93">
        <f>SUMIFS(支出入力表!$O$6:$O$1000,支出入力表!$C$6:$C$1000,"7",支出入力表!$F$6:$F$1000,"3")</f>
        <v>0</v>
      </c>
      <c r="J103" s="138" t="s">
        <v>73</v>
      </c>
    </row>
    <row r="104" spans="2:14">
      <c r="B104" s="90">
        <f>団体基本情報入力!$B$21</f>
        <v>7</v>
      </c>
      <c r="C104" s="91" t="s">
        <v>52</v>
      </c>
      <c r="D104" s="92" t="s">
        <v>199</v>
      </c>
      <c r="E104" s="93">
        <f>SUMIFS(支出入力表!$M$6:$M$1000,支出入力表!$C$6:$C$1000,"7",支出入力表!$F$6:$F$1000,"4")</f>
        <v>0</v>
      </c>
      <c r="F104" s="94" t="s">
        <v>73</v>
      </c>
      <c r="G104" s="93">
        <f>SUMIFS(支出入力表!$N$6:$N$1000,支出入力表!$C$6:$C$1000,"7",支出入力表!$F$6:$F$1000,"4")</f>
        <v>0</v>
      </c>
      <c r="H104" s="94" t="s">
        <v>73</v>
      </c>
      <c r="I104" s="93">
        <f>SUMIFS(支出入力表!$O$6:$O$1000,支出入力表!$C$6:$C$1000,"7",支出入力表!$F$6:$F$1000,"4")</f>
        <v>0</v>
      </c>
      <c r="J104" s="138" t="s">
        <v>73</v>
      </c>
    </row>
    <row r="105" spans="2:14">
      <c r="B105" s="90">
        <f>団体基本情報入力!$B$21</f>
        <v>7</v>
      </c>
      <c r="C105" s="91" t="s">
        <v>53</v>
      </c>
      <c r="D105" s="92" t="s">
        <v>10</v>
      </c>
      <c r="E105" s="93">
        <f>SUMIFS(支出入力表!$M$6:$M$1000,支出入力表!$C$6:$C$1000,"7",支出入力表!$F$6:$F$1000,"5")</f>
        <v>0</v>
      </c>
      <c r="F105" s="94" t="s">
        <v>73</v>
      </c>
      <c r="G105" s="93">
        <f>SUMIFS(支出入力表!$N$6:$N$1000,支出入力表!$C$6:$C$1000,"7",支出入力表!$F$6:$F$1000,"5")</f>
        <v>0</v>
      </c>
      <c r="H105" s="94" t="s">
        <v>73</v>
      </c>
      <c r="I105" s="93">
        <f>SUMIFS(支出入力表!$O$6:$O$1000,支出入力表!$C$6:$C$1000,"7",支出入力表!$F$6:$F$1000,"5")</f>
        <v>0</v>
      </c>
      <c r="J105" s="138" t="s">
        <v>73</v>
      </c>
    </row>
    <row r="106" spans="2:14">
      <c r="B106" s="90">
        <f>団体基本情報入力!$B$21</f>
        <v>7</v>
      </c>
      <c r="C106" s="91" t="s">
        <v>54</v>
      </c>
      <c r="D106" s="92" t="s">
        <v>3</v>
      </c>
      <c r="E106" s="93">
        <f>SUMIFS(支出入力表!$M$6:$M$1000,支出入力表!$C$6:$C$1000,"7",支出入力表!$F$6:$F$1000,"6")</f>
        <v>0</v>
      </c>
      <c r="F106" s="94" t="s">
        <v>73</v>
      </c>
      <c r="G106" s="93">
        <f>SUMIFS(支出入力表!$N$6:$N$1000,支出入力表!$C$6:$C$1000,"7",支出入力表!$F$6:$F$1000,"6")</f>
        <v>0</v>
      </c>
      <c r="H106" s="94" t="s">
        <v>73</v>
      </c>
      <c r="I106" s="93">
        <f>SUMIFS(支出入力表!$O$6:$O$1000,支出入力表!$C$6:$C$1000,"7",支出入力表!$F$6:$F$1000,"6")</f>
        <v>0</v>
      </c>
      <c r="J106" s="138" t="s">
        <v>73</v>
      </c>
    </row>
    <row r="107" spans="2:14">
      <c r="B107" s="90">
        <f>団体基本情報入力!$B$21</f>
        <v>7</v>
      </c>
      <c r="C107" s="91" t="s">
        <v>55</v>
      </c>
      <c r="D107" s="92" t="s">
        <v>7</v>
      </c>
      <c r="E107" s="93">
        <f>SUMIFS(支出入力表!$M$6:$M$1000,支出入力表!$C$6:$C$1000,"7",支出入力表!$F$6:$F$1000,"7")</f>
        <v>0</v>
      </c>
      <c r="F107" s="94" t="s">
        <v>73</v>
      </c>
      <c r="G107" s="93">
        <f>SUMIFS(支出入力表!$N$6:$N$1000,支出入力表!$C$6:$C$1000,"7",支出入力表!$F$6:$F$1000,"7")</f>
        <v>0</v>
      </c>
      <c r="H107" s="94" t="s">
        <v>73</v>
      </c>
      <c r="I107" s="93">
        <f>SUMIFS(支出入力表!$O$6:$O$1000,支出入力表!$C$6:$C$1000,"7",支出入力表!$F$6:$F$1000,"7")</f>
        <v>0</v>
      </c>
      <c r="J107" s="138" t="s">
        <v>73</v>
      </c>
      <c r="N107" s="29"/>
    </row>
    <row r="108" spans="2:14">
      <c r="B108" s="90">
        <f>団体基本情報入力!$B$21</f>
        <v>7</v>
      </c>
      <c r="C108" s="91" t="s">
        <v>56</v>
      </c>
      <c r="D108" s="92" t="s">
        <v>1</v>
      </c>
      <c r="E108" s="93">
        <f>SUMIFS(支出入力表!$M$6:$M$1000,支出入力表!$C$6:$C$1000,"7",支出入力表!$F$6:$F$1000,"8")</f>
        <v>0</v>
      </c>
      <c r="F108" s="94" t="s">
        <v>73</v>
      </c>
      <c r="G108" s="93">
        <f>SUMIFS(支出入力表!$N$6:$N$1000,支出入力表!$C$6:$C$1000,"7",支出入力表!$F$6:$F$1000,"8")</f>
        <v>0</v>
      </c>
      <c r="H108" s="94" t="s">
        <v>73</v>
      </c>
      <c r="I108" s="93">
        <f>SUMIFS(支出入力表!$O$6:$O$1000,支出入力表!$C$6:$C$1000,"7",支出入力表!$F$6:$F$1000,"8")</f>
        <v>0</v>
      </c>
      <c r="J108" s="138" t="s">
        <v>73</v>
      </c>
      <c r="L108" s="29"/>
    </row>
    <row r="109" spans="2:14">
      <c r="B109" s="90">
        <f>団体基本情報入力!$B$21</f>
        <v>7</v>
      </c>
      <c r="C109" s="91" t="s">
        <v>57</v>
      </c>
      <c r="D109" s="92" t="s">
        <v>4</v>
      </c>
      <c r="E109" s="93">
        <f>SUMIFS(支出入力表!$M$6:$M$1000,支出入力表!$C$6:$C$1000,"7",支出入力表!$F$6:$F$1000,"9")</f>
        <v>0</v>
      </c>
      <c r="F109" s="94" t="s">
        <v>73</v>
      </c>
      <c r="G109" s="93">
        <f>SUMIFS(支出入力表!$N$6:$N$1000,支出入力表!$C$6:$C$1000,"7",支出入力表!$F$6:$F$1000,"9")</f>
        <v>0</v>
      </c>
      <c r="H109" s="94" t="s">
        <v>73</v>
      </c>
      <c r="I109" s="93">
        <f>SUMIFS(支出入力表!$O$6:$O$1000,支出入力表!$C$6:$C$1000,"7",支出入力表!$F$6:$F$1000,"9")</f>
        <v>0</v>
      </c>
      <c r="J109" s="138" t="s">
        <v>73</v>
      </c>
    </row>
    <row r="110" spans="2:14">
      <c r="B110" s="90">
        <f>団体基本情報入力!$B$21</f>
        <v>7</v>
      </c>
      <c r="C110" s="91" t="s">
        <v>58</v>
      </c>
      <c r="D110" s="92" t="s">
        <v>8</v>
      </c>
      <c r="E110" s="93">
        <f>SUMIFS(支出入力表!$M$6:$M$1000,支出入力表!$C$6:$C$1000,"7",支出入力表!$F$6:$F$1000,"10")</f>
        <v>0</v>
      </c>
      <c r="F110" s="94" t="s">
        <v>73</v>
      </c>
      <c r="G110" s="93">
        <f>SUMIFS(支出入力表!$N$6:$N$1000,支出入力表!$C$6:$C$1000,"7",支出入力表!$F$6:$F$1000,"10")</f>
        <v>0</v>
      </c>
      <c r="H110" s="94" t="s">
        <v>73</v>
      </c>
      <c r="I110" s="93">
        <f>SUMIFS(支出入力表!$O$6:$O$1000,支出入力表!$C$6:$C$1000,"7",支出入力表!$F$6:$F$1000,"10")</f>
        <v>0</v>
      </c>
      <c r="J110" s="138" t="s">
        <v>73</v>
      </c>
    </row>
    <row r="111" spans="2:14">
      <c r="B111" s="90">
        <f>団体基本情報入力!$B$21</f>
        <v>7</v>
      </c>
      <c r="C111" s="91" t="s">
        <v>59</v>
      </c>
      <c r="D111" s="92" t="s">
        <v>11</v>
      </c>
      <c r="E111" s="93">
        <f>SUMIFS(支出入力表!$M$6:$M$1000,支出入力表!$C$6:$C$1000,"7",支出入力表!$F$6:$F$1000,"11")</f>
        <v>0</v>
      </c>
      <c r="F111" s="94" t="s">
        <v>73</v>
      </c>
      <c r="G111" s="93">
        <f>SUMIFS(支出入力表!$N$6:$N$1000,支出入力表!$C$6:$C$1000,"7",支出入力表!$F$6:$F$1000,"11")</f>
        <v>0</v>
      </c>
      <c r="H111" s="94" t="s">
        <v>73</v>
      </c>
      <c r="I111" s="93">
        <f>SUMIFS(支出入力表!$O$6:$O$1000,支出入力表!$C$6:$C$1000,"7",支出入力表!$F$6:$F$1000,"11")</f>
        <v>0</v>
      </c>
      <c r="J111" s="138" t="s">
        <v>73</v>
      </c>
    </row>
    <row r="112" spans="2:14">
      <c r="B112" s="90">
        <f>団体基本情報入力!$B$21</f>
        <v>7</v>
      </c>
      <c r="C112" s="91" t="s">
        <v>60</v>
      </c>
      <c r="D112" s="92" t="s">
        <v>12</v>
      </c>
      <c r="E112" s="93">
        <f>SUMIFS(支出入力表!$M$6:$M$1000,支出入力表!$C$6:$C$1000,"7",支出入力表!$F$6:$F$1000,"12")</f>
        <v>0</v>
      </c>
      <c r="F112" s="94" t="s">
        <v>73</v>
      </c>
      <c r="G112" s="93">
        <f>SUMIFS(支出入力表!$N$6:$N$1000,支出入力表!$C$6:$C$1000,"7",支出入力表!$F$6:$F$1000,"12")</f>
        <v>0</v>
      </c>
      <c r="H112" s="94" t="s">
        <v>73</v>
      </c>
      <c r="I112" s="93">
        <f>SUMIFS(支出入力表!$O$6:$O$1000,支出入力表!$C$6:$C$1000,"7",支出入力表!$F$6:$F$1000,"12")</f>
        <v>0</v>
      </c>
      <c r="J112" s="138" t="s">
        <v>73</v>
      </c>
    </row>
    <row r="113" spans="2:14">
      <c r="B113" s="90">
        <f>団体基本情報入力!$B$21</f>
        <v>7</v>
      </c>
      <c r="C113" s="91" t="s">
        <v>61</v>
      </c>
      <c r="D113" s="92" t="s">
        <v>9</v>
      </c>
      <c r="E113" s="93">
        <f>SUMIFS(支出入力表!$M$6:$M$1000,支出入力表!$C$6:$C$1000,"7",支出入力表!$F$6:$F$1000,"13")</f>
        <v>0</v>
      </c>
      <c r="F113" s="94" t="s">
        <v>73</v>
      </c>
      <c r="G113" s="93">
        <f>SUMIFS(支出入力表!$N$6:$N$1000,支出入力表!$C$6:$C$1000,"7",支出入力表!$F$6:$F$1000,"13")</f>
        <v>0</v>
      </c>
      <c r="H113" s="94" t="s">
        <v>73</v>
      </c>
      <c r="I113" s="93">
        <f>SUMIFS(支出入力表!$O$6:$O$1000,支出入力表!$C$6:$C$1000,"7",支出入力表!$F$6:$F$1000,"13")</f>
        <v>0</v>
      </c>
      <c r="J113" s="138" t="s">
        <v>73</v>
      </c>
    </row>
    <row r="114" spans="2:14">
      <c r="B114" s="95">
        <f>団体基本情報入力!$B$21</f>
        <v>7</v>
      </c>
      <c r="C114" s="91" t="s">
        <v>47</v>
      </c>
      <c r="D114" s="92" t="s">
        <v>5</v>
      </c>
      <c r="E114" s="93">
        <f>SUMIFS(支出入力表!$M$6:$M$1000,支出入力表!$C$6:$C$1000,"7",支出入力表!$F$6:$F$1000,"14")</f>
        <v>0</v>
      </c>
      <c r="F114" s="94" t="s">
        <v>73</v>
      </c>
      <c r="G114" s="93">
        <f>SUMIFS(支出入力表!$N$6:$N$1000,支出入力表!$C$6:$C$1000,"7",支出入力表!$F$6:$F$1000,"14")</f>
        <v>0</v>
      </c>
      <c r="H114" s="94" t="s">
        <v>73</v>
      </c>
      <c r="I114" s="93">
        <f>SUMIFS(支出入力表!$O$6:$O$1000,支出入力表!$C$6:$C$1000,"7",支出入力表!$F$6:$F$1000,"14")</f>
        <v>0</v>
      </c>
      <c r="J114" s="138" t="s">
        <v>73</v>
      </c>
    </row>
    <row r="115" spans="2:14" ht="19.5" thickBot="1">
      <c r="B115" s="96">
        <f>団体基本情報入力!$B$21</f>
        <v>7</v>
      </c>
      <c r="C115" s="97" t="s">
        <v>107</v>
      </c>
      <c r="D115" s="98" t="s">
        <v>104</v>
      </c>
      <c r="E115" s="99">
        <f>SUMIFS(支出入力表!$M$6:$M$1000,支出入力表!$C$6:$C$1000,"7",支出入力表!$F$6:$F$1000,"15")</f>
        <v>0</v>
      </c>
      <c r="F115" s="100" t="s">
        <v>24</v>
      </c>
      <c r="G115" s="114" t="s">
        <v>108</v>
      </c>
      <c r="H115" s="100" t="s">
        <v>24</v>
      </c>
      <c r="I115" s="99">
        <f>SUMIFS(支出入力表!$O$6:$O$1000,支出入力表!$C$6:$C$1000,"7",支出入力表!$F$6:$F$1000,"15")</f>
        <v>0</v>
      </c>
      <c r="J115" s="139" t="s">
        <v>24</v>
      </c>
    </row>
    <row r="116" spans="2:14" ht="19.5" thickTop="1">
      <c r="B116" s="116">
        <f>団体基本情報入力!$B$21</f>
        <v>7</v>
      </c>
      <c r="C116" s="541" t="s">
        <v>184</v>
      </c>
      <c r="D116" s="541"/>
      <c r="E116" s="117">
        <f>SUM(E101:E115)</f>
        <v>0</v>
      </c>
      <c r="F116" s="118" t="s">
        <v>73</v>
      </c>
      <c r="G116" s="117">
        <f>SUM(G101:G115)</f>
        <v>0</v>
      </c>
      <c r="H116" s="118" t="s">
        <v>73</v>
      </c>
      <c r="I116" s="117">
        <f>SUM(I101:I115)</f>
        <v>0</v>
      </c>
      <c r="J116" s="140" t="s">
        <v>73</v>
      </c>
    </row>
    <row r="117" spans="2:14">
      <c r="B117" s="85">
        <f>団体基本情報入力!$B$22</f>
        <v>8</v>
      </c>
      <c r="C117" s="101" t="s">
        <v>49</v>
      </c>
      <c r="D117" s="102" t="s">
        <v>0</v>
      </c>
      <c r="E117" s="103">
        <f>SUMIFS(支出入力表!$M$6:$M$1000,支出入力表!$C$6:$C$1000,"8",支出入力表!$F$6:$F$1000,"1")</f>
        <v>0</v>
      </c>
      <c r="F117" s="104" t="s">
        <v>74</v>
      </c>
      <c r="G117" s="103">
        <f>SUMIFS(支出入力表!$N$6:$N$1000,支出入力表!$C$6:$C$1000,"8",支出入力表!$F$6:$F$1000,"1")</f>
        <v>0</v>
      </c>
      <c r="H117" s="104" t="s">
        <v>74</v>
      </c>
      <c r="I117" s="103">
        <f>SUMIFS(支出入力表!$O$6:$O$1000,支出入力表!$C$6:$C$1000,"8",支出入力表!$F$6:$F$1000,"1")</f>
        <v>0</v>
      </c>
      <c r="J117" s="141" t="s">
        <v>74</v>
      </c>
    </row>
    <row r="118" spans="2:14">
      <c r="B118" s="90">
        <f>団体基本情報入力!$B$22</f>
        <v>8</v>
      </c>
      <c r="C118" s="91" t="s">
        <v>72</v>
      </c>
      <c r="D118" s="92" t="s">
        <v>2</v>
      </c>
      <c r="E118" s="93">
        <f>SUMIFS(支出入力表!$M$6:$M$1000,支出入力表!$C$6:$C$1000,"8",支出入力表!$F$6:$F$1000,"2")</f>
        <v>0</v>
      </c>
      <c r="F118" s="94" t="s">
        <v>24</v>
      </c>
      <c r="G118" s="93">
        <f>SUMIFS(支出入力表!$N$6:$N$1000,支出入力表!$C$6:$C$1000,"8",支出入力表!$F$6:$F$1000,"2")</f>
        <v>0</v>
      </c>
      <c r="H118" s="94" t="s">
        <v>74</v>
      </c>
      <c r="I118" s="93">
        <f>SUMIFS(支出入力表!$O$6:$O$1000,支出入力表!$C$6:$C$1000,"8",支出入力表!$F$6:$F$1000,"2")</f>
        <v>0</v>
      </c>
      <c r="J118" s="138" t="s">
        <v>74</v>
      </c>
    </row>
    <row r="119" spans="2:14">
      <c r="B119" s="90">
        <f>団体基本情報入力!$B$22</f>
        <v>8</v>
      </c>
      <c r="C119" s="91" t="s">
        <v>51</v>
      </c>
      <c r="D119" s="92" t="s">
        <v>198</v>
      </c>
      <c r="E119" s="93">
        <f>SUMIFS(支出入力表!$M$6:$M$1000,支出入力表!$C$6:$C$1000,"8",支出入力表!$F$6:$F$1000,"3")</f>
        <v>0</v>
      </c>
      <c r="F119" s="94" t="s">
        <v>24</v>
      </c>
      <c r="G119" s="93">
        <f>SUMIFS(支出入力表!$N$6:$N$1000,支出入力表!$C$6:$C$1000,"8",支出入力表!$F$6:$F$1000,"3")</f>
        <v>0</v>
      </c>
      <c r="H119" s="94" t="s">
        <v>74</v>
      </c>
      <c r="I119" s="93">
        <f>SUMIFS(支出入力表!$O$6:$O$1000,支出入力表!$C$6:$C$1000,"8",支出入力表!$F$6:$F$1000,"3")</f>
        <v>0</v>
      </c>
      <c r="J119" s="138" t="s">
        <v>74</v>
      </c>
    </row>
    <row r="120" spans="2:14">
      <c r="B120" s="90">
        <f>団体基本情報入力!$B$22</f>
        <v>8</v>
      </c>
      <c r="C120" s="91" t="s">
        <v>52</v>
      </c>
      <c r="D120" s="92" t="s">
        <v>199</v>
      </c>
      <c r="E120" s="93">
        <f>SUMIFS(支出入力表!$M$6:$M$1000,支出入力表!$C$6:$C$1000,"8",支出入力表!$F$6:$F$1000,"4")</f>
        <v>0</v>
      </c>
      <c r="F120" s="94" t="s">
        <v>24</v>
      </c>
      <c r="G120" s="93">
        <f>SUMIFS(支出入力表!$N$6:$N$1000,支出入力表!$C$6:$C$1000,"8",支出入力表!$F$6:$F$1000,"4")</f>
        <v>0</v>
      </c>
      <c r="H120" s="94" t="s">
        <v>74</v>
      </c>
      <c r="I120" s="93">
        <f>SUMIFS(支出入力表!$O$6:$O$1000,支出入力表!$C$6:$C$1000,"8",支出入力表!$F$6:$F$1000,"4")</f>
        <v>0</v>
      </c>
      <c r="J120" s="138" t="s">
        <v>74</v>
      </c>
    </row>
    <row r="121" spans="2:14">
      <c r="B121" s="90">
        <f>団体基本情報入力!$B$22</f>
        <v>8</v>
      </c>
      <c r="C121" s="91" t="s">
        <v>53</v>
      </c>
      <c r="D121" s="92" t="s">
        <v>10</v>
      </c>
      <c r="E121" s="93">
        <f>SUMIFS(支出入力表!$M$6:$M$1000,支出入力表!$C$6:$C$1000,"8",支出入力表!$F$6:$F$1000,"5")</f>
        <v>0</v>
      </c>
      <c r="F121" s="94" t="s">
        <v>24</v>
      </c>
      <c r="G121" s="93">
        <f>SUMIFS(支出入力表!$N$6:$N$1000,支出入力表!$C$6:$C$1000,"8",支出入力表!$F$6:$F$1000,"5")</f>
        <v>0</v>
      </c>
      <c r="H121" s="94" t="s">
        <v>74</v>
      </c>
      <c r="I121" s="93">
        <f>SUMIFS(支出入力表!$O$6:$O$1000,支出入力表!$C$6:$C$1000,"8",支出入力表!$F$6:$F$1000,"5")</f>
        <v>0</v>
      </c>
      <c r="J121" s="138" t="s">
        <v>74</v>
      </c>
    </row>
    <row r="122" spans="2:14">
      <c r="B122" s="90">
        <f>団体基本情報入力!$B$22</f>
        <v>8</v>
      </c>
      <c r="C122" s="91" t="s">
        <v>54</v>
      </c>
      <c r="D122" s="92" t="s">
        <v>3</v>
      </c>
      <c r="E122" s="93">
        <f>SUMIFS(支出入力表!$M$6:$M$1000,支出入力表!$C$6:$C$1000,"8",支出入力表!$F$6:$F$1000,"6")</f>
        <v>0</v>
      </c>
      <c r="F122" s="94" t="s">
        <v>24</v>
      </c>
      <c r="G122" s="93">
        <f>SUMIFS(支出入力表!$N$6:$N$1000,支出入力表!$C$6:$C$1000,"8",支出入力表!$F$6:$F$1000,"6")</f>
        <v>0</v>
      </c>
      <c r="H122" s="94" t="s">
        <v>74</v>
      </c>
      <c r="I122" s="93">
        <f>SUMIFS(支出入力表!$O$6:$O$1000,支出入力表!$C$6:$C$1000,"8",支出入力表!$F$6:$F$1000,"6")</f>
        <v>0</v>
      </c>
      <c r="J122" s="138" t="s">
        <v>74</v>
      </c>
      <c r="N122" s="29"/>
    </row>
    <row r="123" spans="2:14">
      <c r="B123" s="90">
        <f>団体基本情報入力!$B$22</f>
        <v>8</v>
      </c>
      <c r="C123" s="91" t="s">
        <v>55</v>
      </c>
      <c r="D123" s="92" t="s">
        <v>7</v>
      </c>
      <c r="E123" s="93">
        <f>SUMIFS(支出入力表!$M$6:$M$1000,支出入力表!$C$6:$C$1000,"8",支出入力表!$F$6:$F$1000,"7")</f>
        <v>0</v>
      </c>
      <c r="F123" s="94" t="s">
        <v>24</v>
      </c>
      <c r="G123" s="93">
        <f>SUMIFS(支出入力表!$N$6:$N$1000,支出入力表!$C$6:$C$1000,"8",支出入力表!$F$6:$F$1000,"7")</f>
        <v>0</v>
      </c>
      <c r="H123" s="94" t="s">
        <v>74</v>
      </c>
      <c r="I123" s="93">
        <f>SUMIFS(支出入力表!$O$6:$O$1000,支出入力表!$C$6:$C$1000,"8",支出入力表!$F$6:$F$1000,"7")</f>
        <v>0</v>
      </c>
      <c r="J123" s="138" t="s">
        <v>74</v>
      </c>
    </row>
    <row r="124" spans="2:14">
      <c r="B124" s="90">
        <f>団体基本情報入力!$B$22</f>
        <v>8</v>
      </c>
      <c r="C124" s="91" t="s">
        <v>56</v>
      </c>
      <c r="D124" s="92" t="s">
        <v>1</v>
      </c>
      <c r="E124" s="93">
        <f>SUMIFS(支出入力表!$M$6:$M$1000,支出入力表!$C$6:$C$1000,"8",支出入力表!$F$6:$F$1000,"8")</f>
        <v>0</v>
      </c>
      <c r="F124" s="94" t="s">
        <v>24</v>
      </c>
      <c r="G124" s="93">
        <f>SUMIFS(支出入力表!$N$6:$N$1000,支出入力表!$C$6:$C$1000,"8",支出入力表!$F$6:$F$1000,"8")</f>
        <v>0</v>
      </c>
      <c r="H124" s="94" t="s">
        <v>74</v>
      </c>
      <c r="I124" s="93">
        <f>SUMIFS(支出入力表!$O$6:$O$1000,支出入力表!$C$6:$C$1000,"8",支出入力表!$F$6:$F$1000,"8")</f>
        <v>0</v>
      </c>
      <c r="J124" s="138" t="s">
        <v>74</v>
      </c>
    </row>
    <row r="125" spans="2:14">
      <c r="B125" s="90">
        <f>団体基本情報入力!$B$22</f>
        <v>8</v>
      </c>
      <c r="C125" s="91" t="s">
        <v>57</v>
      </c>
      <c r="D125" s="92" t="s">
        <v>4</v>
      </c>
      <c r="E125" s="93">
        <f>SUMIFS(支出入力表!$M$6:$M$1000,支出入力表!$C$6:$C$1000,"8",支出入力表!$F$6:$F$1000,"9")</f>
        <v>0</v>
      </c>
      <c r="F125" s="94" t="s">
        <v>24</v>
      </c>
      <c r="G125" s="93">
        <f>SUMIFS(支出入力表!$N$6:$N$1000,支出入力表!$C$6:$C$1000,"8",支出入力表!$F$6:$F$1000,"9")</f>
        <v>0</v>
      </c>
      <c r="H125" s="94" t="s">
        <v>74</v>
      </c>
      <c r="I125" s="93">
        <f>SUMIFS(支出入力表!$O$6:$O$1000,支出入力表!$C$6:$C$1000,"8",支出入力表!$F$6:$F$1000,"9")</f>
        <v>0</v>
      </c>
      <c r="J125" s="138" t="s">
        <v>74</v>
      </c>
    </row>
    <row r="126" spans="2:14">
      <c r="B126" s="90">
        <f>団体基本情報入力!$B$22</f>
        <v>8</v>
      </c>
      <c r="C126" s="91" t="s">
        <v>58</v>
      </c>
      <c r="D126" s="92" t="s">
        <v>8</v>
      </c>
      <c r="E126" s="93">
        <f>SUMIFS(支出入力表!$M$6:$M$1000,支出入力表!$C$6:$C$1000,"8",支出入力表!$F$6:$F$1000,"10")</f>
        <v>0</v>
      </c>
      <c r="F126" s="94" t="s">
        <v>24</v>
      </c>
      <c r="G126" s="93">
        <f>SUMIFS(支出入力表!$N$6:$N$1000,支出入力表!$C$6:$C$1000,"8",支出入力表!$F$6:$F$1000,"10")</f>
        <v>0</v>
      </c>
      <c r="H126" s="94" t="s">
        <v>74</v>
      </c>
      <c r="I126" s="93">
        <f>SUMIFS(支出入力表!$O$6:$O$1000,支出入力表!$C$6:$C$1000,"8",支出入力表!$F$6:$F$1000,"10")</f>
        <v>0</v>
      </c>
      <c r="J126" s="138" t="s">
        <v>74</v>
      </c>
    </row>
    <row r="127" spans="2:14">
      <c r="B127" s="90">
        <f>団体基本情報入力!$B$22</f>
        <v>8</v>
      </c>
      <c r="C127" s="91" t="s">
        <v>59</v>
      </c>
      <c r="D127" s="92" t="s">
        <v>11</v>
      </c>
      <c r="E127" s="93">
        <f>SUMIFS(支出入力表!$M$6:$M$1000,支出入力表!$C$6:$C$1000,"8",支出入力表!$F$6:$F$1000,"11")</f>
        <v>0</v>
      </c>
      <c r="F127" s="94" t="s">
        <v>24</v>
      </c>
      <c r="G127" s="93">
        <f>SUMIFS(支出入力表!$N$6:$N$1000,支出入力表!$C$6:$C$1000,"8",支出入力表!$F$6:$F$1000,"11")</f>
        <v>0</v>
      </c>
      <c r="H127" s="94" t="s">
        <v>74</v>
      </c>
      <c r="I127" s="93">
        <f>SUMIFS(支出入力表!$O$6:$O$1000,支出入力表!$C$6:$C$1000,"8",支出入力表!$F$6:$F$1000,"11")</f>
        <v>0</v>
      </c>
      <c r="J127" s="138" t="s">
        <v>74</v>
      </c>
    </row>
    <row r="128" spans="2:14">
      <c r="B128" s="90">
        <f>団体基本情報入力!$B$22</f>
        <v>8</v>
      </c>
      <c r="C128" s="91" t="s">
        <v>60</v>
      </c>
      <c r="D128" s="92" t="s">
        <v>12</v>
      </c>
      <c r="E128" s="93">
        <f>SUMIFS(支出入力表!$M$6:$M$1000,支出入力表!$C$6:$C$1000,"8",支出入力表!$F$6:$F$1000,"12")</f>
        <v>0</v>
      </c>
      <c r="F128" s="94" t="s">
        <v>24</v>
      </c>
      <c r="G128" s="93">
        <f>SUMIFS(支出入力表!$N$6:$N$1000,支出入力表!$C$6:$C$1000,"8",支出入力表!$F$6:$F$1000,"12")</f>
        <v>0</v>
      </c>
      <c r="H128" s="94" t="s">
        <v>74</v>
      </c>
      <c r="I128" s="93">
        <f>SUMIFS(支出入力表!$O$6:$O$1000,支出入力表!$C$6:$C$1000,"8",支出入力表!$F$6:$F$1000,"12")</f>
        <v>0</v>
      </c>
      <c r="J128" s="138" t="s">
        <v>74</v>
      </c>
    </row>
    <row r="129" spans="2:10">
      <c r="B129" s="90">
        <f>団体基本情報入力!$B$22</f>
        <v>8</v>
      </c>
      <c r="C129" s="91" t="s">
        <v>61</v>
      </c>
      <c r="D129" s="92" t="s">
        <v>9</v>
      </c>
      <c r="E129" s="93">
        <f>SUMIFS(支出入力表!$M$6:$M$1000,支出入力表!$C$6:$C$1000,"8",支出入力表!$F$6:$F$1000,"13")</f>
        <v>0</v>
      </c>
      <c r="F129" s="94" t="s">
        <v>24</v>
      </c>
      <c r="G129" s="93">
        <f>SUMIFS(支出入力表!$N$6:$N$1000,支出入力表!$C$6:$C$1000,"8",支出入力表!$F$6:$F$1000,"13")</f>
        <v>0</v>
      </c>
      <c r="H129" s="94" t="s">
        <v>74</v>
      </c>
      <c r="I129" s="93">
        <f>SUMIFS(支出入力表!$O$6:$O$1000,支出入力表!$C$6:$C$1000,"8",支出入力表!$F$6:$F$1000,"13")</f>
        <v>0</v>
      </c>
      <c r="J129" s="138" t="s">
        <v>74</v>
      </c>
    </row>
    <row r="130" spans="2:10">
      <c r="B130" s="95">
        <f>団体基本情報入力!$B$22</f>
        <v>8</v>
      </c>
      <c r="C130" s="91" t="s">
        <v>47</v>
      </c>
      <c r="D130" s="92" t="s">
        <v>5</v>
      </c>
      <c r="E130" s="93">
        <f>SUMIFS(支出入力表!$M$6:$M$1000,支出入力表!$C$6:$C$1000,"8",支出入力表!$F$6:$F$1000,"14")</f>
        <v>0</v>
      </c>
      <c r="F130" s="94" t="s">
        <v>24</v>
      </c>
      <c r="G130" s="93">
        <f>SUMIFS(支出入力表!$N$6:$N$1000,支出入力表!$C$6:$C$1000,"8",支出入力表!$F$6:$F$1000,"14")</f>
        <v>0</v>
      </c>
      <c r="H130" s="94" t="s">
        <v>74</v>
      </c>
      <c r="I130" s="93">
        <f>SUMIFS(支出入力表!$O$6:$O$1000,支出入力表!$C$6:$C$1000,"8",支出入力表!$F$6:$F$1000,"14")</f>
        <v>0</v>
      </c>
      <c r="J130" s="138" t="s">
        <v>74</v>
      </c>
    </row>
    <row r="131" spans="2:10" ht="19.5" thickBot="1">
      <c r="B131" s="96">
        <f>団体基本情報入力!$B$22</f>
        <v>8</v>
      </c>
      <c r="C131" s="97" t="s">
        <v>107</v>
      </c>
      <c r="D131" s="98" t="s">
        <v>104</v>
      </c>
      <c r="E131" s="99">
        <f>SUMIFS(支出入力表!$M$6:$M$1000,支出入力表!$C$6:$C$1000,"8",支出入力表!$F$6:$F$1000,"15")</f>
        <v>0</v>
      </c>
      <c r="F131" s="100" t="s">
        <v>24</v>
      </c>
      <c r="G131" s="114" t="s">
        <v>108</v>
      </c>
      <c r="H131" s="100" t="s">
        <v>24</v>
      </c>
      <c r="I131" s="99">
        <f>SUMIFS(支出入力表!$O$6:$O$1000,支出入力表!$C$6:$C$1000,"8",支出入力表!$F$6:$F$1000,"15")</f>
        <v>0</v>
      </c>
      <c r="J131" s="139" t="s">
        <v>24</v>
      </c>
    </row>
    <row r="132" spans="2:10" ht="19.5" thickTop="1">
      <c r="B132" s="116">
        <f>団体基本情報入力!$B$22</f>
        <v>8</v>
      </c>
      <c r="C132" s="541" t="s">
        <v>185</v>
      </c>
      <c r="D132" s="541"/>
      <c r="E132" s="117">
        <f>SUM(E117:E131)</f>
        <v>0</v>
      </c>
      <c r="F132" s="118" t="s">
        <v>74</v>
      </c>
      <c r="G132" s="117">
        <f>SUM(G117:G131)</f>
        <v>0</v>
      </c>
      <c r="H132" s="118" t="s">
        <v>74</v>
      </c>
      <c r="I132" s="117">
        <f>SUM(I117:I131)</f>
        <v>0</v>
      </c>
      <c r="J132" s="140" t="s">
        <v>74</v>
      </c>
    </row>
    <row r="133" spans="2:10">
      <c r="B133" s="85">
        <f>団体基本情報入力!$B$23</f>
        <v>9</v>
      </c>
      <c r="C133" s="101" t="s">
        <v>49</v>
      </c>
      <c r="D133" s="102" t="s">
        <v>0</v>
      </c>
      <c r="E133" s="103">
        <f>SUMIFS(支出入力表!$M$6:$M$1000,支出入力表!$C$6:$C$1000,"9",支出入力表!$F$6:$F$1000,"1")</f>
        <v>0</v>
      </c>
      <c r="F133" s="104" t="s">
        <v>74</v>
      </c>
      <c r="G133" s="103">
        <f>SUMIFS(支出入力表!$N$6:$N$1000,支出入力表!$C$6:$C$1000,"9",支出入力表!$F$6:$F$1000,"1")</f>
        <v>0</v>
      </c>
      <c r="H133" s="104" t="s">
        <v>74</v>
      </c>
      <c r="I133" s="103">
        <f>SUMIFS(支出入力表!$O$6:$O$1000,支出入力表!$C$6:$C$1000,"9",支出入力表!$F$6:$F$1000,"1")</f>
        <v>0</v>
      </c>
      <c r="J133" s="141" t="s">
        <v>74</v>
      </c>
    </row>
    <row r="134" spans="2:10">
      <c r="B134" s="90">
        <f>団体基本情報入力!$B$23</f>
        <v>9</v>
      </c>
      <c r="C134" s="91" t="s">
        <v>50</v>
      </c>
      <c r="D134" s="92" t="s">
        <v>2</v>
      </c>
      <c r="E134" s="93">
        <f>SUMIFS(支出入力表!$M$6:$M$1000,支出入力表!$C$6:$C$1000,"9",支出入力表!$F$6:$F$1000,"2")</f>
        <v>0</v>
      </c>
      <c r="F134" s="94" t="s">
        <v>74</v>
      </c>
      <c r="G134" s="93">
        <f>SUMIFS(支出入力表!$N$6:$N$1000,支出入力表!$C$6:$C$1000,"9",支出入力表!$F$6:$F$1000,"2")</f>
        <v>0</v>
      </c>
      <c r="H134" s="94" t="s">
        <v>74</v>
      </c>
      <c r="I134" s="93">
        <f>SUMIFS(支出入力表!$O$6:$O$1000,支出入力表!$C$6:$C$1000,"9",支出入力表!$F$6:$F$1000,"2")</f>
        <v>0</v>
      </c>
      <c r="J134" s="138" t="s">
        <v>74</v>
      </c>
    </row>
    <row r="135" spans="2:10">
      <c r="B135" s="90">
        <f>団体基本情報入力!$B$23</f>
        <v>9</v>
      </c>
      <c r="C135" s="91" t="s">
        <v>51</v>
      </c>
      <c r="D135" s="92" t="s">
        <v>198</v>
      </c>
      <c r="E135" s="93">
        <f>SUMIFS(支出入力表!$M$6:$M$1000,支出入力表!$C$6:$C$1000,"9",支出入力表!$F$6:$F$1000,"3")</f>
        <v>0</v>
      </c>
      <c r="F135" s="94" t="s">
        <v>74</v>
      </c>
      <c r="G135" s="93">
        <f>SUMIFS(支出入力表!$N$6:$N$1000,支出入力表!$C$6:$C$1000,"9",支出入力表!$F$6:$F$1000,"3")</f>
        <v>0</v>
      </c>
      <c r="H135" s="94" t="s">
        <v>74</v>
      </c>
      <c r="I135" s="93">
        <f>SUMIFS(支出入力表!$O$6:$O$1000,支出入力表!$C$6:$C$1000,"9",支出入力表!$F$6:$F$1000,"3")</f>
        <v>0</v>
      </c>
      <c r="J135" s="138" t="s">
        <v>74</v>
      </c>
    </row>
    <row r="136" spans="2:10">
      <c r="B136" s="90">
        <f>団体基本情報入力!$B$23</f>
        <v>9</v>
      </c>
      <c r="C136" s="91" t="s">
        <v>52</v>
      </c>
      <c r="D136" s="92" t="s">
        <v>199</v>
      </c>
      <c r="E136" s="93">
        <f>SUMIFS(支出入力表!$M$6:$M$1000,支出入力表!$C$6:$C$1000,"9",支出入力表!$F$6:$F$1000,"4")</f>
        <v>0</v>
      </c>
      <c r="F136" s="94" t="s">
        <v>74</v>
      </c>
      <c r="G136" s="93">
        <f>SUMIFS(支出入力表!$N$6:$N$1000,支出入力表!$C$6:$C$1000,"9",支出入力表!$F$6:$F$1000,"4")</f>
        <v>0</v>
      </c>
      <c r="H136" s="94" t="s">
        <v>74</v>
      </c>
      <c r="I136" s="93">
        <f>SUMIFS(支出入力表!$O$6:$O$1000,支出入力表!$C$6:$C$1000,"9",支出入力表!$F$6:$F$1000,"4")</f>
        <v>0</v>
      </c>
      <c r="J136" s="138" t="s">
        <v>74</v>
      </c>
    </row>
    <row r="137" spans="2:10">
      <c r="B137" s="90">
        <f>団体基本情報入力!$B$23</f>
        <v>9</v>
      </c>
      <c r="C137" s="91" t="s">
        <v>53</v>
      </c>
      <c r="D137" s="92" t="s">
        <v>10</v>
      </c>
      <c r="E137" s="93">
        <f>SUMIFS(支出入力表!$M$6:$M$1000,支出入力表!$C$6:$C$1000,"9",支出入力表!$F$6:$F$1000,"5")</f>
        <v>0</v>
      </c>
      <c r="F137" s="94" t="s">
        <v>74</v>
      </c>
      <c r="G137" s="93">
        <f>SUMIFS(支出入力表!$N$6:$N$1000,支出入力表!$C$6:$C$1000,"9",支出入力表!$F$6:$F$1000,"5")</f>
        <v>0</v>
      </c>
      <c r="H137" s="94" t="s">
        <v>74</v>
      </c>
      <c r="I137" s="93">
        <f>SUMIFS(支出入力表!$O$6:$O$1000,支出入力表!$C$6:$C$1000,"9",支出入力表!$F$6:$F$1000,"5")</f>
        <v>0</v>
      </c>
      <c r="J137" s="138" t="s">
        <v>74</v>
      </c>
    </row>
    <row r="138" spans="2:10">
      <c r="B138" s="90">
        <f>団体基本情報入力!$B$23</f>
        <v>9</v>
      </c>
      <c r="C138" s="91" t="s">
        <v>54</v>
      </c>
      <c r="D138" s="92" t="s">
        <v>3</v>
      </c>
      <c r="E138" s="93">
        <f>SUMIFS(支出入力表!$M$6:$M$1000,支出入力表!$C$6:$C$1000,"9",支出入力表!$F$6:$F$1000,"6")</f>
        <v>0</v>
      </c>
      <c r="F138" s="94" t="s">
        <v>74</v>
      </c>
      <c r="G138" s="93">
        <f>SUMIFS(支出入力表!$N$6:$N$1000,支出入力表!$C$6:$C$1000,"9",支出入力表!$F$6:$F$1000,"6")</f>
        <v>0</v>
      </c>
      <c r="H138" s="94" t="s">
        <v>74</v>
      </c>
      <c r="I138" s="93">
        <f>SUMIFS(支出入力表!$O$6:$O$1000,支出入力表!$C$6:$C$1000,"9",支出入力表!$F$6:$F$1000,"6")</f>
        <v>0</v>
      </c>
      <c r="J138" s="138" t="s">
        <v>74</v>
      </c>
    </row>
    <row r="139" spans="2:10">
      <c r="B139" s="90">
        <f>団体基本情報入力!$B$23</f>
        <v>9</v>
      </c>
      <c r="C139" s="91" t="s">
        <v>55</v>
      </c>
      <c r="D139" s="92" t="s">
        <v>7</v>
      </c>
      <c r="E139" s="93">
        <f>SUMIFS(支出入力表!$M$6:$M$1000,支出入力表!$C$6:$C$1000,"9",支出入力表!$F$6:$F$1000,"7")</f>
        <v>0</v>
      </c>
      <c r="F139" s="94" t="s">
        <v>74</v>
      </c>
      <c r="G139" s="93">
        <f>SUMIFS(支出入力表!$N$6:$N$1000,支出入力表!$C$6:$C$1000,"9",支出入力表!$F$6:$F$1000,"7")</f>
        <v>0</v>
      </c>
      <c r="H139" s="94" t="s">
        <v>74</v>
      </c>
      <c r="I139" s="93">
        <f>SUMIFS(支出入力表!$O$6:$O$1000,支出入力表!$C$6:$C$1000,"9",支出入力表!$F$6:$F$1000,"7")</f>
        <v>0</v>
      </c>
      <c r="J139" s="138" t="s">
        <v>74</v>
      </c>
    </row>
    <row r="140" spans="2:10">
      <c r="B140" s="90">
        <f>団体基本情報入力!$B$23</f>
        <v>9</v>
      </c>
      <c r="C140" s="91" t="s">
        <v>56</v>
      </c>
      <c r="D140" s="92" t="s">
        <v>1</v>
      </c>
      <c r="E140" s="93">
        <f>SUMIFS(支出入力表!$M$6:$M$1000,支出入力表!$C$6:$C$1000,"9",支出入力表!$F$6:$F$1000,"8")</f>
        <v>0</v>
      </c>
      <c r="F140" s="94" t="s">
        <v>74</v>
      </c>
      <c r="G140" s="93">
        <f>SUMIFS(支出入力表!$N$6:$N$1000,支出入力表!$C$6:$C$1000,"9",支出入力表!$F$6:$F$1000,"8")</f>
        <v>0</v>
      </c>
      <c r="H140" s="94" t="s">
        <v>74</v>
      </c>
      <c r="I140" s="93">
        <f>SUMIFS(支出入力表!$O$6:$O$1000,支出入力表!$C$6:$C$1000,"9",支出入力表!$F$6:$F$1000,"8")</f>
        <v>0</v>
      </c>
      <c r="J140" s="138" t="s">
        <v>74</v>
      </c>
    </row>
    <row r="141" spans="2:10">
      <c r="B141" s="90">
        <f>団体基本情報入力!$B$23</f>
        <v>9</v>
      </c>
      <c r="C141" s="91" t="s">
        <v>57</v>
      </c>
      <c r="D141" s="92" t="s">
        <v>4</v>
      </c>
      <c r="E141" s="93">
        <f>SUMIFS(支出入力表!$M$6:$M$1000,支出入力表!$C$6:$C$1000,"9",支出入力表!$F$6:$F$1000,"9")</f>
        <v>0</v>
      </c>
      <c r="F141" s="94" t="s">
        <v>74</v>
      </c>
      <c r="G141" s="93">
        <f>SUMIFS(支出入力表!$N$6:$N$1000,支出入力表!$C$6:$C$1000,"9",支出入力表!$F$6:$F$1000,"9")</f>
        <v>0</v>
      </c>
      <c r="H141" s="94" t="s">
        <v>74</v>
      </c>
      <c r="I141" s="93">
        <f>SUMIFS(支出入力表!$O$6:$O$1000,支出入力表!$C$6:$C$1000,"9",支出入力表!$F$6:$F$1000,"9")</f>
        <v>0</v>
      </c>
      <c r="J141" s="138" t="s">
        <v>74</v>
      </c>
    </row>
    <row r="142" spans="2:10">
      <c r="B142" s="90">
        <f>団体基本情報入力!$B$23</f>
        <v>9</v>
      </c>
      <c r="C142" s="91" t="s">
        <v>58</v>
      </c>
      <c r="D142" s="92" t="s">
        <v>8</v>
      </c>
      <c r="E142" s="93">
        <f>SUMIFS(支出入力表!$M$6:$M$1000,支出入力表!$C$6:$C$1000,"9",支出入力表!$F$6:$F$1000,"10")</f>
        <v>0</v>
      </c>
      <c r="F142" s="94" t="s">
        <v>74</v>
      </c>
      <c r="G142" s="93">
        <f>SUMIFS(支出入力表!$N$6:$N$1000,支出入力表!$C$6:$C$1000,"9",支出入力表!$F$6:$F$1000,"10")</f>
        <v>0</v>
      </c>
      <c r="H142" s="94" t="s">
        <v>74</v>
      </c>
      <c r="I142" s="93">
        <f>SUMIFS(支出入力表!$O$6:$O$1000,支出入力表!$C$6:$C$1000,"9",支出入力表!$F$6:$F$1000,"10")</f>
        <v>0</v>
      </c>
      <c r="J142" s="138" t="s">
        <v>74</v>
      </c>
    </row>
    <row r="143" spans="2:10">
      <c r="B143" s="90">
        <f>団体基本情報入力!$B$23</f>
        <v>9</v>
      </c>
      <c r="C143" s="91" t="s">
        <v>59</v>
      </c>
      <c r="D143" s="92" t="s">
        <v>11</v>
      </c>
      <c r="E143" s="93">
        <f>SUMIFS(支出入力表!$M$6:$M$1000,支出入力表!$C$6:$C$1000,"9",支出入力表!$F$6:$F$1000,"11")</f>
        <v>0</v>
      </c>
      <c r="F143" s="94" t="s">
        <v>74</v>
      </c>
      <c r="G143" s="93">
        <f>SUMIFS(支出入力表!$N$6:$N$1000,支出入力表!$C$6:$C$1000,"9",支出入力表!$F$6:$F$1000,"11")</f>
        <v>0</v>
      </c>
      <c r="H143" s="94" t="s">
        <v>74</v>
      </c>
      <c r="I143" s="93">
        <f>SUMIFS(支出入力表!$O$6:$O$1000,支出入力表!$C$6:$C$1000,"9",支出入力表!$F$6:$F$1000,"11")</f>
        <v>0</v>
      </c>
      <c r="J143" s="138" t="s">
        <v>74</v>
      </c>
    </row>
    <row r="144" spans="2:10">
      <c r="B144" s="90">
        <f>団体基本情報入力!$B$23</f>
        <v>9</v>
      </c>
      <c r="C144" s="91" t="s">
        <v>60</v>
      </c>
      <c r="D144" s="92" t="s">
        <v>12</v>
      </c>
      <c r="E144" s="93">
        <f>SUMIFS(支出入力表!$M$6:$M$1000,支出入力表!$C$6:$C$1000,"9",支出入力表!$F$6:$F$1000,"12")</f>
        <v>0</v>
      </c>
      <c r="F144" s="94" t="s">
        <v>74</v>
      </c>
      <c r="G144" s="93">
        <f>SUMIFS(支出入力表!$N$6:$N$1000,支出入力表!$C$6:$C$1000,"9",支出入力表!$F$6:$F$1000,"12")</f>
        <v>0</v>
      </c>
      <c r="H144" s="94" t="s">
        <v>74</v>
      </c>
      <c r="I144" s="93">
        <f>SUMIFS(支出入力表!$O$6:$O$1000,支出入力表!$C$6:$C$1000,"9",支出入力表!$F$6:$F$1000,"12")</f>
        <v>0</v>
      </c>
      <c r="J144" s="138" t="s">
        <v>74</v>
      </c>
    </row>
    <row r="145" spans="2:10">
      <c r="B145" s="90">
        <f>団体基本情報入力!$B$23</f>
        <v>9</v>
      </c>
      <c r="C145" s="91" t="s">
        <v>61</v>
      </c>
      <c r="D145" s="92" t="s">
        <v>9</v>
      </c>
      <c r="E145" s="93">
        <f>SUMIFS(支出入力表!$M$6:$M$1000,支出入力表!$C$6:$C$1000,"9",支出入力表!$F$6:$F$1000,"13")</f>
        <v>0</v>
      </c>
      <c r="F145" s="94" t="s">
        <v>74</v>
      </c>
      <c r="G145" s="93">
        <f>SUMIFS(支出入力表!$N$6:$N$1000,支出入力表!$C$6:$C$1000,"9",支出入力表!$F$6:$F$1000,"13")</f>
        <v>0</v>
      </c>
      <c r="H145" s="94" t="s">
        <v>74</v>
      </c>
      <c r="I145" s="93">
        <f>SUMIFS(支出入力表!$O$6:$O$1000,支出入力表!$C$6:$C$1000,"9",支出入力表!$F$6:$F$1000,"13")</f>
        <v>0</v>
      </c>
      <c r="J145" s="138" t="s">
        <v>74</v>
      </c>
    </row>
    <row r="146" spans="2:10">
      <c r="B146" s="95">
        <f>団体基本情報入力!$B$23</f>
        <v>9</v>
      </c>
      <c r="C146" s="91" t="s">
        <v>47</v>
      </c>
      <c r="D146" s="92" t="s">
        <v>5</v>
      </c>
      <c r="E146" s="93">
        <f>SUMIFS(支出入力表!$M$6:$M$1000,支出入力表!$C$6:$C$1000,"9",支出入力表!$F$6:$F$1000,"14")</f>
        <v>0</v>
      </c>
      <c r="F146" s="94" t="s">
        <v>74</v>
      </c>
      <c r="G146" s="93">
        <f>SUMIFS(支出入力表!$N$6:$N$1000,支出入力表!$C$6:$C$1000,"9",支出入力表!$F$6:$F$1000,"14")</f>
        <v>0</v>
      </c>
      <c r="H146" s="94" t="s">
        <v>74</v>
      </c>
      <c r="I146" s="93">
        <f>SUMIFS(支出入力表!$O$6:$O$1000,支出入力表!$C$6:$C$1000,"9",支出入力表!$F$6:$F$1000,"14")</f>
        <v>0</v>
      </c>
      <c r="J146" s="138" t="s">
        <v>74</v>
      </c>
    </row>
    <row r="147" spans="2:10" ht="19.5" thickBot="1">
      <c r="B147" s="96">
        <f>団体基本情報入力!$B$23</f>
        <v>9</v>
      </c>
      <c r="C147" s="97" t="s">
        <v>107</v>
      </c>
      <c r="D147" s="98" t="s">
        <v>104</v>
      </c>
      <c r="E147" s="99">
        <f>SUMIFS(支出入力表!$M$6:$M$1000,支出入力表!$C$6:$C$1000,"9",支出入力表!$F$6:$F$1000,"15")</f>
        <v>0</v>
      </c>
      <c r="F147" s="100" t="s">
        <v>24</v>
      </c>
      <c r="G147" s="114" t="s">
        <v>108</v>
      </c>
      <c r="H147" s="100" t="s">
        <v>24</v>
      </c>
      <c r="I147" s="99">
        <f>SUMIFS(支出入力表!$O$6:$O$1000,支出入力表!$C$6:$C$1000,"9",支出入力表!$F$6:$F$1000,"15")</f>
        <v>0</v>
      </c>
      <c r="J147" s="139" t="s">
        <v>24</v>
      </c>
    </row>
    <row r="148" spans="2:10" ht="19.5" thickTop="1">
      <c r="B148" s="116">
        <f>団体基本情報入力!$B$23</f>
        <v>9</v>
      </c>
      <c r="C148" s="541" t="s">
        <v>186</v>
      </c>
      <c r="D148" s="541"/>
      <c r="E148" s="117">
        <f>SUM(E133:E147)</f>
        <v>0</v>
      </c>
      <c r="F148" s="118" t="s">
        <v>74</v>
      </c>
      <c r="G148" s="117">
        <f>SUM(G133:G147)</f>
        <v>0</v>
      </c>
      <c r="H148" s="118" t="s">
        <v>74</v>
      </c>
      <c r="I148" s="117">
        <f>SUM(I133:I147)</f>
        <v>0</v>
      </c>
      <c r="J148" s="140" t="s">
        <v>74</v>
      </c>
    </row>
    <row r="149" spans="2:10">
      <c r="B149" s="85">
        <f>団体基本情報入力!$B$24</f>
        <v>10</v>
      </c>
      <c r="C149" s="101" t="s">
        <v>49</v>
      </c>
      <c r="D149" s="102" t="s">
        <v>0</v>
      </c>
      <c r="E149" s="103">
        <f>SUMIFS(支出入力表!$M$6:$M$1000,支出入力表!$C$6:$C$1000,"10",支出入力表!$F$6:$F$1000,"1")</f>
        <v>0</v>
      </c>
      <c r="F149" s="104" t="s">
        <v>74</v>
      </c>
      <c r="G149" s="103">
        <f>SUMIFS(支出入力表!$N$6:$N$1000,支出入力表!$C$6:$C$1000,"10",支出入力表!$F$6:$F$1000,"1")</f>
        <v>0</v>
      </c>
      <c r="H149" s="104" t="s">
        <v>74</v>
      </c>
      <c r="I149" s="103">
        <f>SUMIFS(支出入力表!$O$6:$O$1000,支出入力表!$C$6:$C$1000,"10",支出入力表!$F$6:$F$1000,"1")</f>
        <v>0</v>
      </c>
      <c r="J149" s="141" t="s">
        <v>74</v>
      </c>
    </row>
    <row r="150" spans="2:10">
      <c r="B150" s="90">
        <f>団体基本情報入力!$B$24</f>
        <v>10</v>
      </c>
      <c r="C150" s="91" t="s">
        <v>50</v>
      </c>
      <c r="D150" s="92" t="s">
        <v>2</v>
      </c>
      <c r="E150" s="93">
        <f>SUMIFS(支出入力表!$M$6:$M$1000,支出入力表!$C$6:$C$1000,"10",支出入力表!$F$6:$F$1000,"2")</f>
        <v>0</v>
      </c>
      <c r="F150" s="94" t="s">
        <v>74</v>
      </c>
      <c r="G150" s="93">
        <f>SUMIFS(支出入力表!$N$6:$N$1000,支出入力表!$C$6:$C$1000,"10",支出入力表!$F$6:$F$1000,"2")</f>
        <v>0</v>
      </c>
      <c r="H150" s="94" t="s">
        <v>74</v>
      </c>
      <c r="I150" s="93">
        <f>SUMIFS(支出入力表!$O$6:$O$1000,支出入力表!$C$6:$C$1000,"10",支出入力表!$F$6:$F$1000,"2")</f>
        <v>0</v>
      </c>
      <c r="J150" s="138" t="s">
        <v>74</v>
      </c>
    </row>
    <row r="151" spans="2:10">
      <c r="B151" s="90">
        <f>団体基本情報入力!$B$24</f>
        <v>10</v>
      </c>
      <c r="C151" s="105" t="s">
        <v>67</v>
      </c>
      <c r="D151" s="78" t="s">
        <v>198</v>
      </c>
      <c r="E151" s="106">
        <f>SUMIFS(支出入力表!$M$6:$M$1000,支出入力表!$C$6:$C$1000,"10",支出入力表!$F$6:$F$1000,"3")</f>
        <v>0</v>
      </c>
      <c r="F151" s="107" t="s">
        <v>74</v>
      </c>
      <c r="G151" s="106">
        <f>SUMIFS(支出入力表!$N$6:$N$1000,支出入力表!$C$6:$C$1000,"10",支出入力表!$F$6:$F$1000,"3")</f>
        <v>0</v>
      </c>
      <c r="H151" s="107" t="s">
        <v>74</v>
      </c>
      <c r="I151" s="106">
        <f>SUMIFS(支出入力表!$O$6:$O$1000,支出入力表!$C$6:$C$1000,"10",支出入力表!$F$6:$F$1000,"3")</f>
        <v>0</v>
      </c>
      <c r="J151" s="142" t="s">
        <v>74</v>
      </c>
    </row>
    <row r="152" spans="2:10">
      <c r="B152" s="90">
        <f>団体基本情報入力!$B$24</f>
        <v>10</v>
      </c>
      <c r="C152" s="105" t="s">
        <v>52</v>
      </c>
      <c r="D152" s="78" t="s">
        <v>199</v>
      </c>
      <c r="E152" s="106">
        <f>SUMIFS(支出入力表!$M$6:$M$1000,支出入力表!$C$6:$C$1000,"10",支出入力表!$F$6:$F$1000,"4")</f>
        <v>0</v>
      </c>
      <c r="F152" s="107" t="s">
        <v>74</v>
      </c>
      <c r="G152" s="106">
        <f>SUMIFS(支出入力表!$N$6:$N$1000,支出入力表!$C$6:$C$1000,"10",支出入力表!$F$6:$F$1000,"4")</f>
        <v>0</v>
      </c>
      <c r="H152" s="107" t="s">
        <v>74</v>
      </c>
      <c r="I152" s="106">
        <f>SUMIFS(支出入力表!$O$6:$O$1000,支出入力表!$C$6:$C$1000,"10",支出入力表!$F$6:$F$1000,"4")</f>
        <v>0</v>
      </c>
      <c r="J152" s="142" t="s">
        <v>74</v>
      </c>
    </row>
    <row r="153" spans="2:10">
      <c r="B153" s="90">
        <f>団体基本情報入力!$B$24</f>
        <v>10</v>
      </c>
      <c r="C153" s="105" t="s">
        <v>53</v>
      </c>
      <c r="D153" s="78" t="s">
        <v>10</v>
      </c>
      <c r="E153" s="106">
        <f>SUMIFS(支出入力表!$M$6:$M$1000,支出入力表!$C$6:$C$1000,"10",支出入力表!$F$6:$F$1000,"5")</f>
        <v>0</v>
      </c>
      <c r="F153" s="107" t="s">
        <v>74</v>
      </c>
      <c r="G153" s="106">
        <f>SUMIFS(支出入力表!$N$6:$N$1000,支出入力表!$C$6:$C$1000,"10",支出入力表!$F$6:$F$1000,"5")</f>
        <v>0</v>
      </c>
      <c r="H153" s="107" t="s">
        <v>74</v>
      </c>
      <c r="I153" s="106">
        <f>SUMIFS(支出入力表!$O$6:$O$1000,支出入力表!$C$6:$C$1000,"10",支出入力表!$F$6:$F$1000,"5")</f>
        <v>0</v>
      </c>
      <c r="J153" s="142" t="s">
        <v>74</v>
      </c>
    </row>
    <row r="154" spans="2:10">
      <c r="B154" s="90">
        <f>団体基本情報入力!$B$24</f>
        <v>10</v>
      </c>
      <c r="C154" s="105" t="s">
        <v>54</v>
      </c>
      <c r="D154" s="78" t="s">
        <v>3</v>
      </c>
      <c r="E154" s="106">
        <f>SUMIFS(支出入力表!$M$6:$M$1000,支出入力表!$C$6:$C$1000,"10",支出入力表!$F$6:$F$1000,"6")</f>
        <v>0</v>
      </c>
      <c r="F154" s="107" t="s">
        <v>74</v>
      </c>
      <c r="G154" s="106">
        <f>SUMIFS(支出入力表!$N$6:$N$1000,支出入力表!$C$6:$C$1000,"10",支出入力表!$F$6:$F$1000,"6")</f>
        <v>0</v>
      </c>
      <c r="H154" s="107" t="s">
        <v>74</v>
      </c>
      <c r="I154" s="106">
        <f>SUMIFS(支出入力表!$O$6:$O$1000,支出入力表!$C$6:$C$1000,"10",支出入力表!$F$6:$F$1000,"6")</f>
        <v>0</v>
      </c>
      <c r="J154" s="142" t="s">
        <v>74</v>
      </c>
    </row>
    <row r="155" spans="2:10">
      <c r="B155" s="90">
        <f>団体基本情報入力!$B$24</f>
        <v>10</v>
      </c>
      <c r="C155" s="105" t="s">
        <v>55</v>
      </c>
      <c r="D155" s="78" t="s">
        <v>7</v>
      </c>
      <c r="E155" s="106">
        <f>SUMIFS(支出入力表!$M$6:$M$1000,支出入力表!$C$6:$C$1000,"10",支出入力表!$F$6:$F$1000,"7")</f>
        <v>0</v>
      </c>
      <c r="F155" s="107" t="s">
        <v>74</v>
      </c>
      <c r="G155" s="106">
        <f>SUMIFS(支出入力表!$N$6:$N$1000,支出入力表!$C$6:$C$1000,"10",支出入力表!$F$6:$F$1000,"7")</f>
        <v>0</v>
      </c>
      <c r="H155" s="107" t="s">
        <v>74</v>
      </c>
      <c r="I155" s="106">
        <f>SUMIFS(支出入力表!$O$6:$O$1000,支出入力表!$C$6:$C$1000,"10",支出入力表!$F$6:$F$1000,"7")</f>
        <v>0</v>
      </c>
      <c r="J155" s="142" t="s">
        <v>74</v>
      </c>
    </row>
    <row r="156" spans="2:10">
      <c r="B156" s="90">
        <f>団体基本情報入力!$B$24</f>
        <v>10</v>
      </c>
      <c r="C156" s="105" t="s">
        <v>56</v>
      </c>
      <c r="D156" s="78" t="s">
        <v>1</v>
      </c>
      <c r="E156" s="106">
        <f>SUMIFS(支出入力表!$M$6:$M$1000,支出入力表!$C$6:$C$1000,"10",支出入力表!$F$6:$F$1000,"8")</f>
        <v>0</v>
      </c>
      <c r="F156" s="107" t="s">
        <v>74</v>
      </c>
      <c r="G156" s="106">
        <f>SUMIFS(支出入力表!$N$6:$N$1000,支出入力表!$C$6:$C$1000,"10",支出入力表!$F$6:$F$1000,"8")</f>
        <v>0</v>
      </c>
      <c r="H156" s="107" t="s">
        <v>74</v>
      </c>
      <c r="I156" s="106">
        <f>SUMIFS(支出入力表!$O$6:$O$1000,支出入力表!$C$6:$C$1000,"10",支出入力表!$F$6:$F$1000,"8")</f>
        <v>0</v>
      </c>
      <c r="J156" s="142" t="s">
        <v>74</v>
      </c>
    </row>
    <row r="157" spans="2:10">
      <c r="B157" s="90">
        <f>団体基本情報入力!$B$24</f>
        <v>10</v>
      </c>
      <c r="C157" s="105" t="s">
        <v>57</v>
      </c>
      <c r="D157" s="78" t="s">
        <v>4</v>
      </c>
      <c r="E157" s="106">
        <f>SUMIFS(支出入力表!$M$6:$M$1000,支出入力表!$C$6:$C$1000,"10",支出入力表!$F$6:$F$1000,"9")</f>
        <v>0</v>
      </c>
      <c r="F157" s="107" t="s">
        <v>74</v>
      </c>
      <c r="G157" s="106">
        <f>SUMIFS(支出入力表!$N$6:$N$1000,支出入力表!$C$6:$C$1000,"10",支出入力表!$F$6:$F$1000,"9")</f>
        <v>0</v>
      </c>
      <c r="H157" s="107" t="s">
        <v>74</v>
      </c>
      <c r="I157" s="106">
        <f>SUMIFS(支出入力表!$O$6:$O$1000,支出入力表!$C$6:$C$1000,"10",支出入力表!$F$6:$F$1000,"9")</f>
        <v>0</v>
      </c>
      <c r="J157" s="142" t="s">
        <v>74</v>
      </c>
    </row>
    <row r="158" spans="2:10">
      <c r="B158" s="90">
        <f>団体基本情報入力!$B$24</f>
        <v>10</v>
      </c>
      <c r="C158" s="105" t="s">
        <v>58</v>
      </c>
      <c r="D158" s="78" t="s">
        <v>8</v>
      </c>
      <c r="E158" s="106">
        <f>SUMIFS(支出入力表!$M$6:$M$1000,支出入力表!$C$6:$C$1000,"10",支出入力表!$F$6:$F$1000,"10")</f>
        <v>0</v>
      </c>
      <c r="F158" s="107" t="s">
        <v>74</v>
      </c>
      <c r="G158" s="106">
        <f>SUMIFS(支出入力表!$N$6:$N$1000,支出入力表!$C$6:$C$1000,"10",支出入力表!$F$6:$F$1000,"10")</f>
        <v>0</v>
      </c>
      <c r="H158" s="107" t="s">
        <v>74</v>
      </c>
      <c r="I158" s="106">
        <f>SUMIFS(支出入力表!$O$6:$O$1000,支出入力表!$C$6:$C$1000,"10",支出入力表!$F$6:$F$1000,"10")</f>
        <v>0</v>
      </c>
      <c r="J158" s="142" t="s">
        <v>74</v>
      </c>
    </row>
    <row r="159" spans="2:10">
      <c r="B159" s="90">
        <f>団体基本情報入力!$B$24</f>
        <v>10</v>
      </c>
      <c r="C159" s="105" t="s">
        <v>59</v>
      </c>
      <c r="D159" s="78" t="s">
        <v>11</v>
      </c>
      <c r="E159" s="106">
        <f>SUMIFS(支出入力表!$M$6:$M$1000,支出入力表!$C$6:$C$1000,"10",支出入力表!$F$6:$F$1000,"11")</f>
        <v>0</v>
      </c>
      <c r="F159" s="107" t="s">
        <v>74</v>
      </c>
      <c r="G159" s="106">
        <f>SUMIFS(支出入力表!$N$6:$N$1000,支出入力表!$C$6:$C$1000,"10",支出入力表!$F$6:$F$1000,"11")</f>
        <v>0</v>
      </c>
      <c r="H159" s="107" t="s">
        <v>74</v>
      </c>
      <c r="I159" s="106">
        <f>SUMIFS(支出入力表!$O$6:$O$1000,支出入力表!$C$6:$C$1000,"10",支出入力表!$F$6:$F$1000,"11")</f>
        <v>0</v>
      </c>
      <c r="J159" s="142" t="s">
        <v>74</v>
      </c>
    </row>
    <row r="160" spans="2:10">
      <c r="B160" s="90">
        <f>団体基本情報入力!$B$24</f>
        <v>10</v>
      </c>
      <c r="C160" s="105" t="s">
        <v>60</v>
      </c>
      <c r="D160" s="78" t="s">
        <v>12</v>
      </c>
      <c r="E160" s="106">
        <f>SUMIFS(支出入力表!$M$6:$M$1000,支出入力表!$C$6:$C$1000,"10",支出入力表!$F$6:$F$1000,"12")</f>
        <v>0</v>
      </c>
      <c r="F160" s="107" t="s">
        <v>74</v>
      </c>
      <c r="G160" s="106">
        <f>SUMIFS(支出入力表!$N$6:$N$1000,支出入力表!$C$6:$C$1000,"10",支出入力表!$F$6:$F$1000,"12")</f>
        <v>0</v>
      </c>
      <c r="H160" s="107" t="s">
        <v>74</v>
      </c>
      <c r="I160" s="106">
        <f>SUMIFS(支出入力表!$O$6:$O$1000,支出入力表!$C$6:$C$1000,"10",支出入力表!$F$6:$F$1000,"12")</f>
        <v>0</v>
      </c>
      <c r="J160" s="142" t="s">
        <v>74</v>
      </c>
    </row>
    <row r="161" spans="2:10">
      <c r="B161" s="90">
        <f>団体基本情報入力!$B$24</f>
        <v>10</v>
      </c>
      <c r="C161" s="105" t="s">
        <v>61</v>
      </c>
      <c r="D161" s="78" t="s">
        <v>9</v>
      </c>
      <c r="E161" s="106">
        <f>SUMIFS(支出入力表!$M$6:$M$1000,支出入力表!$C$6:$C$1000,"10",支出入力表!$F$6:$F$1000,"13")</f>
        <v>0</v>
      </c>
      <c r="F161" s="107" t="s">
        <v>74</v>
      </c>
      <c r="G161" s="106">
        <f>SUMIFS(支出入力表!$N$6:$N$1000,支出入力表!$C$6:$C$1000,"10",支出入力表!$F$6:$F$1000,"13")</f>
        <v>0</v>
      </c>
      <c r="H161" s="107" t="s">
        <v>74</v>
      </c>
      <c r="I161" s="106">
        <f>SUMIFS(支出入力表!$O$6:$O$1000,支出入力表!$C$6:$C$1000,"10",支出入力表!$F$6:$F$1000,"13")</f>
        <v>0</v>
      </c>
      <c r="J161" s="142" t="s">
        <v>74</v>
      </c>
    </row>
    <row r="162" spans="2:10">
      <c r="B162" s="95">
        <f>団体基本情報入力!$B$24</f>
        <v>10</v>
      </c>
      <c r="C162" s="105" t="s">
        <v>47</v>
      </c>
      <c r="D162" s="78" t="s">
        <v>5</v>
      </c>
      <c r="E162" s="106">
        <f>SUMIFS(支出入力表!$M$6:$M$1000,支出入力表!$C$6:$C$1000,"10",支出入力表!$F$6:$F$1000,"14")</f>
        <v>0</v>
      </c>
      <c r="F162" s="107" t="s">
        <v>74</v>
      </c>
      <c r="G162" s="106">
        <f>SUMIFS(支出入力表!$N$6:$N$1000,支出入力表!$C$6:$C$1000,"10",支出入力表!$F$6:$F$1000,"14")</f>
        <v>0</v>
      </c>
      <c r="H162" s="107" t="s">
        <v>74</v>
      </c>
      <c r="I162" s="106">
        <f>SUMIFS(支出入力表!$O$6:$O$1000,支出入力表!$C$6:$C$1000,"10",支出入力表!$F$6:$F$1000,"14")</f>
        <v>0</v>
      </c>
      <c r="J162" s="142" t="s">
        <v>74</v>
      </c>
    </row>
    <row r="163" spans="2:10" ht="19.5" thickBot="1">
      <c r="B163" s="96">
        <f>団体基本情報入力!$B$24</f>
        <v>10</v>
      </c>
      <c r="C163" s="108" t="s">
        <v>107</v>
      </c>
      <c r="D163" s="79" t="s">
        <v>104</v>
      </c>
      <c r="E163" s="109">
        <f>SUMIFS(支出入力表!$M$6:$M$1000,支出入力表!$C$6:$C$1000,"10",支出入力表!$F$6:$F$1000,"15")</f>
        <v>0</v>
      </c>
      <c r="F163" s="110" t="s">
        <v>24</v>
      </c>
      <c r="G163" s="115" t="s">
        <v>108</v>
      </c>
      <c r="H163" s="110" t="s">
        <v>24</v>
      </c>
      <c r="I163" s="109">
        <f>SUMIFS(支出入力表!$O$6:$O$1000,支出入力表!$C$6:$C$1000,"10",支出入力表!$F$6:$F$1000,"15")</f>
        <v>0</v>
      </c>
      <c r="J163" s="143" t="s">
        <v>24</v>
      </c>
    </row>
    <row r="164" spans="2:10" ht="20.25" thickTop="1" thickBot="1">
      <c r="B164" s="119">
        <f>団体基本情報入力!$B$24</f>
        <v>10</v>
      </c>
      <c r="C164" s="542" t="s">
        <v>187</v>
      </c>
      <c r="D164" s="542"/>
      <c r="E164" s="120">
        <f>SUM(E149:E163)</f>
        <v>0</v>
      </c>
      <c r="F164" s="121" t="s">
        <v>74</v>
      </c>
      <c r="G164" s="120">
        <f>SUM(G149:G163)</f>
        <v>0</v>
      </c>
      <c r="H164" s="121" t="s">
        <v>74</v>
      </c>
      <c r="I164" s="120">
        <f>SUM(I149:I163)</f>
        <v>0</v>
      </c>
      <c r="J164" s="144" t="s">
        <v>74</v>
      </c>
    </row>
    <row r="165" spans="2:10" ht="20.25" thickTop="1" thickBot="1">
      <c r="B165" s="539" t="s">
        <v>44</v>
      </c>
      <c r="C165" s="540"/>
      <c r="D165" s="540"/>
      <c r="E165" s="112">
        <f>SUBTOTAL(9,E20,E36,E52,E68,E84,E100,E116,E132,E148,E164)</f>
        <v>0</v>
      </c>
      <c r="F165" s="111" t="s">
        <v>24</v>
      </c>
      <c r="G165" s="112">
        <f>SUBTOTAL(9,G20,G36,G52,G68,G84,G100,G116,G132,G148,G164)</f>
        <v>0</v>
      </c>
      <c r="H165" s="111" t="s">
        <v>24</v>
      </c>
      <c r="I165" s="112">
        <f>SUBTOTAL(9,I20,I36,I52,I68,I84,I100,I116,I132,I148,I164)</f>
        <v>0</v>
      </c>
      <c r="J165" s="145" t="s">
        <v>24</v>
      </c>
    </row>
  </sheetData>
  <sheetProtection autoFilter="0"/>
  <autoFilter ref="B4:J164" xr:uid="{00000000-0009-0000-0000-000009000000}">
    <filterColumn colId="1" showButton="0"/>
    <filterColumn colId="3" showButton="0"/>
    <filterColumn colId="5" showButton="0"/>
    <filterColumn colId="7" showButton="0"/>
  </autoFilter>
  <mergeCells count="17">
    <mergeCell ref="E2:H2"/>
    <mergeCell ref="D1:J1"/>
    <mergeCell ref="C116:D116"/>
    <mergeCell ref="E4:F4"/>
    <mergeCell ref="G4:H4"/>
    <mergeCell ref="I4:J4"/>
    <mergeCell ref="C4:D4"/>
    <mergeCell ref="B165:D165"/>
    <mergeCell ref="C132:D132"/>
    <mergeCell ref="C148:D148"/>
    <mergeCell ref="C164:D164"/>
    <mergeCell ref="C20:D20"/>
    <mergeCell ref="C36:D36"/>
    <mergeCell ref="C52:D52"/>
    <mergeCell ref="C68:D68"/>
    <mergeCell ref="C84:D84"/>
    <mergeCell ref="C100:D100"/>
  </mergeCells>
  <phoneticPr fontId="4"/>
  <dataValidations count="1">
    <dataValidation allowBlank="1" showErrorMessage="1" sqref="C4:D19 E4:J165 C21:D164 B4:B165" xr:uid="{00000000-0002-0000-0900-000000000000}"/>
  </dataValidations>
  <hyperlinks>
    <hyperlink ref="B1" location="メニュー画面!B6" display="メニュー画面へ" xr:uid="{00000000-0004-0000-0900-000000000000}"/>
    <hyperlink ref="B2" location="支出入力表!B5" display="支出入力表へ" xr:uid="{00000000-0004-0000-0900-000001000000}"/>
  </hyperlinks>
  <pageMargins left="0.7" right="0.7" top="0.75" bottom="0.75" header="0.3" footer="0.3"/>
  <pageSetup paperSize="9" scale="8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2C163-2D5C-4AEF-B703-168B4DFF8395}">
  <sheetPr codeName="Sheet5"/>
  <dimension ref="A1:AB85"/>
  <sheetViews>
    <sheetView showGridLines="0" view="pageBreakPreview" zoomScale="80" zoomScaleNormal="100" zoomScaleSheetLayoutView="80" workbookViewId="0">
      <selection activeCell="L4" sqref="L4:M4"/>
    </sheetView>
  </sheetViews>
  <sheetFormatPr defaultRowHeight="18.75"/>
  <cols>
    <col min="1" max="1" width="2.125" style="247" customWidth="1"/>
    <col min="2" max="2" width="3.125" style="247" customWidth="1"/>
    <col min="3" max="3" width="4.125" style="247" customWidth="1"/>
    <col min="4" max="4" width="6.625" style="247" customWidth="1"/>
    <col min="5" max="5" width="3.625" style="247" customWidth="1"/>
    <col min="6" max="6" width="10" style="247" customWidth="1"/>
    <col min="7" max="7" width="3.625" style="247" customWidth="1"/>
    <col min="8" max="8" width="9.125" style="247" customWidth="1"/>
    <col min="9" max="9" width="3.125" style="247" customWidth="1"/>
    <col min="10" max="10" width="7.625" style="247" customWidth="1"/>
    <col min="11" max="11" width="6.875" style="247" customWidth="1"/>
    <col min="12" max="12" width="7.125" style="247" customWidth="1"/>
    <col min="13" max="13" width="4.625" style="247" customWidth="1"/>
    <col min="14" max="14" width="3.5" style="247" customWidth="1"/>
    <col min="15" max="15" width="4.125" style="247" customWidth="1"/>
    <col min="16" max="16" width="5.125" style="247" customWidth="1"/>
    <col min="17" max="17" width="5.625" style="247" customWidth="1"/>
    <col min="18" max="18" width="4.125" style="247" customWidth="1"/>
    <col min="19" max="19" width="5.625" style="247" customWidth="1"/>
    <col min="20" max="20" width="3" style="247" customWidth="1"/>
    <col min="21" max="22" width="3" style="245" customWidth="1"/>
    <col min="23" max="16384" width="9" style="245"/>
  </cols>
  <sheetData>
    <row r="1" spans="1:28" ht="22.35" customHeight="1">
      <c r="A1" s="248"/>
      <c r="B1" s="577" t="s">
        <v>254</v>
      </c>
      <c r="C1" s="577"/>
      <c r="D1" s="577"/>
      <c r="E1" s="248"/>
      <c r="F1" s="248"/>
      <c r="G1" s="248"/>
      <c r="H1" s="248"/>
      <c r="I1" s="248"/>
      <c r="J1" s="248"/>
      <c r="K1" s="248"/>
      <c r="L1" s="248"/>
      <c r="M1" s="248"/>
      <c r="N1" s="248"/>
      <c r="O1" s="248"/>
      <c r="P1" s="248"/>
      <c r="Q1" s="248"/>
      <c r="R1" s="248"/>
      <c r="S1" s="248"/>
      <c r="U1" s="2"/>
      <c r="V1" s="2"/>
      <c r="W1" s="2"/>
      <c r="X1" s="2"/>
      <c r="Y1" s="2"/>
      <c r="Z1" s="2"/>
      <c r="AA1" s="2"/>
      <c r="AB1" s="2"/>
    </row>
    <row r="2" spans="1:28" ht="15.6" customHeight="1">
      <c r="A2" s="248"/>
      <c r="F2" s="248"/>
      <c r="G2" s="248"/>
      <c r="H2" s="248"/>
      <c r="I2" s="248"/>
      <c r="J2" s="248"/>
      <c r="K2" s="248"/>
      <c r="L2" s="248"/>
      <c r="M2" s="586" t="s">
        <v>17</v>
      </c>
      <c r="N2" s="587"/>
      <c r="O2" s="588">
        <f>団体基本情報入力!D4</f>
        <v>0</v>
      </c>
      <c r="P2" s="589"/>
      <c r="Q2" s="589"/>
      <c r="R2" s="590"/>
      <c r="S2" s="248"/>
      <c r="U2" s="2"/>
      <c r="V2" s="2"/>
      <c r="W2" s="2"/>
      <c r="X2" s="2"/>
      <c r="Y2" s="2"/>
      <c r="Z2" s="2"/>
      <c r="AA2" s="2"/>
      <c r="AB2" s="2"/>
    </row>
    <row r="3" spans="1:28" ht="15.6" customHeight="1">
      <c r="A3" s="248"/>
      <c r="B3" s="15"/>
      <c r="C3" s="15"/>
      <c r="D3" s="248"/>
      <c r="E3" s="248"/>
      <c r="F3" s="248"/>
      <c r="G3" s="248"/>
      <c r="H3" s="248"/>
      <c r="I3" s="248"/>
      <c r="J3" s="248"/>
      <c r="K3" s="248"/>
      <c r="L3" s="248"/>
      <c r="M3" s="16"/>
      <c r="N3" s="16"/>
      <c r="O3" s="16"/>
      <c r="P3" s="16"/>
      <c r="Q3" s="16"/>
      <c r="R3" s="16"/>
      <c r="S3" s="248"/>
      <c r="U3" s="2"/>
      <c r="V3" s="2"/>
      <c r="W3" s="2"/>
      <c r="X3" s="2"/>
      <c r="Y3" s="2"/>
      <c r="Z3" s="2"/>
      <c r="AA3" s="2"/>
      <c r="AB3" s="2"/>
    </row>
    <row r="4" spans="1:28">
      <c r="A4" s="13"/>
      <c r="B4" s="13"/>
      <c r="C4" s="13"/>
      <c r="D4" s="13"/>
      <c r="E4" s="13"/>
      <c r="F4" s="13"/>
      <c r="G4" s="13"/>
      <c r="H4" s="13"/>
      <c r="I4" s="13"/>
      <c r="J4" s="13"/>
      <c r="K4" s="281"/>
      <c r="L4" s="591"/>
      <c r="M4" s="591"/>
      <c r="N4" s="13" t="s">
        <v>18</v>
      </c>
      <c r="O4" s="282"/>
      <c r="P4" s="280" t="s">
        <v>19</v>
      </c>
      <c r="Q4" s="282"/>
      <c r="R4" s="280" t="s">
        <v>20</v>
      </c>
      <c r="S4" s="13"/>
      <c r="U4" s="2"/>
      <c r="V4" s="2"/>
      <c r="W4" s="2"/>
      <c r="X4" s="2"/>
      <c r="Y4" s="2"/>
      <c r="Z4" s="2"/>
      <c r="AA4" s="2"/>
      <c r="AB4" s="2"/>
    </row>
    <row r="5" spans="1:28">
      <c r="A5" s="13"/>
      <c r="B5" s="13"/>
      <c r="C5" s="13"/>
      <c r="D5" s="13"/>
      <c r="E5" s="13"/>
      <c r="F5" s="13"/>
      <c r="G5" s="13"/>
      <c r="H5" s="13"/>
      <c r="I5" s="13"/>
      <c r="J5" s="13"/>
      <c r="K5" s="13"/>
      <c r="L5" s="13"/>
      <c r="M5" s="13"/>
      <c r="N5" s="13"/>
      <c r="O5" s="13"/>
      <c r="P5" s="13"/>
      <c r="Q5" s="13"/>
      <c r="R5" s="13"/>
      <c r="S5" s="13"/>
      <c r="U5" s="2"/>
      <c r="V5" s="2"/>
      <c r="W5" s="2"/>
      <c r="X5" s="2"/>
      <c r="Y5" s="2"/>
      <c r="Z5" s="2"/>
      <c r="AA5" s="2"/>
      <c r="AB5" s="2"/>
    </row>
    <row r="6" spans="1:28">
      <c r="A6" s="13"/>
      <c r="B6" s="13"/>
      <c r="C6" s="13"/>
      <c r="D6" s="13"/>
      <c r="E6" s="13"/>
      <c r="F6" s="13"/>
      <c r="G6" s="13"/>
      <c r="H6" s="13"/>
      <c r="I6" s="13"/>
      <c r="J6" s="13"/>
      <c r="K6" s="13"/>
      <c r="L6" s="13"/>
      <c r="M6" s="13"/>
      <c r="N6" s="13"/>
      <c r="O6" s="13"/>
      <c r="P6" s="13"/>
      <c r="Q6" s="13"/>
      <c r="R6" s="13"/>
      <c r="S6" s="13"/>
      <c r="U6" s="2"/>
      <c r="V6" s="2"/>
      <c r="W6" s="2"/>
      <c r="X6" s="2"/>
      <c r="Y6" s="2"/>
      <c r="Z6" s="2"/>
      <c r="AA6" s="2"/>
      <c r="AB6" s="2"/>
    </row>
    <row r="7" spans="1:28">
      <c r="A7" s="13"/>
      <c r="B7" s="577" t="s">
        <v>21</v>
      </c>
      <c r="C7" s="577"/>
      <c r="D7" s="577"/>
      <c r="E7" s="577"/>
      <c r="F7" s="577"/>
      <c r="G7" s="577"/>
      <c r="H7" s="577"/>
      <c r="I7" s="13"/>
      <c r="J7" s="13"/>
      <c r="K7" s="13"/>
      <c r="L7" s="13"/>
      <c r="M7" s="13"/>
      <c r="N7" s="13"/>
      <c r="O7" s="13"/>
      <c r="P7" s="13"/>
      <c r="Q7" s="13"/>
      <c r="R7" s="13"/>
      <c r="S7" s="13"/>
      <c r="U7" s="2"/>
      <c r="V7" s="2"/>
      <c r="W7" s="2"/>
      <c r="X7" s="2"/>
      <c r="Y7" s="2"/>
      <c r="Z7" s="2"/>
      <c r="AA7" s="2"/>
      <c r="AB7" s="2"/>
    </row>
    <row r="8" spans="1:28">
      <c r="A8" s="13"/>
      <c r="B8" s="13"/>
      <c r="C8" s="13"/>
      <c r="D8" s="13"/>
      <c r="E8" s="13"/>
      <c r="F8" s="13"/>
      <c r="G8" s="13"/>
      <c r="H8" s="13"/>
      <c r="I8" s="13"/>
      <c r="J8" s="13"/>
      <c r="K8" s="17" t="s">
        <v>42</v>
      </c>
      <c r="L8" s="585">
        <f>団体基本情報入力!D8</f>
        <v>0</v>
      </c>
      <c r="M8" s="585"/>
      <c r="N8" s="585"/>
      <c r="O8" s="284"/>
      <c r="P8" s="284"/>
      <c r="Q8" s="284"/>
      <c r="R8" s="284"/>
      <c r="S8" s="284"/>
      <c r="U8" s="2"/>
      <c r="V8" s="2"/>
      <c r="W8" s="2"/>
      <c r="X8" s="2"/>
      <c r="Y8" s="2"/>
      <c r="Z8" s="2"/>
      <c r="AA8" s="2"/>
      <c r="AB8" s="2"/>
    </row>
    <row r="9" spans="1:28" ht="40.35" customHeight="1">
      <c r="A9" s="19"/>
      <c r="B9" s="19"/>
      <c r="C9" s="19"/>
      <c r="D9" s="19"/>
      <c r="E9" s="19"/>
      <c r="F9" s="19"/>
      <c r="G9" s="19"/>
      <c r="H9" s="19"/>
      <c r="I9" s="19"/>
      <c r="J9" s="583" t="s">
        <v>77</v>
      </c>
      <c r="K9" s="583"/>
      <c r="L9" s="584">
        <f>団体基本情報入力!D9</f>
        <v>0</v>
      </c>
      <c r="M9" s="584"/>
      <c r="N9" s="584"/>
      <c r="O9" s="584"/>
      <c r="P9" s="584"/>
      <c r="Q9" s="584"/>
      <c r="R9" s="584"/>
      <c r="S9" s="584"/>
      <c r="U9" s="2"/>
      <c r="V9" s="2"/>
      <c r="W9" s="2"/>
      <c r="X9" s="2"/>
      <c r="Y9" s="2"/>
      <c r="Z9" s="2"/>
      <c r="AA9" s="2"/>
      <c r="AB9" s="2"/>
    </row>
    <row r="10" spans="1:28" ht="40.35" customHeight="1">
      <c r="A10" s="13"/>
      <c r="B10" s="13"/>
      <c r="C10" s="13"/>
      <c r="D10" s="13"/>
      <c r="E10" s="13"/>
      <c r="F10" s="13"/>
      <c r="G10" s="13"/>
      <c r="H10" s="13"/>
      <c r="I10" s="19"/>
      <c r="J10" s="583" t="s">
        <v>78</v>
      </c>
      <c r="K10" s="583"/>
      <c r="L10" s="584">
        <f>団体基本情報入力!D7</f>
        <v>0</v>
      </c>
      <c r="M10" s="584"/>
      <c r="N10" s="584"/>
      <c r="O10" s="584"/>
      <c r="P10" s="584"/>
      <c r="Q10" s="584"/>
      <c r="R10" s="584"/>
      <c r="S10" s="584"/>
      <c r="U10" s="2"/>
      <c r="V10" s="2"/>
      <c r="W10" s="2"/>
      <c r="X10" s="2"/>
      <c r="Y10" s="2"/>
      <c r="Z10" s="2"/>
      <c r="AA10" s="2"/>
      <c r="AB10" s="2"/>
    </row>
    <row r="11" spans="1:28">
      <c r="A11" s="13"/>
      <c r="B11" s="13"/>
      <c r="C11" s="13"/>
      <c r="D11" s="13"/>
      <c r="E11" s="13"/>
      <c r="F11" s="13"/>
      <c r="G11" s="13"/>
      <c r="H11" s="13"/>
      <c r="I11" s="19"/>
      <c r="J11" s="583" t="s">
        <v>15</v>
      </c>
      <c r="K11" s="583"/>
      <c r="L11" s="585">
        <f>団体基本情報入力!D10</f>
        <v>0</v>
      </c>
      <c r="M11" s="585"/>
      <c r="N11" s="585"/>
      <c r="O11" s="585"/>
      <c r="P11" s="585"/>
      <c r="Q11" s="585"/>
      <c r="R11" s="284"/>
      <c r="S11" s="284"/>
      <c r="U11" s="2"/>
      <c r="V11" s="2"/>
      <c r="W11" s="2"/>
      <c r="X11" s="2"/>
      <c r="Y11" s="2"/>
      <c r="Z11" s="2"/>
      <c r="AA11" s="2"/>
      <c r="AB11" s="2"/>
    </row>
    <row r="12" spans="1:28">
      <c r="A12" s="13"/>
      <c r="B12" s="13"/>
      <c r="C12" s="13"/>
      <c r="D12" s="13"/>
      <c r="E12" s="13"/>
      <c r="F12" s="13"/>
      <c r="G12" s="13"/>
      <c r="H12" s="13"/>
      <c r="I12" s="19"/>
      <c r="J12" s="583" t="s">
        <v>79</v>
      </c>
      <c r="K12" s="583"/>
      <c r="L12" s="585">
        <f>団体基本情報入力!D11</f>
        <v>0</v>
      </c>
      <c r="M12" s="585"/>
      <c r="N12" s="585"/>
      <c r="O12" s="585"/>
      <c r="P12" s="585"/>
      <c r="Q12" s="585"/>
      <c r="R12" s="285"/>
      <c r="S12" s="284"/>
      <c r="U12" s="2"/>
      <c r="V12" s="2"/>
      <c r="W12" s="2"/>
      <c r="X12" s="2"/>
      <c r="Y12" s="2"/>
      <c r="Z12" s="2"/>
      <c r="AA12" s="2"/>
      <c r="AB12" s="2"/>
    </row>
    <row r="13" spans="1:28">
      <c r="A13" s="13"/>
      <c r="B13" s="13"/>
      <c r="C13" s="13"/>
      <c r="D13" s="13"/>
      <c r="E13" s="13"/>
      <c r="F13" s="13"/>
      <c r="G13" s="13"/>
      <c r="H13" s="13"/>
      <c r="I13" s="13"/>
      <c r="J13" s="13"/>
      <c r="K13" s="13"/>
      <c r="L13" s="13"/>
      <c r="M13" s="13"/>
      <c r="N13" s="13"/>
      <c r="O13" s="13"/>
      <c r="P13" s="13"/>
      <c r="Q13" s="13"/>
      <c r="R13" s="13"/>
      <c r="S13" s="13"/>
      <c r="U13" s="2"/>
      <c r="V13" s="2"/>
      <c r="W13" s="2"/>
      <c r="X13" s="2"/>
      <c r="Y13" s="2"/>
      <c r="Z13" s="2"/>
      <c r="AA13" s="2"/>
      <c r="AB13" s="2"/>
    </row>
    <row r="14" spans="1:28">
      <c r="A14" s="581" t="s">
        <v>286</v>
      </c>
      <c r="B14" s="581"/>
      <c r="C14" s="581"/>
      <c r="D14" s="581"/>
      <c r="E14" s="581"/>
      <c r="F14" s="581"/>
      <c r="G14" s="581"/>
      <c r="H14" s="581"/>
      <c r="I14" s="581"/>
      <c r="J14" s="581"/>
      <c r="K14" s="581"/>
      <c r="L14" s="581"/>
      <c r="M14" s="581"/>
      <c r="N14" s="581"/>
      <c r="O14" s="581"/>
      <c r="P14" s="581"/>
      <c r="Q14" s="581"/>
      <c r="R14" s="581"/>
      <c r="S14" s="581"/>
      <c r="T14" s="581"/>
      <c r="U14" s="2"/>
      <c r="V14" s="2"/>
      <c r="W14" s="2"/>
      <c r="X14" s="2"/>
      <c r="Y14" s="2"/>
      <c r="Z14" s="2"/>
      <c r="AA14" s="2"/>
      <c r="AB14" s="2"/>
    </row>
    <row r="15" spans="1:28">
      <c r="A15" s="13"/>
      <c r="B15" s="13"/>
      <c r="C15" s="13"/>
      <c r="D15" s="13"/>
      <c r="E15" s="13"/>
      <c r="F15" s="13"/>
      <c r="G15" s="13"/>
      <c r="H15" s="13"/>
      <c r="I15" s="13"/>
      <c r="J15" s="13"/>
      <c r="K15" s="13"/>
      <c r="L15" s="13"/>
      <c r="M15" s="13"/>
      <c r="N15" s="13"/>
      <c r="O15" s="13"/>
      <c r="P15" s="13"/>
      <c r="Q15" s="13"/>
      <c r="R15" s="13"/>
      <c r="S15" s="13"/>
      <c r="U15" s="2"/>
      <c r="V15" s="2"/>
      <c r="W15" s="2"/>
      <c r="X15" s="2"/>
      <c r="Y15" s="2"/>
      <c r="Z15" s="2"/>
      <c r="AA15" s="2"/>
      <c r="AB15" s="2"/>
    </row>
    <row r="16" spans="1:28">
      <c r="A16" s="13"/>
      <c r="B16" s="13"/>
      <c r="C16" s="13"/>
      <c r="D16" s="577" t="s">
        <v>80</v>
      </c>
      <c r="E16" s="577"/>
      <c r="F16" s="577"/>
      <c r="G16" s="577"/>
      <c r="H16" s="577"/>
      <c r="I16" s="13"/>
      <c r="J16" s="13"/>
      <c r="K16" s="13"/>
      <c r="L16" s="13"/>
      <c r="M16" s="13"/>
      <c r="N16" s="13"/>
      <c r="O16" s="13"/>
      <c r="P16" s="13"/>
      <c r="Q16" s="13"/>
      <c r="R16" s="13"/>
      <c r="S16" s="13"/>
      <c r="U16" s="2"/>
      <c r="V16" s="2"/>
      <c r="W16" s="2"/>
      <c r="X16" s="2"/>
      <c r="Y16" s="2"/>
      <c r="Z16" s="2"/>
      <c r="AA16" s="2"/>
      <c r="AB16" s="2"/>
    </row>
    <row r="17" spans="1:28">
      <c r="A17" s="13"/>
      <c r="B17" s="13"/>
      <c r="C17" s="13"/>
      <c r="D17" s="13"/>
      <c r="E17" s="13"/>
      <c r="F17" s="13"/>
      <c r="G17" s="13"/>
      <c r="H17" s="13"/>
      <c r="I17" s="13"/>
      <c r="J17" s="13"/>
      <c r="K17" s="13"/>
      <c r="L17" s="13"/>
      <c r="M17" s="13"/>
      <c r="N17" s="13"/>
      <c r="O17" s="13"/>
      <c r="P17" s="13"/>
      <c r="Q17" s="13"/>
      <c r="R17" s="13"/>
      <c r="S17" s="13"/>
      <c r="U17" s="2"/>
      <c r="V17" s="2"/>
      <c r="W17" s="2"/>
      <c r="X17" s="2"/>
      <c r="Y17" s="2"/>
      <c r="Z17" s="2"/>
      <c r="AA17" s="2"/>
      <c r="AB17" s="2"/>
    </row>
    <row r="18" spans="1:28" ht="26.1" customHeight="1">
      <c r="A18" s="13"/>
      <c r="B18" s="13"/>
      <c r="C18" s="577" t="s">
        <v>122</v>
      </c>
      <c r="D18" s="577"/>
      <c r="E18" s="577"/>
      <c r="F18" s="582">
        <f>団体基本情報入力!D14</f>
        <v>0</v>
      </c>
      <c r="G18" s="582"/>
      <c r="H18" s="582"/>
      <c r="I18" s="582"/>
      <c r="J18" s="582"/>
      <c r="K18" s="582"/>
      <c r="L18" s="582"/>
      <c r="M18" s="582"/>
      <c r="N18" s="582"/>
      <c r="O18" s="582"/>
      <c r="P18" s="582"/>
      <c r="Q18" s="582"/>
      <c r="R18" s="582"/>
      <c r="S18" s="13"/>
      <c r="U18" s="2"/>
      <c r="V18" s="2"/>
      <c r="W18" s="2"/>
      <c r="X18" s="2"/>
      <c r="Y18" s="2"/>
      <c r="Z18" s="2"/>
      <c r="AA18" s="2"/>
      <c r="AB18" s="2"/>
    </row>
    <row r="19" spans="1:28">
      <c r="A19" s="13"/>
      <c r="B19" s="13"/>
      <c r="C19" s="13"/>
      <c r="D19" s="13"/>
      <c r="E19" s="13"/>
      <c r="F19" s="13"/>
      <c r="G19" s="13"/>
      <c r="H19" s="13"/>
      <c r="I19" s="13"/>
      <c r="J19" s="13"/>
      <c r="K19" s="13"/>
      <c r="L19" s="13"/>
      <c r="M19" s="13"/>
      <c r="N19" s="13"/>
      <c r="O19" s="13"/>
      <c r="P19" s="13"/>
      <c r="Q19" s="13"/>
      <c r="R19" s="13"/>
      <c r="S19" s="13"/>
      <c r="U19" s="2"/>
      <c r="V19" s="2"/>
      <c r="W19" s="2"/>
      <c r="X19" s="2"/>
      <c r="Y19" s="2"/>
      <c r="Z19" s="2"/>
      <c r="AA19" s="2"/>
      <c r="AB19" s="2"/>
    </row>
    <row r="20" spans="1:28">
      <c r="A20" s="13"/>
      <c r="B20" s="13"/>
      <c r="C20" s="577" t="s">
        <v>121</v>
      </c>
      <c r="D20" s="577"/>
      <c r="E20" s="577"/>
      <c r="F20" s="580">
        <f>N24</f>
        <v>0</v>
      </c>
      <c r="G20" s="580"/>
      <c r="H20" s="13" t="s">
        <v>22</v>
      </c>
      <c r="I20" s="13"/>
      <c r="J20" s="13"/>
      <c r="K20" s="13"/>
      <c r="L20" s="13"/>
      <c r="M20" s="13"/>
      <c r="N20" s="13"/>
      <c r="O20" s="13"/>
      <c r="P20" s="13"/>
      <c r="Q20" s="13"/>
      <c r="R20" s="13"/>
      <c r="S20" s="13"/>
      <c r="U20" s="2"/>
      <c r="V20" s="2"/>
      <c r="W20" s="2"/>
      <c r="X20" s="2"/>
      <c r="Y20" s="2"/>
      <c r="Z20" s="2"/>
      <c r="AA20" s="2"/>
      <c r="AB20" s="2"/>
    </row>
    <row r="21" spans="1:28">
      <c r="A21" s="13"/>
      <c r="B21" s="13"/>
      <c r="C21" s="13"/>
      <c r="D21" s="13"/>
      <c r="E21" s="13"/>
      <c r="F21" s="13"/>
      <c r="G21" s="13"/>
      <c r="H21" s="13"/>
      <c r="I21" s="13"/>
      <c r="J21" s="13"/>
      <c r="K21" s="13"/>
      <c r="L21" s="13"/>
      <c r="M21" s="13"/>
      <c r="N21" s="13"/>
      <c r="O21" s="13"/>
      <c r="P21" s="13"/>
      <c r="Q21" s="13"/>
      <c r="R21" s="13"/>
      <c r="S21" s="13"/>
      <c r="U21" s="2"/>
      <c r="V21" s="2"/>
      <c r="W21" s="2"/>
      <c r="X21" s="2"/>
      <c r="Y21" s="2"/>
      <c r="Z21" s="2"/>
      <c r="AA21" s="2"/>
      <c r="AB21" s="2"/>
    </row>
    <row r="22" spans="1:28">
      <c r="A22" s="13"/>
      <c r="B22" s="13"/>
      <c r="C22" s="578" t="s">
        <v>120</v>
      </c>
      <c r="D22" s="578"/>
      <c r="E22" s="578"/>
      <c r="F22" s="579"/>
      <c r="G22" s="13"/>
      <c r="H22" s="13"/>
      <c r="I22" s="13"/>
      <c r="J22" s="13"/>
      <c r="K22" s="13"/>
      <c r="L22" s="13"/>
      <c r="M22" s="13"/>
      <c r="N22" s="13"/>
      <c r="O22" s="13"/>
      <c r="P22" s="13"/>
      <c r="Q22" s="13"/>
      <c r="R22" s="13"/>
      <c r="S22" s="13"/>
      <c r="T22" s="29"/>
      <c r="U22" s="2"/>
      <c r="V22" s="2"/>
      <c r="W22" s="2"/>
      <c r="X22" s="2"/>
      <c r="Y22" s="2"/>
      <c r="Z22" s="2"/>
      <c r="AA22" s="2"/>
      <c r="AB22" s="2"/>
    </row>
    <row r="23" spans="1:28" ht="60" customHeight="1">
      <c r="A23" s="13"/>
      <c r="B23" s="13"/>
      <c r="C23" s="572" t="s">
        <v>124</v>
      </c>
      <c r="D23" s="573"/>
      <c r="E23" s="573"/>
      <c r="F23" s="572" t="s">
        <v>287</v>
      </c>
      <c r="G23" s="573"/>
      <c r="H23" s="572" t="s">
        <v>126</v>
      </c>
      <c r="I23" s="573"/>
      <c r="J23" s="576" t="s">
        <v>136</v>
      </c>
      <c r="K23" s="576"/>
      <c r="L23" s="572" t="s">
        <v>131</v>
      </c>
      <c r="M23" s="573"/>
      <c r="N23" s="572" t="s">
        <v>135</v>
      </c>
      <c r="O23" s="573"/>
      <c r="P23" s="573"/>
      <c r="Q23" s="572" t="s">
        <v>134</v>
      </c>
      <c r="R23" s="573"/>
      <c r="S23" s="573"/>
      <c r="U23" s="2"/>
      <c r="V23" s="2"/>
      <c r="W23" s="2"/>
      <c r="X23" s="2"/>
      <c r="Y23" s="2"/>
      <c r="Z23" s="2"/>
      <c r="AA23" s="2"/>
      <c r="AB23" s="2"/>
    </row>
    <row r="24" spans="1:28" ht="35.1" customHeight="1">
      <c r="A24" s="13"/>
      <c r="B24" s="13"/>
      <c r="C24" s="574">
        <f>精算額計算書!B40</f>
        <v>0</v>
      </c>
      <c r="D24" s="575"/>
      <c r="E24" s="22" t="s">
        <v>24</v>
      </c>
      <c r="F24" s="23">
        <f>精算額計算書!E40</f>
        <v>0</v>
      </c>
      <c r="G24" s="24" t="s">
        <v>24</v>
      </c>
      <c r="H24" s="283">
        <f>C24-F24</f>
        <v>0</v>
      </c>
      <c r="I24" s="25" t="s">
        <v>24</v>
      </c>
      <c r="J24" s="23">
        <f>ROUNDDOWN(H24,-3)/1000</f>
        <v>0</v>
      </c>
      <c r="K24" s="24" t="s">
        <v>22</v>
      </c>
      <c r="L24" s="23">
        <f>精算額計算書!L40</f>
        <v>0</v>
      </c>
      <c r="M24" s="24" t="s">
        <v>22</v>
      </c>
      <c r="N24" s="574">
        <f>精算額計算書!P40</f>
        <v>0</v>
      </c>
      <c r="O24" s="575"/>
      <c r="P24" s="24" t="s">
        <v>22</v>
      </c>
      <c r="Q24" s="574">
        <f>L24-J24</f>
        <v>0</v>
      </c>
      <c r="R24" s="575"/>
      <c r="S24" s="24" t="s">
        <v>22</v>
      </c>
      <c r="U24" s="2"/>
      <c r="V24" s="190" t="str">
        <f>IF(Q24&gt;0," ←「精算額計算書」シートの④を要入力！"," ")</f>
        <v xml:space="preserve"> </v>
      </c>
      <c r="X24" s="2"/>
      <c r="Y24" s="2"/>
      <c r="Z24" s="2"/>
      <c r="AA24" s="2"/>
      <c r="AB24" s="2"/>
    </row>
    <row r="25" spans="1:28" ht="10.35" customHeight="1">
      <c r="A25" s="13"/>
      <c r="B25" s="13"/>
      <c r="C25" s="13"/>
      <c r="D25" s="13"/>
      <c r="E25" s="13"/>
      <c r="F25" s="13"/>
      <c r="G25" s="13"/>
      <c r="H25" s="13"/>
      <c r="I25" s="26"/>
      <c r="J25" s="13"/>
      <c r="K25" s="13"/>
      <c r="L25" s="13"/>
      <c r="M25" s="13"/>
      <c r="N25" s="13"/>
      <c r="O25" s="13"/>
      <c r="P25" s="13"/>
      <c r="Q25" s="13"/>
      <c r="R25" s="13"/>
      <c r="S25" s="13"/>
      <c r="U25" s="2"/>
      <c r="V25" s="2"/>
      <c r="W25" s="2"/>
      <c r="X25" s="2"/>
      <c r="Y25" s="2"/>
      <c r="Z25" s="2"/>
      <c r="AA25" s="2"/>
      <c r="AB25" s="2"/>
    </row>
    <row r="26" spans="1:28" ht="9.6" customHeight="1">
      <c r="A26" s="13"/>
      <c r="B26" s="13"/>
      <c r="C26" s="13"/>
      <c r="D26" s="13"/>
      <c r="E26" s="13"/>
      <c r="F26" s="13"/>
      <c r="G26" s="13"/>
      <c r="H26" s="13"/>
      <c r="I26" s="13"/>
      <c r="J26" s="13"/>
      <c r="K26" s="13"/>
      <c r="L26" s="13"/>
      <c r="M26" s="13"/>
      <c r="N26" s="13"/>
      <c r="O26" s="13"/>
      <c r="P26" s="13"/>
      <c r="Q26" s="13"/>
      <c r="R26" s="13"/>
      <c r="S26" s="13"/>
      <c r="U26" s="2"/>
      <c r="V26" s="2"/>
      <c r="W26" s="2"/>
      <c r="X26" s="2"/>
      <c r="Y26" s="2"/>
      <c r="Z26" s="2"/>
      <c r="AA26" s="2"/>
      <c r="AB26" s="2"/>
    </row>
    <row r="27" spans="1:28">
      <c r="A27" s="13"/>
      <c r="B27" s="13"/>
      <c r="C27" s="13"/>
      <c r="D27" s="13"/>
      <c r="E27" s="13"/>
      <c r="F27" s="13"/>
      <c r="G27" s="13"/>
      <c r="H27" s="13"/>
      <c r="I27" s="13"/>
      <c r="J27" s="13"/>
      <c r="K27" s="13"/>
      <c r="L27" s="13"/>
      <c r="M27" s="13"/>
      <c r="N27" s="13"/>
      <c r="O27" s="13"/>
      <c r="P27" s="13"/>
      <c r="Q27" s="13"/>
      <c r="R27" s="13"/>
      <c r="S27" s="13"/>
      <c r="U27" s="2"/>
      <c r="V27" s="2"/>
      <c r="W27" s="2"/>
      <c r="X27" s="2"/>
      <c r="Y27" s="2"/>
      <c r="Z27" s="2"/>
      <c r="AA27" s="2"/>
      <c r="AB27" s="2"/>
    </row>
    <row r="28" spans="1:28">
      <c r="A28" s="13"/>
      <c r="B28" s="13"/>
      <c r="C28" s="577" t="s">
        <v>127</v>
      </c>
      <c r="D28" s="577"/>
      <c r="E28" s="577"/>
      <c r="F28" s="13"/>
      <c r="G28" s="13"/>
      <c r="H28" s="13"/>
      <c r="I28" s="13"/>
      <c r="J28" s="13"/>
      <c r="K28" s="13"/>
      <c r="L28" s="13"/>
      <c r="M28" s="13"/>
      <c r="N28" s="13"/>
      <c r="O28" s="13"/>
      <c r="P28" s="13"/>
      <c r="Q28" s="13"/>
      <c r="R28" s="13"/>
      <c r="S28" s="13"/>
      <c r="U28" s="2"/>
      <c r="V28" s="2"/>
      <c r="W28" s="2"/>
      <c r="X28" s="2"/>
      <c r="Y28" s="2"/>
      <c r="Z28" s="2"/>
      <c r="AA28" s="2"/>
      <c r="AB28" s="2"/>
    </row>
    <row r="29" spans="1:28">
      <c r="A29" s="13"/>
      <c r="B29" s="13"/>
      <c r="C29" s="27">
        <v>-1</v>
      </c>
      <c r="D29" s="44" t="s">
        <v>117</v>
      </c>
      <c r="E29" s="44"/>
      <c r="F29" s="44"/>
      <c r="G29" s="44"/>
      <c r="H29" s="19"/>
      <c r="I29" s="13"/>
      <c r="J29" s="13"/>
      <c r="K29" s="13"/>
      <c r="L29" s="13"/>
      <c r="M29" s="13"/>
      <c r="N29" s="13"/>
      <c r="O29" s="13"/>
      <c r="P29" s="13"/>
      <c r="Q29" s="13"/>
      <c r="R29" s="13"/>
      <c r="S29" s="13"/>
      <c r="U29" s="2"/>
      <c r="V29" s="2"/>
      <c r="W29" s="2"/>
      <c r="X29" s="2"/>
      <c r="Y29" s="2"/>
      <c r="Z29" s="2"/>
      <c r="AA29" s="2"/>
      <c r="AB29" s="2"/>
    </row>
    <row r="30" spans="1:28">
      <c r="A30" s="13"/>
      <c r="B30" s="13"/>
      <c r="C30" s="27">
        <v>-2</v>
      </c>
      <c r="D30" s="44" t="s">
        <v>118</v>
      </c>
      <c r="E30" s="44"/>
      <c r="F30" s="44"/>
      <c r="G30" s="44"/>
      <c r="H30" s="19"/>
      <c r="I30" s="13"/>
      <c r="J30" s="13"/>
      <c r="K30" s="13"/>
      <c r="L30" s="13"/>
      <c r="M30" s="13"/>
      <c r="N30" s="13"/>
      <c r="O30" s="13"/>
      <c r="P30" s="13"/>
      <c r="Q30" s="13"/>
      <c r="R30" s="13"/>
      <c r="S30" s="13"/>
      <c r="U30" s="2"/>
      <c r="V30" s="2"/>
      <c r="W30" s="2"/>
      <c r="X30" s="2"/>
      <c r="Y30" s="2"/>
      <c r="Z30" s="2"/>
      <c r="AA30" s="2"/>
      <c r="AB30" s="2"/>
    </row>
    <row r="31" spans="1:28">
      <c r="A31" s="13"/>
      <c r="B31" s="13"/>
      <c r="C31" s="27">
        <v>-3</v>
      </c>
      <c r="D31" s="44" t="s">
        <v>119</v>
      </c>
      <c r="E31" s="44"/>
      <c r="F31" s="44"/>
      <c r="G31" s="44"/>
      <c r="H31" s="19"/>
      <c r="I31" s="13"/>
      <c r="J31" s="13"/>
      <c r="K31" s="13"/>
      <c r="L31" s="13"/>
      <c r="M31" s="13"/>
      <c r="N31" s="13"/>
      <c r="O31" s="13"/>
      <c r="P31" s="13"/>
      <c r="Q31" s="13"/>
      <c r="R31" s="13"/>
      <c r="S31" s="13"/>
      <c r="U31" s="2"/>
      <c r="V31" s="2"/>
      <c r="W31" s="2"/>
      <c r="X31" s="2"/>
      <c r="Y31" s="2"/>
      <c r="Z31" s="2"/>
      <c r="AA31" s="2"/>
      <c r="AB31" s="2"/>
    </row>
    <row r="32" spans="1:28" ht="10.35" customHeight="1">
      <c r="A32" s="13"/>
      <c r="B32" s="13"/>
      <c r="C32" s="13"/>
      <c r="D32" s="13"/>
      <c r="E32" s="28"/>
      <c r="F32" s="13"/>
      <c r="G32" s="13"/>
      <c r="H32" s="13"/>
      <c r="I32" s="13"/>
      <c r="J32" s="13"/>
      <c r="K32" s="13"/>
      <c r="L32" s="13"/>
      <c r="M32" s="13"/>
      <c r="N32" s="13"/>
      <c r="O32" s="13"/>
      <c r="P32" s="13"/>
      <c r="Q32" s="13"/>
      <c r="R32" s="13"/>
      <c r="S32" s="13"/>
      <c r="U32" s="2"/>
      <c r="V32" s="2"/>
      <c r="W32" s="2"/>
      <c r="X32" s="2"/>
      <c r="Y32" s="2"/>
      <c r="Z32" s="2"/>
      <c r="AA32" s="2"/>
      <c r="AB32" s="2"/>
    </row>
    <row r="33" spans="1:28">
      <c r="A33" s="13"/>
      <c r="B33" s="13"/>
      <c r="C33" s="566" t="s">
        <v>271</v>
      </c>
      <c r="D33" s="567"/>
      <c r="E33" s="564" t="s">
        <v>40</v>
      </c>
      <c r="F33" s="565"/>
      <c r="G33" s="555"/>
      <c r="H33" s="556"/>
      <c r="I33" s="556"/>
      <c r="J33" s="557"/>
      <c r="K33" s="548" t="s">
        <v>25</v>
      </c>
      <c r="L33" s="548"/>
      <c r="M33" s="548"/>
      <c r="N33" s="555"/>
      <c r="O33" s="556"/>
      <c r="P33" s="556"/>
      <c r="Q33" s="556"/>
      <c r="R33" s="556"/>
      <c r="S33" s="557"/>
      <c r="U33" s="2"/>
      <c r="V33" s="2"/>
      <c r="W33" s="2"/>
      <c r="X33" s="2"/>
      <c r="Y33" s="2"/>
      <c r="Z33" s="2"/>
      <c r="AA33" s="2"/>
      <c r="AB33" s="2"/>
    </row>
    <row r="34" spans="1:28" ht="14.1" customHeight="1">
      <c r="A34" s="13"/>
      <c r="B34" s="13"/>
      <c r="C34" s="568"/>
      <c r="D34" s="569"/>
      <c r="E34" s="558" t="s">
        <v>288</v>
      </c>
      <c r="F34" s="559"/>
      <c r="G34" s="549"/>
      <c r="H34" s="550"/>
      <c r="I34" s="550"/>
      <c r="J34" s="551"/>
      <c r="K34" s="548" t="s">
        <v>289</v>
      </c>
      <c r="L34" s="548"/>
      <c r="M34" s="548"/>
      <c r="N34" s="549"/>
      <c r="O34" s="550"/>
      <c r="P34" s="550"/>
      <c r="Q34" s="550"/>
      <c r="R34" s="550"/>
      <c r="S34" s="551"/>
      <c r="U34" s="2"/>
      <c r="V34" s="2"/>
      <c r="W34" s="2"/>
      <c r="X34" s="2"/>
      <c r="Y34" s="2"/>
      <c r="Z34" s="2"/>
      <c r="AA34" s="2"/>
      <c r="AB34" s="2"/>
    </row>
    <row r="35" spans="1:28" ht="6" customHeight="1">
      <c r="A35" s="13"/>
      <c r="B35" s="13"/>
      <c r="C35" s="570"/>
      <c r="D35" s="571"/>
      <c r="E35" s="562"/>
      <c r="F35" s="563"/>
      <c r="G35" s="552"/>
      <c r="H35" s="553"/>
      <c r="I35" s="553"/>
      <c r="J35" s="554"/>
      <c r="K35" s="548"/>
      <c r="L35" s="548"/>
      <c r="M35" s="548"/>
      <c r="N35" s="552"/>
      <c r="O35" s="553"/>
      <c r="P35" s="553"/>
      <c r="Q35" s="553"/>
      <c r="R35" s="553"/>
      <c r="S35" s="554"/>
      <c r="U35" s="2"/>
      <c r="V35" s="2"/>
      <c r="W35" s="2"/>
      <c r="X35" s="2"/>
      <c r="Y35" s="2"/>
      <c r="Z35" s="2"/>
      <c r="AA35" s="2"/>
      <c r="AB35" s="2"/>
    </row>
    <row r="36" spans="1:28" ht="18.75" customHeight="1">
      <c r="A36" s="13"/>
      <c r="B36" s="13"/>
      <c r="C36" s="558" t="s">
        <v>270</v>
      </c>
      <c r="D36" s="559"/>
      <c r="E36" s="564" t="s">
        <v>40</v>
      </c>
      <c r="F36" s="565"/>
      <c r="G36" s="555"/>
      <c r="H36" s="556"/>
      <c r="I36" s="556"/>
      <c r="J36" s="557"/>
      <c r="K36" s="548" t="s">
        <v>25</v>
      </c>
      <c r="L36" s="548"/>
      <c r="M36" s="548"/>
      <c r="N36" s="555"/>
      <c r="O36" s="556"/>
      <c r="P36" s="556"/>
      <c r="Q36" s="556"/>
      <c r="R36" s="556"/>
      <c r="S36" s="557"/>
      <c r="U36" s="2"/>
      <c r="V36" s="2"/>
      <c r="W36" s="2"/>
      <c r="X36" s="2"/>
      <c r="Y36" s="2"/>
      <c r="Z36" s="2"/>
      <c r="AA36" s="2"/>
      <c r="AB36" s="2"/>
    </row>
    <row r="37" spans="1:28" ht="12" customHeight="1">
      <c r="C37" s="560"/>
      <c r="D37" s="561"/>
      <c r="E37" s="558" t="s">
        <v>288</v>
      </c>
      <c r="F37" s="559"/>
      <c r="G37" s="549"/>
      <c r="H37" s="550"/>
      <c r="I37" s="550"/>
      <c r="J37" s="551"/>
      <c r="K37" s="548" t="s">
        <v>289</v>
      </c>
      <c r="L37" s="548"/>
      <c r="M37" s="548"/>
      <c r="N37" s="549"/>
      <c r="O37" s="550"/>
      <c r="P37" s="550"/>
      <c r="Q37" s="550"/>
      <c r="R37" s="550"/>
      <c r="S37" s="551"/>
      <c r="U37" s="2"/>
      <c r="V37" s="2"/>
      <c r="W37" s="2"/>
      <c r="X37" s="2"/>
      <c r="Y37" s="2"/>
      <c r="Z37" s="2"/>
      <c r="AA37" s="2"/>
      <c r="AB37" s="2"/>
    </row>
    <row r="38" spans="1:28" ht="5.25" customHeight="1">
      <c r="A38" s="29"/>
      <c r="B38" s="29"/>
      <c r="C38" s="562"/>
      <c r="D38" s="563"/>
      <c r="E38" s="562"/>
      <c r="F38" s="563"/>
      <c r="G38" s="552"/>
      <c r="H38" s="553"/>
      <c r="I38" s="553"/>
      <c r="J38" s="554"/>
      <c r="K38" s="548"/>
      <c r="L38" s="548"/>
      <c r="M38" s="548"/>
      <c r="N38" s="552"/>
      <c r="O38" s="553"/>
      <c r="P38" s="553"/>
      <c r="Q38" s="553"/>
      <c r="R38" s="553"/>
      <c r="S38" s="554"/>
      <c r="U38" s="2"/>
      <c r="V38" s="2"/>
      <c r="W38" s="2"/>
      <c r="X38" s="2"/>
      <c r="Y38" s="2"/>
      <c r="Z38" s="2"/>
      <c r="AA38" s="2"/>
      <c r="AB38" s="2"/>
    </row>
    <row r="39" spans="1:28" ht="18.75" customHeight="1">
      <c r="A39"/>
      <c r="B39"/>
      <c r="C39"/>
      <c r="D39"/>
      <c r="E39"/>
      <c r="F39"/>
      <c r="G39"/>
      <c r="H39"/>
      <c r="I39"/>
      <c r="J39"/>
      <c r="K39"/>
      <c r="L39"/>
      <c r="M39"/>
      <c r="N39"/>
      <c r="O39"/>
      <c r="P39"/>
      <c r="Q39"/>
      <c r="R39"/>
      <c r="S39"/>
      <c r="U39" s="2"/>
      <c r="V39" s="2"/>
      <c r="W39" s="2"/>
      <c r="X39" s="2"/>
      <c r="Y39" s="2"/>
      <c r="Z39" s="2"/>
      <c r="AA39" s="2"/>
      <c r="AB39" s="2"/>
    </row>
    <row r="40" spans="1:28">
      <c r="A40" s="29"/>
      <c r="B40" s="29"/>
      <c r="C40" s="29"/>
      <c r="D40" s="29"/>
      <c r="E40" s="29"/>
      <c r="F40" s="29"/>
      <c r="G40" s="29"/>
      <c r="H40" s="29"/>
      <c r="I40" s="29"/>
      <c r="J40" s="29"/>
      <c r="K40" s="29"/>
      <c r="L40" s="29"/>
      <c r="M40" s="29"/>
      <c r="N40" s="29"/>
      <c r="O40" s="29"/>
      <c r="P40" s="29"/>
      <c r="Q40" s="29"/>
      <c r="R40" s="29"/>
      <c r="S40" s="29"/>
    </row>
    <row r="41" spans="1:28">
      <c r="A41" s="29"/>
      <c r="B41" s="29"/>
      <c r="C41" s="29"/>
      <c r="D41" s="29"/>
      <c r="E41" s="29"/>
      <c r="F41" s="29"/>
      <c r="G41" s="29"/>
      <c r="H41" s="29"/>
      <c r="I41" s="29"/>
      <c r="J41" s="29"/>
      <c r="K41" s="29"/>
      <c r="L41" s="29"/>
      <c r="M41" s="29"/>
      <c r="N41" s="29"/>
      <c r="O41" s="29"/>
      <c r="P41" s="29"/>
      <c r="Q41" s="29"/>
      <c r="R41" s="29"/>
      <c r="S41" s="29"/>
    </row>
    <row r="42" spans="1:28">
      <c r="A42" s="29"/>
      <c r="B42" s="29"/>
      <c r="C42" s="29"/>
      <c r="D42" s="29"/>
      <c r="E42" s="29"/>
      <c r="F42" s="29"/>
      <c r="G42" s="29"/>
      <c r="H42" s="29"/>
      <c r="I42" s="29"/>
      <c r="J42" s="29"/>
      <c r="K42" s="29"/>
      <c r="L42" s="29"/>
      <c r="M42" s="29"/>
      <c r="N42" s="29"/>
      <c r="O42" s="29"/>
      <c r="P42" s="29"/>
      <c r="Q42" s="29"/>
      <c r="R42" s="29"/>
      <c r="S42" s="29"/>
    </row>
    <row r="43" spans="1:28">
      <c r="A43" s="29"/>
      <c r="B43" s="29"/>
      <c r="C43" s="29"/>
      <c r="D43" s="29"/>
      <c r="E43" s="29"/>
      <c r="F43" s="29"/>
      <c r="G43" s="29"/>
      <c r="H43" s="29"/>
      <c r="I43" s="29"/>
      <c r="J43" s="29"/>
      <c r="K43" s="29"/>
      <c r="L43" s="29"/>
      <c r="M43" s="29"/>
      <c r="N43" s="29"/>
      <c r="O43" s="29"/>
      <c r="P43" s="29"/>
      <c r="Q43" s="29"/>
      <c r="R43" s="29"/>
      <c r="S43" s="29"/>
    </row>
    <row r="44" spans="1:28">
      <c r="A44" s="29"/>
      <c r="B44" s="29"/>
      <c r="C44" s="29"/>
      <c r="D44" s="29"/>
      <c r="E44" s="29"/>
      <c r="F44" s="29"/>
      <c r="G44" s="29"/>
      <c r="H44" s="29"/>
      <c r="I44" s="29"/>
      <c r="J44" s="29"/>
      <c r="K44" s="29"/>
      <c r="L44" s="29"/>
      <c r="M44" s="29"/>
      <c r="N44" s="29"/>
      <c r="O44" s="29"/>
      <c r="P44" s="29"/>
      <c r="Q44" s="29"/>
      <c r="R44" s="29"/>
      <c r="S44" s="29"/>
    </row>
    <row r="45" spans="1:28">
      <c r="A45" s="29"/>
      <c r="B45" s="29"/>
      <c r="C45" s="29"/>
      <c r="D45" s="29"/>
      <c r="E45" s="29"/>
      <c r="F45" s="29"/>
      <c r="G45" s="29"/>
      <c r="H45" s="29"/>
      <c r="I45" s="29"/>
      <c r="J45" s="29"/>
      <c r="K45" s="29"/>
      <c r="L45" s="29"/>
      <c r="M45" s="29"/>
      <c r="N45" s="29"/>
      <c r="O45" s="29"/>
      <c r="P45" s="29"/>
      <c r="Q45" s="29"/>
      <c r="R45" s="29"/>
      <c r="S45" s="29"/>
    </row>
    <row r="46" spans="1:28">
      <c r="A46" s="29"/>
      <c r="B46" s="29"/>
      <c r="C46" s="29"/>
      <c r="D46" s="29"/>
      <c r="E46" s="29"/>
      <c r="F46" s="29"/>
      <c r="G46" s="29"/>
      <c r="H46" s="29"/>
      <c r="I46" s="29"/>
      <c r="J46" s="29"/>
      <c r="K46" s="29"/>
      <c r="L46" s="29"/>
      <c r="M46" s="29"/>
      <c r="N46" s="29"/>
      <c r="O46" s="29"/>
      <c r="P46" s="29"/>
      <c r="Q46" s="29"/>
      <c r="R46" s="29"/>
      <c r="S46" s="29"/>
    </row>
    <row r="47" spans="1:28">
      <c r="A47" s="29"/>
      <c r="B47" s="29"/>
      <c r="C47" s="29"/>
      <c r="D47" s="29"/>
      <c r="E47" s="29"/>
      <c r="F47" s="29"/>
      <c r="G47" s="29"/>
      <c r="H47" s="29"/>
      <c r="I47" s="29"/>
      <c r="J47" s="29"/>
      <c r="K47" s="29"/>
      <c r="L47" s="29"/>
      <c r="M47" s="29"/>
      <c r="N47" s="29"/>
      <c r="O47" s="29"/>
      <c r="P47" s="29"/>
      <c r="Q47" s="29"/>
      <c r="R47" s="29"/>
      <c r="S47" s="29"/>
    </row>
    <row r="48" spans="1:28">
      <c r="A48" s="29"/>
      <c r="B48" s="29"/>
      <c r="C48" s="29"/>
      <c r="D48" s="29"/>
      <c r="E48" s="29"/>
      <c r="F48" s="29"/>
      <c r="G48" s="29"/>
      <c r="H48" s="29"/>
      <c r="I48" s="29"/>
      <c r="J48" s="29"/>
      <c r="K48" s="29"/>
      <c r="L48" s="29"/>
      <c r="M48" s="29"/>
      <c r="N48" s="29"/>
      <c r="O48" s="29"/>
      <c r="P48" s="29"/>
      <c r="Q48" s="29"/>
      <c r="R48" s="29"/>
      <c r="S48" s="29"/>
    </row>
    <row r="49" spans="1:19">
      <c r="A49" s="29"/>
      <c r="B49" s="29"/>
      <c r="C49" s="29"/>
      <c r="D49" s="29"/>
      <c r="E49" s="29"/>
      <c r="F49" s="29"/>
      <c r="G49" s="29"/>
      <c r="H49" s="29"/>
      <c r="I49" s="29"/>
      <c r="J49" s="29"/>
      <c r="K49" s="29"/>
      <c r="L49" s="29"/>
      <c r="M49" s="29"/>
      <c r="N49" s="29"/>
      <c r="O49" s="29"/>
      <c r="P49" s="29"/>
      <c r="Q49" s="29"/>
      <c r="R49" s="29"/>
      <c r="S49" s="29"/>
    </row>
    <row r="50" spans="1:19">
      <c r="A50" s="29"/>
      <c r="B50" s="29"/>
      <c r="C50" s="29"/>
      <c r="D50" s="29"/>
      <c r="E50" s="29"/>
      <c r="F50" s="29"/>
      <c r="G50" s="29"/>
      <c r="H50" s="29"/>
      <c r="I50" s="29"/>
      <c r="J50" s="29"/>
      <c r="K50" s="29"/>
      <c r="L50" s="29"/>
      <c r="M50" s="29"/>
      <c r="N50" s="29"/>
      <c r="O50" s="29"/>
      <c r="P50" s="29"/>
      <c r="Q50" s="29"/>
      <c r="R50" s="29"/>
      <c r="S50" s="29"/>
    </row>
    <row r="51" spans="1:19">
      <c r="A51" s="29"/>
      <c r="B51" s="29"/>
      <c r="C51" s="29"/>
      <c r="D51" s="29"/>
      <c r="E51" s="29"/>
      <c r="F51" s="29"/>
      <c r="G51" s="29"/>
      <c r="H51" s="29"/>
      <c r="I51" s="29"/>
      <c r="J51" s="29"/>
      <c r="K51" s="29"/>
      <c r="L51" s="29"/>
      <c r="M51" s="29"/>
      <c r="N51" s="29"/>
      <c r="O51" s="29"/>
      <c r="P51" s="29"/>
      <c r="Q51" s="29"/>
      <c r="R51" s="29"/>
      <c r="S51" s="29"/>
    </row>
    <row r="52" spans="1:19">
      <c r="A52" s="29"/>
      <c r="B52" s="29"/>
      <c r="C52" s="29"/>
      <c r="D52" s="29"/>
      <c r="E52" s="29"/>
      <c r="F52" s="29"/>
      <c r="G52" s="29"/>
      <c r="H52" s="29"/>
      <c r="I52" s="29"/>
      <c r="J52" s="29"/>
      <c r="K52" s="29"/>
      <c r="L52" s="29"/>
      <c r="M52" s="29"/>
      <c r="N52" s="29"/>
      <c r="O52" s="29"/>
      <c r="P52" s="29"/>
      <c r="Q52" s="29"/>
      <c r="R52" s="29"/>
      <c r="S52" s="29"/>
    </row>
    <row r="53" spans="1:19">
      <c r="A53" s="29"/>
      <c r="B53" s="29"/>
      <c r="C53" s="29"/>
      <c r="D53" s="29"/>
      <c r="E53" s="29"/>
      <c r="F53" s="29"/>
      <c r="G53" s="29"/>
      <c r="H53" s="29"/>
      <c r="I53" s="29"/>
      <c r="J53" s="29"/>
      <c r="K53" s="29"/>
      <c r="L53" s="29"/>
      <c r="M53" s="29"/>
      <c r="N53" s="29"/>
      <c r="O53" s="29"/>
      <c r="P53" s="29"/>
      <c r="Q53" s="29"/>
      <c r="R53" s="29"/>
      <c r="S53" s="29"/>
    </row>
    <row r="54" spans="1:19">
      <c r="A54" s="29"/>
      <c r="B54" s="29"/>
      <c r="C54" s="29"/>
      <c r="D54" s="29"/>
      <c r="E54" s="29"/>
      <c r="F54" s="29"/>
      <c r="G54" s="29"/>
      <c r="H54" s="29"/>
      <c r="I54" s="29"/>
      <c r="J54" s="29"/>
      <c r="K54" s="29"/>
      <c r="L54" s="29"/>
      <c r="M54" s="29"/>
      <c r="N54" s="29"/>
      <c r="O54" s="29"/>
      <c r="P54" s="29"/>
      <c r="Q54" s="29"/>
      <c r="R54" s="29"/>
      <c r="S54" s="29"/>
    </row>
    <row r="55" spans="1:19">
      <c r="A55" s="29"/>
      <c r="B55" s="29"/>
      <c r="C55" s="29"/>
      <c r="D55" s="29"/>
      <c r="E55" s="29"/>
      <c r="F55" s="29"/>
      <c r="G55" s="29"/>
      <c r="H55" s="29"/>
      <c r="I55" s="29"/>
      <c r="J55" s="29"/>
      <c r="K55" s="29"/>
      <c r="L55" s="29"/>
      <c r="M55" s="29"/>
      <c r="N55" s="29"/>
      <c r="O55" s="29"/>
      <c r="P55" s="29"/>
      <c r="Q55" s="29"/>
      <c r="R55" s="29"/>
      <c r="S55" s="29"/>
    </row>
    <row r="56" spans="1:19">
      <c r="A56" s="29"/>
      <c r="B56" s="29"/>
      <c r="C56" s="29"/>
      <c r="D56" s="29"/>
      <c r="E56" s="29"/>
      <c r="F56" s="29"/>
      <c r="G56" s="29"/>
      <c r="H56" s="29"/>
      <c r="I56" s="29"/>
      <c r="J56" s="29"/>
      <c r="K56" s="29"/>
      <c r="L56" s="29"/>
      <c r="M56" s="29"/>
      <c r="N56" s="29"/>
      <c r="O56" s="29"/>
      <c r="P56" s="29"/>
      <c r="Q56" s="29"/>
      <c r="R56" s="29"/>
      <c r="S56" s="29"/>
    </row>
    <row r="57" spans="1:19">
      <c r="A57" s="29"/>
      <c r="B57" s="29"/>
      <c r="C57" s="29"/>
      <c r="D57" s="29"/>
      <c r="E57" s="29"/>
      <c r="F57" s="29"/>
      <c r="G57" s="29"/>
      <c r="H57" s="29"/>
      <c r="I57" s="29"/>
      <c r="J57" s="29"/>
      <c r="K57" s="29"/>
      <c r="L57" s="29"/>
      <c r="M57" s="29"/>
      <c r="N57" s="29"/>
      <c r="O57" s="29"/>
      <c r="P57" s="29"/>
      <c r="Q57" s="29"/>
      <c r="R57" s="29"/>
      <c r="S57" s="29"/>
    </row>
    <row r="58" spans="1:19">
      <c r="A58" s="29"/>
      <c r="B58" s="29"/>
      <c r="C58" s="29"/>
      <c r="D58" s="29"/>
      <c r="E58" s="29"/>
      <c r="F58" s="29"/>
      <c r="G58" s="29"/>
      <c r="H58" s="29"/>
      <c r="I58" s="29"/>
      <c r="J58" s="29"/>
      <c r="K58" s="29"/>
      <c r="L58" s="29"/>
      <c r="M58" s="29"/>
      <c r="N58" s="29"/>
      <c r="O58" s="29"/>
      <c r="P58" s="29"/>
      <c r="Q58" s="29"/>
      <c r="R58" s="29"/>
      <c r="S58" s="29"/>
    </row>
    <row r="59" spans="1:19">
      <c r="A59" s="29"/>
      <c r="B59" s="29"/>
      <c r="C59" s="29"/>
      <c r="D59" s="29"/>
      <c r="E59" s="29"/>
      <c r="F59" s="29"/>
      <c r="G59" s="29"/>
      <c r="H59" s="29"/>
      <c r="I59" s="29"/>
      <c r="J59" s="29"/>
      <c r="K59" s="29"/>
      <c r="L59" s="29"/>
      <c r="M59" s="29"/>
      <c r="N59" s="29"/>
      <c r="O59" s="29"/>
      <c r="P59" s="29"/>
      <c r="Q59" s="29"/>
      <c r="R59" s="29"/>
      <c r="S59" s="29"/>
    </row>
    <row r="60" spans="1:19">
      <c r="A60" s="29"/>
      <c r="B60" s="29"/>
      <c r="C60" s="29"/>
      <c r="D60" s="29"/>
      <c r="E60" s="29"/>
      <c r="F60" s="29"/>
      <c r="G60" s="29"/>
      <c r="H60" s="29"/>
      <c r="I60" s="29"/>
      <c r="J60" s="29"/>
      <c r="K60" s="29"/>
      <c r="L60" s="29"/>
      <c r="M60" s="29"/>
      <c r="N60" s="29"/>
      <c r="O60" s="29"/>
      <c r="P60" s="29"/>
      <c r="Q60" s="29"/>
      <c r="R60" s="29"/>
      <c r="S60" s="29"/>
    </row>
    <row r="61" spans="1:19">
      <c r="A61" s="29"/>
      <c r="B61" s="29"/>
      <c r="C61" s="29"/>
      <c r="D61" s="29"/>
      <c r="E61" s="29"/>
      <c r="F61" s="29"/>
      <c r="G61" s="29"/>
      <c r="H61" s="29"/>
      <c r="I61" s="29"/>
      <c r="J61" s="29"/>
      <c r="K61" s="29"/>
      <c r="L61" s="29"/>
      <c r="M61" s="29"/>
      <c r="N61" s="29"/>
      <c r="O61" s="29"/>
      <c r="P61" s="29"/>
      <c r="Q61" s="29"/>
      <c r="R61" s="29"/>
      <c r="S61" s="29"/>
    </row>
    <row r="62" spans="1:19">
      <c r="A62" s="29"/>
      <c r="B62" s="29"/>
      <c r="C62" s="29"/>
      <c r="D62" s="29"/>
      <c r="E62" s="29"/>
      <c r="F62" s="29"/>
      <c r="G62" s="29"/>
      <c r="H62" s="29"/>
      <c r="I62" s="29"/>
      <c r="J62" s="29"/>
      <c r="K62" s="29"/>
      <c r="L62" s="29"/>
      <c r="M62" s="29"/>
      <c r="N62" s="29"/>
      <c r="O62" s="29"/>
      <c r="P62" s="29"/>
      <c r="Q62" s="29"/>
      <c r="R62" s="29"/>
      <c r="S62" s="29"/>
    </row>
    <row r="63" spans="1:19">
      <c r="A63" s="29"/>
      <c r="B63" s="29"/>
      <c r="C63" s="29"/>
      <c r="D63" s="29"/>
      <c r="E63" s="29"/>
      <c r="F63" s="29"/>
      <c r="G63" s="29"/>
      <c r="H63" s="29"/>
      <c r="I63" s="29"/>
      <c r="J63" s="29"/>
      <c r="K63" s="29"/>
      <c r="L63" s="29"/>
      <c r="M63" s="29"/>
      <c r="N63" s="29"/>
      <c r="O63" s="29"/>
      <c r="P63" s="29"/>
      <c r="Q63" s="29"/>
      <c r="R63" s="29"/>
      <c r="S63" s="29"/>
    </row>
    <row r="64" spans="1:19">
      <c r="A64" s="29"/>
      <c r="B64" s="29"/>
      <c r="C64" s="29"/>
      <c r="D64" s="29"/>
      <c r="E64" s="29"/>
      <c r="F64" s="29"/>
      <c r="G64" s="29"/>
      <c r="H64" s="29"/>
      <c r="I64" s="29"/>
      <c r="J64" s="29"/>
      <c r="K64" s="29"/>
      <c r="L64" s="29"/>
      <c r="M64" s="29"/>
      <c r="N64" s="29"/>
      <c r="O64" s="29"/>
      <c r="P64" s="29"/>
      <c r="Q64" s="29"/>
      <c r="R64" s="29"/>
      <c r="S64" s="29"/>
    </row>
    <row r="65" spans="1:19">
      <c r="A65" s="29"/>
      <c r="B65" s="29"/>
      <c r="C65" s="29"/>
      <c r="D65" s="29"/>
      <c r="E65" s="29"/>
      <c r="F65" s="29"/>
      <c r="G65" s="29"/>
      <c r="H65" s="29"/>
      <c r="I65" s="29"/>
      <c r="J65" s="29"/>
      <c r="K65" s="29"/>
      <c r="L65" s="29"/>
      <c r="M65" s="29"/>
      <c r="N65" s="29"/>
      <c r="O65" s="29"/>
      <c r="P65" s="29"/>
      <c r="Q65" s="29"/>
      <c r="R65" s="29"/>
      <c r="S65" s="29"/>
    </row>
    <row r="66" spans="1:19">
      <c r="A66" s="29"/>
      <c r="B66" s="29"/>
      <c r="C66" s="29"/>
      <c r="D66" s="29"/>
      <c r="E66" s="29"/>
      <c r="F66" s="29"/>
      <c r="G66" s="29"/>
      <c r="H66" s="29"/>
      <c r="I66" s="29"/>
      <c r="J66" s="29"/>
      <c r="K66" s="29"/>
      <c r="L66" s="29"/>
      <c r="M66" s="29"/>
      <c r="N66" s="29"/>
      <c r="O66" s="29"/>
      <c r="P66" s="29"/>
      <c r="Q66" s="29"/>
      <c r="R66" s="29"/>
      <c r="S66" s="29"/>
    </row>
    <row r="67" spans="1:19">
      <c r="A67" s="29"/>
      <c r="B67" s="29"/>
      <c r="C67" s="29"/>
      <c r="D67" s="29"/>
      <c r="E67" s="29"/>
      <c r="F67" s="29"/>
      <c r="G67" s="29"/>
      <c r="H67" s="29"/>
      <c r="I67" s="29"/>
      <c r="J67" s="29"/>
      <c r="K67" s="29"/>
      <c r="L67" s="29"/>
      <c r="M67" s="29"/>
      <c r="N67" s="29"/>
      <c r="O67" s="29"/>
      <c r="P67" s="29"/>
      <c r="Q67" s="29"/>
      <c r="R67" s="29"/>
      <c r="S67" s="29"/>
    </row>
    <row r="68" spans="1:19">
      <c r="A68" s="29"/>
      <c r="B68" s="29"/>
      <c r="C68" s="29"/>
      <c r="D68" s="29"/>
      <c r="E68" s="29"/>
      <c r="F68" s="29"/>
      <c r="G68" s="29"/>
      <c r="H68" s="29"/>
      <c r="I68" s="29"/>
      <c r="J68" s="29"/>
      <c r="K68" s="29"/>
      <c r="L68" s="29"/>
      <c r="M68" s="29"/>
      <c r="N68" s="29"/>
      <c r="O68" s="29"/>
      <c r="P68" s="29"/>
      <c r="Q68" s="29"/>
      <c r="R68" s="29"/>
      <c r="S68" s="29"/>
    </row>
    <row r="69" spans="1:19">
      <c r="A69" s="29"/>
      <c r="B69" s="29"/>
      <c r="C69" s="29"/>
      <c r="D69" s="29"/>
      <c r="E69" s="29"/>
      <c r="F69" s="29"/>
      <c r="G69" s="29"/>
      <c r="H69" s="29"/>
      <c r="I69" s="29"/>
      <c r="J69" s="29"/>
      <c r="K69" s="29"/>
      <c r="L69" s="29"/>
      <c r="M69" s="29"/>
      <c r="N69" s="29"/>
      <c r="O69" s="29"/>
      <c r="P69" s="29"/>
      <c r="Q69" s="29"/>
      <c r="R69" s="29"/>
      <c r="S69" s="29"/>
    </row>
    <row r="70" spans="1:19">
      <c r="A70" s="29"/>
      <c r="B70" s="29"/>
      <c r="C70" s="29"/>
      <c r="D70" s="29"/>
      <c r="E70" s="29"/>
      <c r="F70" s="29"/>
      <c r="G70" s="29"/>
      <c r="H70" s="29"/>
      <c r="I70" s="29"/>
      <c r="J70" s="29"/>
      <c r="K70" s="29"/>
      <c r="L70" s="29"/>
      <c r="M70" s="29"/>
      <c r="N70" s="29"/>
      <c r="O70" s="29"/>
      <c r="P70" s="29"/>
      <c r="Q70" s="29"/>
      <c r="R70" s="29"/>
      <c r="S70" s="29"/>
    </row>
    <row r="71" spans="1:19">
      <c r="A71" s="29"/>
      <c r="B71" s="29"/>
      <c r="C71" s="29"/>
      <c r="D71" s="29"/>
      <c r="E71" s="29"/>
      <c r="F71" s="29"/>
      <c r="G71" s="29"/>
      <c r="H71" s="29"/>
      <c r="I71" s="29"/>
      <c r="J71" s="29"/>
      <c r="K71" s="29"/>
      <c r="L71" s="29"/>
      <c r="M71" s="29"/>
      <c r="N71" s="29"/>
      <c r="O71" s="29"/>
      <c r="P71" s="29"/>
      <c r="Q71" s="29"/>
      <c r="R71" s="29"/>
      <c r="S71" s="29"/>
    </row>
    <row r="72" spans="1:19">
      <c r="A72" s="29"/>
      <c r="B72" s="29"/>
      <c r="C72" s="29"/>
      <c r="D72" s="29"/>
      <c r="E72" s="29"/>
      <c r="F72" s="29"/>
      <c r="G72" s="29"/>
      <c r="H72" s="29"/>
      <c r="I72" s="29"/>
      <c r="J72" s="29"/>
      <c r="K72" s="29"/>
      <c r="L72" s="29"/>
      <c r="M72" s="29"/>
      <c r="N72" s="29"/>
      <c r="O72" s="29"/>
      <c r="P72" s="29"/>
      <c r="Q72" s="29"/>
      <c r="R72" s="29"/>
      <c r="S72" s="29"/>
    </row>
    <row r="73" spans="1:19">
      <c r="A73" s="29"/>
      <c r="B73" s="29"/>
      <c r="C73" s="29"/>
      <c r="D73" s="29"/>
      <c r="E73" s="29"/>
      <c r="F73" s="29"/>
      <c r="G73" s="29"/>
      <c r="H73" s="29"/>
      <c r="I73" s="29"/>
      <c r="J73" s="29"/>
      <c r="K73" s="29"/>
      <c r="L73" s="29"/>
      <c r="M73" s="29"/>
      <c r="N73" s="29"/>
      <c r="O73" s="29"/>
      <c r="P73" s="29"/>
      <c r="Q73" s="29"/>
      <c r="R73" s="29"/>
      <c r="S73" s="29"/>
    </row>
    <row r="74" spans="1:19">
      <c r="A74" s="29"/>
      <c r="B74" s="29"/>
      <c r="C74" s="29"/>
      <c r="D74" s="29"/>
      <c r="E74" s="29"/>
      <c r="F74" s="29"/>
      <c r="G74" s="29"/>
      <c r="H74" s="29"/>
      <c r="I74" s="29"/>
      <c r="J74" s="29"/>
      <c r="K74" s="29"/>
      <c r="L74" s="29"/>
      <c r="M74" s="29"/>
      <c r="N74" s="29"/>
      <c r="O74" s="29"/>
      <c r="P74" s="29"/>
      <c r="Q74" s="29"/>
      <c r="R74" s="29"/>
      <c r="S74" s="29"/>
    </row>
    <row r="75" spans="1:19">
      <c r="A75" s="29"/>
      <c r="B75" s="29"/>
      <c r="C75" s="29"/>
      <c r="D75" s="29"/>
      <c r="E75" s="29"/>
      <c r="F75" s="29"/>
      <c r="G75" s="29"/>
      <c r="H75" s="29"/>
      <c r="I75" s="29"/>
      <c r="J75" s="29"/>
      <c r="K75" s="29"/>
      <c r="L75" s="29"/>
      <c r="M75" s="29"/>
      <c r="N75" s="29"/>
      <c r="O75" s="29"/>
      <c r="P75" s="29"/>
      <c r="Q75" s="29"/>
      <c r="R75" s="29"/>
      <c r="S75" s="29"/>
    </row>
    <row r="76" spans="1:19">
      <c r="A76" s="29"/>
      <c r="B76" s="29"/>
      <c r="C76" s="29"/>
      <c r="D76" s="29"/>
      <c r="E76" s="29"/>
      <c r="F76" s="29"/>
      <c r="G76" s="29"/>
      <c r="H76" s="29"/>
      <c r="I76" s="29"/>
      <c r="J76" s="29"/>
      <c r="K76" s="29"/>
      <c r="L76" s="29"/>
      <c r="M76" s="29"/>
      <c r="N76" s="29"/>
      <c r="O76" s="29"/>
      <c r="P76" s="29"/>
      <c r="Q76" s="29"/>
      <c r="R76" s="29"/>
      <c r="S76" s="29"/>
    </row>
    <row r="77" spans="1:19">
      <c r="A77" s="29"/>
      <c r="B77" s="29"/>
      <c r="C77" s="29"/>
      <c r="D77" s="29"/>
      <c r="E77" s="29"/>
      <c r="F77" s="29"/>
      <c r="G77" s="29"/>
      <c r="H77" s="29"/>
      <c r="I77" s="29"/>
      <c r="J77" s="29"/>
      <c r="K77" s="29"/>
      <c r="L77" s="29"/>
      <c r="M77" s="29"/>
      <c r="N77" s="29"/>
      <c r="O77" s="29"/>
      <c r="P77" s="29"/>
      <c r="Q77" s="29"/>
      <c r="R77" s="29"/>
      <c r="S77" s="29"/>
    </row>
    <row r="78" spans="1:19">
      <c r="A78" s="29"/>
      <c r="B78" s="29"/>
      <c r="C78" s="29"/>
      <c r="D78" s="29"/>
      <c r="E78" s="29"/>
      <c r="F78" s="29"/>
      <c r="G78" s="29"/>
      <c r="H78" s="29"/>
      <c r="I78" s="29"/>
      <c r="J78" s="29"/>
      <c r="K78" s="29"/>
      <c r="L78" s="29"/>
      <c r="M78" s="29"/>
      <c r="N78" s="29"/>
      <c r="O78" s="29"/>
      <c r="P78" s="29"/>
      <c r="Q78" s="29"/>
      <c r="R78" s="29"/>
      <c r="S78" s="29"/>
    </row>
    <row r="79" spans="1:19">
      <c r="A79" s="29"/>
      <c r="B79" s="29"/>
      <c r="C79" s="29"/>
      <c r="D79" s="29"/>
      <c r="E79" s="29"/>
      <c r="F79" s="29"/>
      <c r="G79" s="29"/>
      <c r="H79" s="29"/>
      <c r="I79" s="29"/>
      <c r="J79" s="29"/>
      <c r="K79" s="29"/>
      <c r="L79" s="29"/>
      <c r="M79" s="29"/>
      <c r="N79" s="29"/>
      <c r="O79" s="29"/>
      <c r="P79" s="29"/>
      <c r="Q79" s="29"/>
      <c r="R79" s="29"/>
      <c r="S79" s="29"/>
    </row>
    <row r="80" spans="1:19">
      <c r="A80" s="29"/>
      <c r="B80" s="29"/>
      <c r="C80" s="29"/>
      <c r="D80" s="29"/>
      <c r="E80" s="29"/>
      <c r="F80" s="29"/>
      <c r="G80" s="29"/>
      <c r="H80" s="29"/>
      <c r="I80" s="29"/>
      <c r="J80" s="29"/>
      <c r="K80" s="29"/>
      <c r="L80" s="29"/>
      <c r="M80" s="29"/>
      <c r="N80" s="29"/>
      <c r="O80" s="29"/>
      <c r="P80" s="29"/>
      <c r="Q80" s="29"/>
      <c r="R80" s="29"/>
      <c r="S80" s="29"/>
    </row>
    <row r="81" spans="1:19">
      <c r="A81" s="29"/>
      <c r="B81" s="29"/>
      <c r="C81" s="29"/>
      <c r="D81" s="29"/>
      <c r="E81" s="29"/>
      <c r="F81" s="29"/>
      <c r="G81" s="29"/>
      <c r="H81" s="29"/>
      <c r="I81" s="29"/>
      <c r="J81" s="29"/>
      <c r="K81" s="29"/>
      <c r="L81" s="29"/>
      <c r="M81" s="29"/>
      <c r="N81" s="29"/>
      <c r="O81" s="29"/>
      <c r="P81" s="29"/>
      <c r="Q81" s="29"/>
      <c r="R81" s="29"/>
      <c r="S81" s="29"/>
    </row>
    <row r="82" spans="1:19">
      <c r="A82" s="29"/>
      <c r="B82" s="29"/>
      <c r="C82" s="29"/>
      <c r="D82" s="29"/>
      <c r="E82" s="29"/>
      <c r="F82" s="29"/>
      <c r="G82" s="29"/>
      <c r="H82" s="29"/>
      <c r="I82" s="29"/>
      <c r="J82" s="29"/>
      <c r="K82" s="29"/>
      <c r="L82" s="29"/>
      <c r="M82" s="29"/>
      <c r="N82" s="29"/>
      <c r="O82" s="29"/>
      <c r="P82" s="29"/>
      <c r="Q82" s="29"/>
      <c r="R82" s="29"/>
      <c r="S82" s="29"/>
    </row>
    <row r="83" spans="1:19">
      <c r="A83" s="29"/>
      <c r="B83" s="29"/>
      <c r="C83" s="29"/>
      <c r="D83" s="29"/>
      <c r="E83" s="29"/>
      <c r="F83" s="29"/>
      <c r="G83" s="29"/>
      <c r="H83" s="29"/>
      <c r="I83" s="29"/>
      <c r="J83" s="29"/>
      <c r="K83" s="29"/>
      <c r="L83" s="29"/>
      <c r="M83" s="29"/>
      <c r="N83" s="29"/>
      <c r="O83" s="29"/>
      <c r="P83" s="29"/>
      <c r="Q83" s="29"/>
      <c r="R83" s="29"/>
      <c r="S83" s="29"/>
    </row>
    <row r="84" spans="1:19">
      <c r="A84" s="29"/>
      <c r="B84" s="29"/>
      <c r="C84" s="29"/>
      <c r="D84" s="29"/>
      <c r="E84" s="29"/>
      <c r="F84" s="29"/>
      <c r="G84" s="29"/>
      <c r="H84" s="29"/>
      <c r="I84" s="29"/>
      <c r="J84" s="29"/>
      <c r="K84" s="29"/>
      <c r="L84" s="29"/>
      <c r="M84" s="29"/>
      <c r="N84" s="29"/>
      <c r="O84" s="29"/>
      <c r="P84" s="29"/>
      <c r="Q84" s="29"/>
      <c r="R84" s="29"/>
      <c r="S84" s="29"/>
    </row>
    <row r="85" spans="1:19">
      <c r="A85" s="29"/>
      <c r="B85" s="29"/>
      <c r="C85" s="29"/>
      <c r="D85" s="29"/>
      <c r="E85" s="29"/>
      <c r="F85" s="29"/>
      <c r="G85" s="29"/>
      <c r="H85" s="29"/>
      <c r="I85" s="29"/>
      <c r="J85" s="29"/>
      <c r="K85" s="29"/>
      <c r="L85" s="29"/>
      <c r="M85" s="29"/>
      <c r="N85" s="29"/>
      <c r="O85" s="29"/>
      <c r="P85" s="29"/>
      <c r="Q85" s="29"/>
      <c r="R85" s="29"/>
      <c r="S85" s="29"/>
    </row>
  </sheetData>
  <sheetProtection algorithmName="SHA-512" hashValue="Pm5Wor5lZw0cIJTCdq3qxHQzNF8m9xQITJlFN3/ubrxsC3JJE1Ue+7fh/4bB0+cSSP4/9AEWnlh5y+E7tuaivw==" saltValue="gq3rDP6WEUzxaD7GiF2MMQ==" spinCount="100000" sheet="1" autoFilter="0"/>
  <dataConsolidate/>
  <mergeCells count="50">
    <mergeCell ref="B1:D1"/>
    <mergeCell ref="M2:N2"/>
    <mergeCell ref="O2:R2"/>
    <mergeCell ref="B7:H7"/>
    <mergeCell ref="J9:K9"/>
    <mergeCell ref="L9:S9"/>
    <mergeCell ref="L4:M4"/>
    <mergeCell ref="L8:N8"/>
    <mergeCell ref="J10:K10"/>
    <mergeCell ref="L10:S10"/>
    <mergeCell ref="J11:K11"/>
    <mergeCell ref="L11:Q11"/>
    <mergeCell ref="J12:K12"/>
    <mergeCell ref="L12:Q12"/>
    <mergeCell ref="D16:H16"/>
    <mergeCell ref="C18:E18"/>
    <mergeCell ref="C20:E20"/>
    <mergeCell ref="F20:G20"/>
    <mergeCell ref="A14:T14"/>
    <mergeCell ref="F18:R18"/>
    <mergeCell ref="C28:E28"/>
    <mergeCell ref="C22:F22"/>
    <mergeCell ref="C23:E23"/>
    <mergeCell ref="F23:G23"/>
    <mergeCell ref="H23:I23"/>
    <mergeCell ref="N23:P23"/>
    <mergeCell ref="Q23:S23"/>
    <mergeCell ref="C24:D24"/>
    <mergeCell ref="N24:O24"/>
    <mergeCell ref="Q24:R24"/>
    <mergeCell ref="J23:K23"/>
    <mergeCell ref="L23:M23"/>
    <mergeCell ref="C36:D38"/>
    <mergeCell ref="E36:F36"/>
    <mergeCell ref="E37:F38"/>
    <mergeCell ref="G37:J38"/>
    <mergeCell ref="C33:D35"/>
    <mergeCell ref="E33:F33"/>
    <mergeCell ref="E34:F35"/>
    <mergeCell ref="G33:J33"/>
    <mergeCell ref="K37:M38"/>
    <mergeCell ref="N37:S38"/>
    <mergeCell ref="K33:M33"/>
    <mergeCell ref="N33:S33"/>
    <mergeCell ref="G34:J35"/>
    <mergeCell ref="K34:M35"/>
    <mergeCell ref="N34:S35"/>
    <mergeCell ref="G36:J36"/>
    <mergeCell ref="K36:M36"/>
    <mergeCell ref="N36:S36"/>
  </mergeCells>
  <phoneticPr fontId="4"/>
  <conditionalFormatting sqref="O2:R2">
    <cfRule type="containsBlanks" dxfId="15" priority="11">
      <formula>LEN(TRIM(O2))=0</formula>
    </cfRule>
  </conditionalFormatting>
  <conditionalFormatting sqref="L9:S10 L11:Q12">
    <cfRule type="containsBlanks" dxfId="14" priority="10">
      <formula>LEN(TRIM(L9))=0</formula>
    </cfRule>
  </conditionalFormatting>
  <conditionalFormatting sqref="L4:M4 O4 Q4">
    <cfRule type="containsBlanks" dxfId="13" priority="12">
      <formula>LEN(TRIM(L4))=0</formula>
    </cfRule>
  </conditionalFormatting>
  <conditionalFormatting sqref="L8:N8">
    <cfRule type="containsBlanks" dxfId="12" priority="8">
      <formula>LEN(TRIM(L8))=0</formula>
    </cfRule>
  </conditionalFormatting>
  <conditionalFormatting sqref="F20:G20">
    <cfRule type="containsBlanks" dxfId="11" priority="7">
      <formula>LEN(TRIM(F20))=0</formula>
    </cfRule>
  </conditionalFormatting>
  <conditionalFormatting sqref="F18">
    <cfRule type="containsBlanks" dxfId="10" priority="4">
      <formula>LEN(TRIM(F18))=0</formula>
    </cfRule>
    <cfRule type="containsBlanks" dxfId="9" priority="5">
      <formula>LEN(TRIM(F18))=0</formula>
    </cfRule>
    <cfRule type="containsBlanks" dxfId="8" priority="6">
      <formula>LEN(TRIM(F18))=0</formula>
    </cfRule>
  </conditionalFormatting>
  <conditionalFormatting sqref="C24:D24 F24 H24 J24 L24 N24:O24 Q24:R24">
    <cfRule type="containsBlanks" dxfId="7" priority="3">
      <formula>LEN(TRIM(C24))=0</formula>
    </cfRule>
  </conditionalFormatting>
  <conditionalFormatting sqref="G33:J35 N33:S35">
    <cfRule type="containsBlanks" dxfId="6" priority="13">
      <formula>LEN(TRIM(G33))=0</formula>
    </cfRule>
  </conditionalFormatting>
  <conditionalFormatting sqref="G36:J38 N36:S38">
    <cfRule type="containsBlanks" dxfId="5" priority="14">
      <formula>LEN(TRIM(G36))=0</formula>
    </cfRule>
  </conditionalFormatting>
  <dataValidations count="3">
    <dataValidation type="whole" allowBlank="1" showInputMessage="1" showErrorMessage="1" sqref="Q4" xr:uid="{A6A77531-D082-4A38-B66F-9DFD89739253}">
      <formula1>1</formula1>
      <formula2>31</formula2>
    </dataValidation>
    <dataValidation type="whole" allowBlank="1" showInputMessage="1" showErrorMessage="1" sqref="O4" xr:uid="{981DD9B8-A962-4C5C-BE2D-3FD43E2A3479}">
      <formula1>1</formula1>
      <formula2>12</formula2>
    </dataValidation>
    <dataValidation allowBlank="1" showErrorMessage="1" prompt="_x000a_" sqref="L24" xr:uid="{3B819FA2-2CDA-4964-AAEB-4A4B0BA467B0}"/>
  </dataValidations>
  <pageMargins left="0.7" right="0.7" top="0.75" bottom="0.75" header="0.3" footer="0.3"/>
  <pageSetup paperSize="9" scale="7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B85"/>
  <sheetViews>
    <sheetView showGridLines="0" view="pageBreakPreview" topLeftCell="A22" zoomScale="80" zoomScaleNormal="100" zoomScaleSheetLayoutView="80" workbookViewId="0">
      <selection activeCell="G33" sqref="G33:K33"/>
    </sheetView>
  </sheetViews>
  <sheetFormatPr defaultRowHeight="18.75"/>
  <cols>
    <col min="1" max="1" width="2.125" style="9" customWidth="1"/>
    <col min="2" max="2" width="3.125" style="9" customWidth="1"/>
    <col min="3" max="3" width="4.125" style="9" customWidth="1"/>
    <col min="4" max="4" width="6.625" style="9" customWidth="1"/>
    <col min="5" max="5" width="3.625" style="9" customWidth="1"/>
    <col min="6" max="6" width="10" style="9" customWidth="1"/>
    <col min="7" max="7" width="3.625" style="9" customWidth="1"/>
    <col min="8" max="8" width="9.125" style="9" customWidth="1"/>
    <col min="9" max="9" width="3.125" style="9" customWidth="1"/>
    <col min="10" max="10" width="7.625" style="9" customWidth="1"/>
    <col min="11" max="11" width="6.875" style="9" customWidth="1"/>
    <col min="12" max="12" width="7.125" style="9" customWidth="1"/>
    <col min="13" max="13" width="4.625" style="9" customWidth="1"/>
    <col min="14" max="14" width="3.5" style="9" customWidth="1"/>
    <col min="15" max="15" width="4.125" style="9" customWidth="1"/>
    <col min="16" max="16" width="5.125" style="9" customWidth="1"/>
    <col min="17" max="17" width="5.625" style="9" customWidth="1"/>
    <col min="18" max="18" width="4.125" style="9" customWidth="1"/>
    <col min="19" max="19" width="5.625" style="9" customWidth="1"/>
    <col min="20" max="20" width="3" style="9" customWidth="1"/>
    <col min="21" max="22" width="3" customWidth="1"/>
  </cols>
  <sheetData>
    <row r="1" spans="1:28" ht="22.35" customHeight="1">
      <c r="A1" s="14"/>
      <c r="B1" s="592" t="s">
        <v>254</v>
      </c>
      <c r="C1" s="592"/>
      <c r="D1" s="592"/>
      <c r="E1" s="14"/>
      <c r="F1" s="14"/>
      <c r="G1" s="14"/>
      <c r="H1" s="14"/>
      <c r="I1" s="14"/>
      <c r="J1" s="14"/>
      <c r="K1" s="14"/>
      <c r="L1" s="14"/>
      <c r="M1" s="14"/>
      <c r="N1" s="14"/>
      <c r="O1" s="14"/>
      <c r="P1" s="14"/>
      <c r="Q1" s="14"/>
      <c r="R1" s="14"/>
      <c r="S1" s="14"/>
      <c r="U1" s="2"/>
      <c r="V1" s="2"/>
      <c r="W1" s="2"/>
      <c r="X1" s="2"/>
      <c r="Y1" s="2"/>
      <c r="Z1" s="2"/>
      <c r="AA1" s="2"/>
      <c r="AB1" s="2"/>
    </row>
    <row r="2" spans="1:28" ht="15.6" customHeight="1">
      <c r="A2" s="14"/>
      <c r="F2" s="14"/>
      <c r="G2" s="14"/>
      <c r="H2" s="14"/>
      <c r="I2" s="14"/>
      <c r="J2" s="14"/>
      <c r="K2" s="14"/>
      <c r="L2" s="14"/>
      <c r="M2" s="586" t="s">
        <v>17</v>
      </c>
      <c r="N2" s="587"/>
      <c r="O2" s="588">
        <f>団体基本情報入力!D4</f>
        <v>0</v>
      </c>
      <c r="P2" s="589"/>
      <c r="Q2" s="589"/>
      <c r="R2" s="590"/>
      <c r="S2" s="14"/>
      <c r="U2" s="2"/>
      <c r="V2" s="2"/>
      <c r="W2" s="2"/>
      <c r="X2" s="2"/>
      <c r="Y2" s="2"/>
      <c r="Z2" s="2"/>
      <c r="AA2" s="2"/>
      <c r="AB2" s="2"/>
    </row>
    <row r="3" spans="1:28" ht="15.6" customHeight="1">
      <c r="A3" s="14"/>
      <c r="B3" s="15"/>
      <c r="C3" s="15"/>
      <c r="D3" s="14"/>
      <c r="E3" s="14"/>
      <c r="F3" s="14"/>
      <c r="G3" s="14"/>
      <c r="H3" s="14"/>
      <c r="I3" s="14"/>
      <c r="J3" s="14"/>
      <c r="K3" s="14"/>
      <c r="L3" s="14"/>
      <c r="M3" s="16"/>
      <c r="N3" s="16"/>
      <c r="O3" s="16"/>
      <c r="P3" s="16"/>
      <c r="Q3" s="16"/>
      <c r="R3" s="16"/>
      <c r="S3" s="14"/>
      <c r="U3" s="2"/>
      <c r="V3" s="2"/>
      <c r="W3" s="2"/>
      <c r="X3" s="2"/>
      <c r="Y3" s="2"/>
      <c r="Z3" s="2"/>
      <c r="AA3" s="2"/>
      <c r="AB3" s="2"/>
    </row>
    <row r="4" spans="1:28">
      <c r="A4" s="13"/>
      <c r="B4" s="13"/>
      <c r="C4" s="13"/>
      <c r="D4" s="13"/>
      <c r="E4" s="13"/>
      <c r="F4" s="13"/>
      <c r="G4" s="13"/>
      <c r="H4" s="13"/>
      <c r="I4" s="13"/>
      <c r="J4" s="13"/>
      <c r="K4" s="13"/>
      <c r="L4" s="17" t="s">
        <v>102</v>
      </c>
      <c r="M4" s="5"/>
      <c r="N4" s="13" t="s">
        <v>18</v>
      </c>
      <c r="O4" s="5"/>
      <c r="P4" s="18" t="s">
        <v>19</v>
      </c>
      <c r="Q4" s="5"/>
      <c r="R4" s="18" t="s">
        <v>20</v>
      </c>
      <c r="S4" s="13"/>
      <c r="U4" s="2"/>
      <c r="V4" s="2"/>
      <c r="W4" s="2"/>
      <c r="X4" s="2"/>
      <c r="Y4" s="2"/>
      <c r="Z4" s="2"/>
      <c r="AA4" s="2"/>
      <c r="AB4" s="2"/>
    </row>
    <row r="5" spans="1:28">
      <c r="A5" s="13"/>
      <c r="B5" s="13"/>
      <c r="C5" s="13"/>
      <c r="D5" s="13"/>
      <c r="E5" s="13"/>
      <c r="F5" s="13"/>
      <c r="G5" s="13"/>
      <c r="H5" s="13"/>
      <c r="I5" s="13"/>
      <c r="J5" s="13"/>
      <c r="K5" s="13"/>
      <c r="L5" s="13"/>
      <c r="M5" s="13"/>
      <c r="N5" s="13"/>
      <c r="O5" s="13"/>
      <c r="P5" s="13"/>
      <c r="Q5" s="13"/>
      <c r="R5" s="13"/>
      <c r="S5" s="13"/>
      <c r="U5" s="2"/>
      <c r="V5" s="2"/>
      <c r="W5" s="2"/>
      <c r="X5" s="2"/>
      <c r="Y5" s="2"/>
      <c r="Z5" s="2"/>
      <c r="AA5" s="2"/>
      <c r="AB5" s="2"/>
    </row>
    <row r="6" spans="1:28">
      <c r="A6" s="13"/>
      <c r="B6" s="13"/>
      <c r="C6" s="13"/>
      <c r="D6" s="13"/>
      <c r="E6" s="13"/>
      <c r="F6" s="13"/>
      <c r="G6" s="13"/>
      <c r="H6" s="13"/>
      <c r="I6" s="13"/>
      <c r="J6" s="13"/>
      <c r="K6" s="13"/>
      <c r="L6" s="13"/>
      <c r="M6" s="13"/>
      <c r="N6" s="13"/>
      <c r="O6" s="13"/>
      <c r="P6" s="13"/>
      <c r="Q6" s="13"/>
      <c r="R6" s="13"/>
      <c r="S6" s="13"/>
      <c r="U6" s="2"/>
      <c r="V6" s="2"/>
      <c r="W6" s="2"/>
      <c r="X6" s="2"/>
      <c r="Y6" s="2"/>
      <c r="Z6" s="2"/>
      <c r="AA6" s="2"/>
      <c r="AB6" s="2"/>
    </row>
    <row r="7" spans="1:28">
      <c r="A7" s="13"/>
      <c r="B7" s="577" t="s">
        <v>21</v>
      </c>
      <c r="C7" s="577"/>
      <c r="D7" s="577"/>
      <c r="E7" s="577"/>
      <c r="F7" s="577"/>
      <c r="G7" s="577"/>
      <c r="H7" s="577"/>
      <c r="I7" s="13"/>
      <c r="J7" s="13"/>
      <c r="K7" s="13"/>
      <c r="L7" s="13"/>
      <c r="M7" s="13"/>
      <c r="N7" s="13"/>
      <c r="O7" s="13"/>
      <c r="P7" s="13"/>
      <c r="Q7" s="13"/>
      <c r="R7" s="13"/>
      <c r="S7" s="13"/>
      <c r="U7" s="2"/>
      <c r="V7" s="2"/>
      <c r="W7" s="2"/>
      <c r="X7" s="2"/>
      <c r="Y7" s="2"/>
      <c r="Z7" s="2"/>
      <c r="AA7" s="2"/>
      <c r="AB7" s="2"/>
    </row>
    <row r="8" spans="1:28">
      <c r="A8" s="13"/>
      <c r="B8" s="13"/>
      <c r="C8" s="13"/>
      <c r="D8" s="13"/>
      <c r="E8" s="13"/>
      <c r="F8" s="13"/>
      <c r="G8" s="13"/>
      <c r="H8" s="13"/>
      <c r="I8" s="13"/>
      <c r="J8" s="13"/>
      <c r="K8" s="17" t="s">
        <v>42</v>
      </c>
      <c r="L8" s="603">
        <f>団体基本情報入力!D8</f>
        <v>0</v>
      </c>
      <c r="M8" s="603"/>
      <c r="N8" s="20"/>
      <c r="O8" s="20"/>
      <c r="P8" s="6"/>
      <c r="Q8" s="6"/>
      <c r="R8" s="6"/>
      <c r="S8" s="6"/>
      <c r="U8" s="2"/>
      <c r="V8" s="2"/>
      <c r="W8" s="2"/>
      <c r="X8" s="2"/>
      <c r="Y8" s="2"/>
      <c r="Z8" s="2"/>
      <c r="AA8" s="2"/>
      <c r="AB8" s="2"/>
    </row>
    <row r="9" spans="1:28" ht="40.35" customHeight="1">
      <c r="A9" s="19"/>
      <c r="B9" s="19"/>
      <c r="C9" s="19"/>
      <c r="D9" s="19"/>
      <c r="E9" s="19"/>
      <c r="F9" s="19"/>
      <c r="G9" s="19"/>
      <c r="H9" s="19"/>
      <c r="I9" s="19"/>
      <c r="J9" s="583" t="s">
        <v>77</v>
      </c>
      <c r="K9" s="583"/>
      <c r="L9" s="594">
        <f>団体基本情報入力!D9</f>
        <v>0</v>
      </c>
      <c r="M9" s="594"/>
      <c r="N9" s="594"/>
      <c r="O9" s="594"/>
      <c r="P9" s="594"/>
      <c r="Q9" s="594"/>
      <c r="R9" s="594"/>
      <c r="S9" s="594"/>
      <c r="U9" s="2"/>
      <c r="V9" s="2"/>
      <c r="W9" s="2"/>
      <c r="X9" s="2"/>
      <c r="Y9" s="2"/>
      <c r="Z9" s="2"/>
      <c r="AA9" s="2"/>
      <c r="AB9" s="2"/>
    </row>
    <row r="10" spans="1:28" ht="40.35" customHeight="1">
      <c r="A10" s="13"/>
      <c r="B10" s="13"/>
      <c r="C10" s="13"/>
      <c r="D10" s="13"/>
      <c r="E10" s="13"/>
      <c r="F10" s="13"/>
      <c r="G10" s="13"/>
      <c r="H10" s="13"/>
      <c r="I10" s="19"/>
      <c r="J10" s="583" t="s">
        <v>78</v>
      </c>
      <c r="K10" s="583"/>
      <c r="L10" s="594">
        <f>団体基本情報入力!D7</f>
        <v>0</v>
      </c>
      <c r="M10" s="594"/>
      <c r="N10" s="594"/>
      <c r="O10" s="594"/>
      <c r="P10" s="594"/>
      <c r="Q10" s="594"/>
      <c r="R10" s="594"/>
      <c r="S10" s="594"/>
      <c r="U10" s="2"/>
      <c r="V10" s="2"/>
      <c r="W10" s="2"/>
      <c r="X10" s="2"/>
      <c r="Y10" s="2"/>
      <c r="Z10" s="2"/>
      <c r="AA10" s="2"/>
      <c r="AB10" s="2"/>
    </row>
    <row r="11" spans="1:28">
      <c r="A11" s="13"/>
      <c r="B11" s="13"/>
      <c r="C11" s="13"/>
      <c r="D11" s="13"/>
      <c r="E11" s="13"/>
      <c r="F11" s="13"/>
      <c r="G11" s="13"/>
      <c r="H11" s="13"/>
      <c r="I11" s="19"/>
      <c r="J11" s="583" t="s">
        <v>15</v>
      </c>
      <c r="K11" s="583"/>
      <c r="L11" s="603">
        <f>団体基本情報入力!D10</f>
        <v>0</v>
      </c>
      <c r="M11" s="603"/>
      <c r="N11" s="603"/>
      <c r="O11" s="603"/>
      <c r="P11" s="603"/>
      <c r="Q11" s="603"/>
      <c r="R11" s="6"/>
      <c r="S11" s="6"/>
      <c r="U11" s="2"/>
      <c r="V11" s="2"/>
      <c r="W11" s="2"/>
      <c r="X11" s="2"/>
      <c r="Y11" s="2"/>
      <c r="Z11" s="2"/>
      <c r="AA11" s="2"/>
      <c r="AB11" s="2"/>
    </row>
    <row r="12" spans="1:28">
      <c r="A12" s="13"/>
      <c r="B12" s="13"/>
      <c r="C12" s="13"/>
      <c r="D12" s="13"/>
      <c r="E12" s="13"/>
      <c r="F12" s="13"/>
      <c r="G12" s="13"/>
      <c r="H12" s="13"/>
      <c r="I12" s="19"/>
      <c r="J12" s="583" t="s">
        <v>79</v>
      </c>
      <c r="K12" s="583"/>
      <c r="L12" s="603">
        <f>団体基本情報入力!D11</f>
        <v>0</v>
      </c>
      <c r="M12" s="603"/>
      <c r="N12" s="603"/>
      <c r="O12" s="603"/>
      <c r="P12" s="603"/>
      <c r="Q12" s="603"/>
      <c r="R12" s="7"/>
      <c r="S12" s="6"/>
      <c r="U12" s="2"/>
      <c r="V12" s="2"/>
      <c r="W12" s="2"/>
      <c r="X12" s="2"/>
      <c r="Y12" s="2"/>
      <c r="Z12" s="2"/>
      <c r="AA12" s="2"/>
      <c r="AB12" s="2"/>
    </row>
    <row r="13" spans="1:28">
      <c r="A13" s="13"/>
      <c r="B13" s="13"/>
      <c r="C13" s="13"/>
      <c r="D13" s="13"/>
      <c r="E13" s="13"/>
      <c r="F13" s="13"/>
      <c r="G13" s="13"/>
      <c r="H13" s="13"/>
      <c r="I13" s="13"/>
      <c r="J13" s="13"/>
      <c r="K13" s="13"/>
      <c r="L13" s="13"/>
      <c r="M13" s="13"/>
      <c r="N13" s="13"/>
      <c r="O13" s="13"/>
      <c r="P13" s="13"/>
      <c r="Q13" s="13"/>
      <c r="R13" s="13"/>
      <c r="S13" s="13"/>
      <c r="U13" s="2"/>
      <c r="V13" s="2"/>
      <c r="W13" s="2"/>
      <c r="X13" s="2"/>
      <c r="Y13" s="2"/>
      <c r="Z13" s="2"/>
      <c r="AA13" s="2"/>
      <c r="AB13" s="2"/>
    </row>
    <row r="14" spans="1:28">
      <c r="F14" s="593" t="s">
        <v>102</v>
      </c>
      <c r="G14" s="593"/>
      <c r="H14" s="66">
        <f>団体基本情報入力!D3</f>
        <v>7</v>
      </c>
      <c r="I14" s="65" t="s">
        <v>123</v>
      </c>
      <c r="K14" s="65"/>
      <c r="L14" s="65"/>
      <c r="M14" s="65"/>
      <c r="N14" s="65"/>
      <c r="O14" s="65"/>
      <c r="P14" s="65"/>
      <c r="Q14" s="65"/>
      <c r="R14" s="65"/>
      <c r="S14" s="65"/>
      <c r="U14" s="2"/>
      <c r="V14" s="2"/>
      <c r="W14" s="2"/>
      <c r="X14" s="2"/>
      <c r="Y14" s="2"/>
      <c r="Z14" s="2"/>
      <c r="AA14" s="2"/>
      <c r="AB14" s="2"/>
    </row>
    <row r="15" spans="1:28">
      <c r="A15" s="13"/>
      <c r="B15" s="13"/>
      <c r="C15" s="13"/>
      <c r="D15" s="13"/>
      <c r="E15" s="13"/>
      <c r="F15" s="13"/>
      <c r="G15" s="13"/>
      <c r="H15" s="13"/>
      <c r="I15" s="13"/>
      <c r="J15" s="13"/>
      <c r="K15" s="13"/>
      <c r="L15" s="13"/>
      <c r="M15" s="13"/>
      <c r="N15" s="13"/>
      <c r="O15" s="13"/>
      <c r="P15" s="13"/>
      <c r="Q15" s="13"/>
      <c r="R15" s="13"/>
      <c r="S15" s="13"/>
      <c r="U15" s="2"/>
      <c r="V15" s="2"/>
      <c r="W15" s="2"/>
      <c r="X15" s="2"/>
      <c r="Y15" s="2"/>
      <c r="Z15" s="2"/>
      <c r="AA15" s="2"/>
      <c r="AB15" s="2"/>
    </row>
    <row r="16" spans="1:28">
      <c r="A16" s="13"/>
      <c r="B16" s="13"/>
      <c r="C16" s="13"/>
      <c r="D16" s="577" t="s">
        <v>80</v>
      </c>
      <c r="E16" s="577"/>
      <c r="F16" s="577"/>
      <c r="G16" s="577"/>
      <c r="H16" s="577"/>
      <c r="I16" s="13"/>
      <c r="J16" s="13"/>
      <c r="K16" s="13"/>
      <c r="L16" s="13"/>
      <c r="M16" s="13"/>
      <c r="N16" s="13"/>
      <c r="O16" s="13"/>
      <c r="P16" s="13"/>
      <c r="Q16" s="13"/>
      <c r="R16" s="13"/>
      <c r="S16" s="13"/>
      <c r="U16" s="2"/>
      <c r="V16" s="2"/>
      <c r="W16" s="2"/>
      <c r="X16" s="2"/>
      <c r="Y16" s="2"/>
      <c r="Z16" s="2"/>
      <c r="AA16" s="2"/>
      <c r="AB16" s="2"/>
    </row>
    <row r="17" spans="1:28">
      <c r="A17" s="13"/>
      <c r="B17" s="13"/>
      <c r="C17" s="13"/>
      <c r="D17" s="13"/>
      <c r="E17" s="13"/>
      <c r="F17" s="13"/>
      <c r="G17" s="13"/>
      <c r="H17" s="13"/>
      <c r="I17" s="13"/>
      <c r="J17" s="13"/>
      <c r="K17" s="13"/>
      <c r="L17" s="13"/>
      <c r="M17" s="13"/>
      <c r="N17" s="13"/>
      <c r="O17" s="13"/>
      <c r="P17" s="13"/>
      <c r="Q17" s="13"/>
      <c r="R17" s="13"/>
      <c r="S17" s="13"/>
      <c r="U17" s="2"/>
      <c r="V17" s="2"/>
      <c r="W17" s="2"/>
      <c r="X17" s="2"/>
      <c r="Y17" s="2"/>
      <c r="Z17" s="2"/>
      <c r="AA17" s="2"/>
      <c r="AB17" s="2"/>
    </row>
    <row r="18" spans="1:28" ht="26.1" customHeight="1">
      <c r="A18" s="13"/>
      <c r="B18" s="13"/>
      <c r="C18" s="577" t="s">
        <v>122</v>
      </c>
      <c r="D18" s="577"/>
      <c r="E18" s="577"/>
      <c r="F18" s="594">
        <f>団体基本情報入力!D14</f>
        <v>0</v>
      </c>
      <c r="G18" s="594"/>
      <c r="H18" s="594"/>
      <c r="I18" s="594"/>
      <c r="J18" s="594"/>
      <c r="K18" s="594"/>
      <c r="L18" s="594"/>
      <c r="M18" s="60" t="s">
        <v>113</v>
      </c>
      <c r="N18" s="60"/>
      <c r="O18" s="60"/>
      <c r="P18" s="21" t="s">
        <v>23</v>
      </c>
      <c r="Q18" s="13"/>
      <c r="R18" s="13"/>
      <c r="S18" s="13"/>
      <c r="U18" s="2"/>
      <c r="V18" s="2"/>
      <c r="W18" s="2"/>
      <c r="X18" s="2"/>
      <c r="Y18" s="2"/>
      <c r="Z18" s="2"/>
      <c r="AA18" s="2"/>
      <c r="AB18" s="2"/>
    </row>
    <row r="19" spans="1:28">
      <c r="A19" s="13"/>
      <c r="B19" s="13"/>
      <c r="C19" s="13"/>
      <c r="D19" s="13"/>
      <c r="E19" s="13"/>
      <c r="F19" s="13"/>
      <c r="G19" s="13"/>
      <c r="H19" s="13"/>
      <c r="I19" s="13"/>
      <c r="J19" s="13"/>
      <c r="K19" s="13"/>
      <c r="L19" s="13"/>
      <c r="M19" s="13"/>
      <c r="N19" s="13"/>
      <c r="O19" s="13"/>
      <c r="P19" s="13"/>
      <c r="Q19" s="13"/>
      <c r="R19" s="13"/>
      <c r="S19" s="13"/>
      <c r="U19" s="2"/>
      <c r="V19" s="2"/>
      <c r="W19" s="2"/>
      <c r="X19" s="2"/>
      <c r="Y19" s="2"/>
      <c r="Z19" s="2"/>
      <c r="AA19" s="2"/>
      <c r="AB19" s="2"/>
    </row>
    <row r="20" spans="1:28">
      <c r="A20" s="13"/>
      <c r="B20" s="13"/>
      <c r="C20" s="577" t="s">
        <v>121</v>
      </c>
      <c r="D20" s="577"/>
      <c r="E20" s="577"/>
      <c r="F20" s="580">
        <f>N24</f>
        <v>0</v>
      </c>
      <c r="G20" s="580"/>
      <c r="H20" s="13" t="s">
        <v>39</v>
      </c>
      <c r="I20" s="13"/>
      <c r="J20" s="13"/>
      <c r="K20" s="13"/>
      <c r="L20" s="13"/>
      <c r="M20" s="13"/>
      <c r="N20" s="13"/>
      <c r="O20" s="13"/>
      <c r="P20" s="13"/>
      <c r="Q20" s="13"/>
      <c r="R20" s="13"/>
      <c r="S20" s="13"/>
      <c r="U20" s="2"/>
      <c r="V20" s="2"/>
      <c r="W20" s="2"/>
      <c r="X20" s="2"/>
      <c r="Y20" s="2"/>
      <c r="Z20" s="2"/>
      <c r="AA20" s="2"/>
      <c r="AB20" s="2"/>
    </row>
    <row r="21" spans="1:28">
      <c r="A21" s="13"/>
      <c r="B21" s="13"/>
      <c r="C21" s="13"/>
      <c r="D21" s="13"/>
      <c r="E21" s="13"/>
      <c r="F21" s="13"/>
      <c r="G21" s="13"/>
      <c r="H21" s="13"/>
      <c r="I21" s="13"/>
      <c r="J21" s="13"/>
      <c r="K21" s="13"/>
      <c r="L21" s="13"/>
      <c r="M21" s="13"/>
      <c r="N21" s="13"/>
      <c r="O21" s="13"/>
      <c r="P21" s="13"/>
      <c r="Q21" s="13"/>
      <c r="R21" s="13"/>
      <c r="S21" s="13"/>
      <c r="U21" s="2"/>
      <c r="V21" s="2"/>
      <c r="W21" s="2"/>
      <c r="X21" s="2"/>
      <c r="Y21" s="2"/>
      <c r="Z21" s="2"/>
      <c r="AA21" s="2"/>
      <c r="AB21" s="2"/>
    </row>
    <row r="22" spans="1:28">
      <c r="A22" s="13"/>
      <c r="B22" s="13"/>
      <c r="C22" s="578" t="s">
        <v>120</v>
      </c>
      <c r="D22" s="578"/>
      <c r="E22" s="578"/>
      <c r="F22" s="579"/>
      <c r="G22" s="13"/>
      <c r="H22" s="13"/>
      <c r="I22" s="13"/>
      <c r="J22" s="13"/>
      <c r="K22" s="13"/>
      <c r="L22" s="13"/>
      <c r="M22" s="13"/>
      <c r="N22" s="13"/>
      <c r="O22" s="13"/>
      <c r="P22" s="13"/>
      <c r="Q22" s="13"/>
      <c r="R22" s="13"/>
      <c r="S22" s="13"/>
      <c r="T22" s="29"/>
      <c r="U22" s="2"/>
      <c r="V22" s="2"/>
      <c r="W22" s="2"/>
      <c r="X22" s="2"/>
      <c r="Y22" s="2"/>
      <c r="Z22" s="2"/>
      <c r="AA22" s="2"/>
      <c r="AB22" s="2"/>
    </row>
    <row r="23" spans="1:28" ht="60" customHeight="1">
      <c r="A23" s="13"/>
      <c r="B23" s="13"/>
      <c r="C23" s="572" t="s">
        <v>124</v>
      </c>
      <c r="D23" s="573"/>
      <c r="E23" s="573"/>
      <c r="F23" s="572" t="s">
        <v>130</v>
      </c>
      <c r="G23" s="573"/>
      <c r="H23" s="572" t="s">
        <v>126</v>
      </c>
      <c r="I23" s="573"/>
      <c r="J23" s="576" t="s">
        <v>136</v>
      </c>
      <c r="K23" s="576"/>
      <c r="L23" s="572" t="s">
        <v>131</v>
      </c>
      <c r="M23" s="573"/>
      <c r="N23" s="572" t="s">
        <v>135</v>
      </c>
      <c r="O23" s="573"/>
      <c r="P23" s="573"/>
      <c r="Q23" s="572" t="s">
        <v>134</v>
      </c>
      <c r="R23" s="573"/>
      <c r="S23" s="573"/>
      <c r="U23" s="2"/>
      <c r="V23" s="2"/>
      <c r="W23" s="2"/>
      <c r="X23" s="2"/>
      <c r="Y23" s="2"/>
      <c r="Z23" s="2"/>
      <c r="AA23" s="2"/>
      <c r="AB23" s="2"/>
    </row>
    <row r="24" spans="1:28" ht="35.1" customHeight="1">
      <c r="A24" s="13"/>
      <c r="B24" s="13"/>
      <c r="C24" s="574">
        <f>精算額計算書!B40</f>
        <v>0</v>
      </c>
      <c r="D24" s="575"/>
      <c r="E24" s="22" t="s">
        <v>24</v>
      </c>
      <c r="F24" s="23">
        <f>精算額計算書!E40</f>
        <v>0</v>
      </c>
      <c r="G24" s="24" t="s">
        <v>24</v>
      </c>
      <c r="H24" s="23">
        <f>精算額計算書!H40</f>
        <v>0</v>
      </c>
      <c r="I24" s="25" t="s">
        <v>24</v>
      </c>
      <c r="J24" s="23">
        <f>ROUNDDOWN(H24/1000,0)</f>
        <v>0</v>
      </c>
      <c r="K24" s="24" t="s">
        <v>22</v>
      </c>
      <c r="L24" s="23">
        <f>精算額計算書!L40</f>
        <v>0</v>
      </c>
      <c r="M24" s="24" t="s">
        <v>22</v>
      </c>
      <c r="N24" s="574">
        <f>精算額計算書!P40</f>
        <v>0</v>
      </c>
      <c r="O24" s="575"/>
      <c r="P24" s="24" t="s">
        <v>22</v>
      </c>
      <c r="Q24" s="574">
        <f>精算額計算書!R40</f>
        <v>0</v>
      </c>
      <c r="R24" s="575"/>
      <c r="S24" s="24" t="s">
        <v>22</v>
      </c>
      <c r="U24" s="2"/>
      <c r="V24" s="190" t="str">
        <f>IF(Q24&gt;0," ←「精算額計算書」シートの④を要入力！"," ")</f>
        <v xml:space="preserve"> </v>
      </c>
      <c r="X24" s="2"/>
      <c r="Y24" s="2"/>
      <c r="Z24" s="2"/>
      <c r="AA24" s="2"/>
      <c r="AB24" s="2"/>
    </row>
    <row r="25" spans="1:28" ht="10.35" customHeight="1">
      <c r="A25" s="13"/>
      <c r="B25" s="13"/>
      <c r="C25" s="13"/>
      <c r="D25" s="13"/>
      <c r="E25" s="13"/>
      <c r="F25" s="13"/>
      <c r="G25" s="13"/>
      <c r="H25" s="13"/>
      <c r="I25" s="26"/>
      <c r="J25" s="13"/>
      <c r="K25" s="13"/>
      <c r="L25" s="13"/>
      <c r="M25" s="13"/>
      <c r="N25" s="13"/>
      <c r="O25" s="13"/>
      <c r="P25" s="13"/>
      <c r="Q25" s="13"/>
      <c r="R25" s="13"/>
      <c r="S25" s="13"/>
      <c r="U25" s="2"/>
      <c r="V25" s="2"/>
      <c r="W25" s="2"/>
      <c r="X25" s="2"/>
      <c r="Y25" s="2"/>
      <c r="Z25" s="2"/>
      <c r="AA25" s="2"/>
      <c r="AB25" s="2"/>
    </row>
    <row r="26" spans="1:28" ht="9.6" customHeight="1">
      <c r="A26" s="13"/>
      <c r="B26" s="13"/>
      <c r="C26" s="13"/>
      <c r="D26" s="13"/>
      <c r="E26" s="13"/>
      <c r="F26" s="13"/>
      <c r="G26" s="13"/>
      <c r="H26" s="13"/>
      <c r="I26" s="13"/>
      <c r="J26" s="13"/>
      <c r="K26" s="13"/>
      <c r="L26" s="13"/>
      <c r="M26" s="13"/>
      <c r="N26" s="13"/>
      <c r="O26" s="13"/>
      <c r="P26" s="13"/>
      <c r="Q26" s="13"/>
      <c r="R26" s="13"/>
      <c r="S26" s="13"/>
      <c r="U26" s="2"/>
      <c r="V26" s="2"/>
      <c r="W26" s="2"/>
      <c r="X26" s="2"/>
      <c r="Y26" s="2"/>
      <c r="Z26" s="2"/>
      <c r="AA26" s="2"/>
      <c r="AB26" s="2"/>
    </row>
    <row r="27" spans="1:28">
      <c r="A27" s="13"/>
      <c r="B27" s="13"/>
      <c r="C27" s="13"/>
      <c r="D27" s="13"/>
      <c r="E27" s="13"/>
      <c r="F27" s="13"/>
      <c r="G27" s="13"/>
      <c r="H27" s="13"/>
      <c r="I27" s="13"/>
      <c r="J27" s="13"/>
      <c r="K27" s="13"/>
      <c r="L27" s="13"/>
      <c r="M27" s="13"/>
      <c r="N27" s="13"/>
      <c r="O27" s="13"/>
      <c r="P27" s="13"/>
      <c r="Q27" s="13"/>
      <c r="R27" s="13"/>
      <c r="S27" s="13"/>
      <c r="U27" s="2"/>
      <c r="V27" s="2"/>
      <c r="W27" s="2"/>
      <c r="X27" s="2"/>
      <c r="Y27" s="2"/>
      <c r="Z27" s="2"/>
      <c r="AA27" s="2"/>
      <c r="AB27" s="2"/>
    </row>
    <row r="28" spans="1:28">
      <c r="A28" s="13"/>
      <c r="B28" s="13"/>
      <c r="C28" s="577" t="s">
        <v>127</v>
      </c>
      <c r="D28" s="577"/>
      <c r="E28" s="577"/>
      <c r="F28" s="13"/>
      <c r="G28" s="13"/>
      <c r="H28" s="13"/>
      <c r="I28" s="13"/>
      <c r="J28" s="13"/>
      <c r="K28" s="13"/>
      <c r="L28" s="13"/>
      <c r="M28" s="13"/>
      <c r="N28" s="13"/>
      <c r="O28" s="13"/>
      <c r="P28" s="13"/>
      <c r="Q28" s="13"/>
      <c r="R28" s="13"/>
      <c r="S28" s="13"/>
      <c r="U28" s="2"/>
      <c r="V28" s="2"/>
      <c r="W28" s="2"/>
      <c r="X28" s="2"/>
      <c r="Y28" s="2"/>
      <c r="Z28" s="2"/>
      <c r="AA28" s="2"/>
      <c r="AB28" s="2"/>
    </row>
    <row r="29" spans="1:28">
      <c r="A29" s="13"/>
      <c r="B29" s="13"/>
      <c r="C29" s="27">
        <v>-1</v>
      </c>
      <c r="D29" s="44" t="s">
        <v>117</v>
      </c>
      <c r="E29" s="44"/>
      <c r="F29" s="44"/>
      <c r="G29" s="44"/>
      <c r="H29" s="19"/>
      <c r="I29" s="13"/>
      <c r="J29" s="13"/>
      <c r="K29" s="13"/>
      <c r="L29" s="13"/>
      <c r="M29" s="13"/>
      <c r="N29" s="13"/>
      <c r="O29" s="13"/>
      <c r="P29" s="13"/>
      <c r="Q29" s="13"/>
      <c r="R29" s="13"/>
      <c r="S29" s="13"/>
      <c r="U29" s="2"/>
      <c r="V29" s="2"/>
      <c r="W29" s="2"/>
      <c r="X29" s="2"/>
      <c r="Y29" s="2"/>
      <c r="Z29" s="2"/>
      <c r="AA29" s="2"/>
      <c r="AB29" s="2"/>
    </row>
    <row r="30" spans="1:28">
      <c r="A30" s="13"/>
      <c r="B30" s="13"/>
      <c r="C30" s="27">
        <v>-2</v>
      </c>
      <c r="D30" s="44" t="s">
        <v>118</v>
      </c>
      <c r="E30" s="44"/>
      <c r="F30" s="44"/>
      <c r="G30" s="44"/>
      <c r="H30" s="19"/>
      <c r="I30" s="13"/>
      <c r="J30" s="13"/>
      <c r="K30" s="13"/>
      <c r="L30" s="13"/>
      <c r="M30" s="13"/>
      <c r="N30" s="13"/>
      <c r="O30" s="13"/>
      <c r="P30" s="13"/>
      <c r="Q30" s="13"/>
      <c r="R30" s="13"/>
      <c r="S30" s="13"/>
      <c r="U30" s="2"/>
      <c r="V30" s="2"/>
      <c r="W30" s="2"/>
      <c r="X30" s="2"/>
      <c r="Y30" s="2"/>
      <c r="Z30" s="2"/>
      <c r="AA30" s="2"/>
      <c r="AB30" s="2"/>
    </row>
    <row r="31" spans="1:28">
      <c r="A31" s="13"/>
      <c r="B31" s="13"/>
      <c r="C31" s="27">
        <v>-3</v>
      </c>
      <c r="D31" s="44" t="s">
        <v>119</v>
      </c>
      <c r="E31" s="44"/>
      <c r="F31" s="44"/>
      <c r="G31" s="44"/>
      <c r="H31" s="19"/>
      <c r="I31" s="13"/>
      <c r="J31" s="13"/>
      <c r="K31" s="13"/>
      <c r="L31" s="13"/>
      <c r="M31" s="13"/>
      <c r="N31" s="13"/>
      <c r="O31" s="13"/>
      <c r="P31" s="13"/>
      <c r="Q31" s="13"/>
      <c r="R31" s="13"/>
      <c r="S31" s="13"/>
      <c r="U31" s="2"/>
      <c r="V31" s="2"/>
      <c r="W31" s="2"/>
      <c r="X31" s="2"/>
      <c r="Y31" s="2"/>
      <c r="Z31" s="2"/>
      <c r="AA31" s="2"/>
      <c r="AB31" s="2"/>
    </row>
    <row r="32" spans="1:28" ht="10.35" customHeight="1">
      <c r="A32" s="13"/>
      <c r="B32" s="13"/>
      <c r="C32" s="13"/>
      <c r="D32" s="13"/>
      <c r="E32" s="28"/>
      <c r="F32" s="13"/>
      <c r="G32" s="13"/>
      <c r="H32" s="13"/>
      <c r="I32" s="13"/>
      <c r="J32" s="13"/>
      <c r="K32" s="13"/>
      <c r="L32" s="13"/>
      <c r="M32" s="13"/>
      <c r="N32" s="13"/>
      <c r="O32" s="13"/>
      <c r="P32" s="13"/>
      <c r="Q32" s="13"/>
      <c r="R32" s="13"/>
      <c r="S32" s="13"/>
      <c r="U32" s="2"/>
      <c r="V32" s="2"/>
      <c r="W32" s="2"/>
      <c r="X32" s="2"/>
      <c r="Y32" s="2"/>
      <c r="Z32" s="2"/>
      <c r="AA32" s="2"/>
      <c r="AB32" s="2"/>
    </row>
    <row r="33" spans="1:28">
      <c r="A33" s="13"/>
      <c r="B33" s="13"/>
      <c r="C33" s="566" t="s">
        <v>271</v>
      </c>
      <c r="D33" s="567"/>
      <c r="E33" s="588" t="s">
        <v>40</v>
      </c>
      <c r="F33" s="590"/>
      <c r="G33" s="602"/>
      <c r="H33" s="602"/>
      <c r="I33" s="602"/>
      <c r="J33" s="602"/>
      <c r="K33" s="602"/>
      <c r="L33" s="588" t="s">
        <v>267</v>
      </c>
      <c r="M33" s="589"/>
      <c r="N33" s="590"/>
      <c r="O33" s="595"/>
      <c r="P33" s="595"/>
      <c r="Q33" s="595"/>
      <c r="R33" s="595"/>
      <c r="S33" s="595"/>
      <c r="U33" s="2"/>
      <c r="V33" s="2"/>
      <c r="W33" s="2"/>
      <c r="X33" s="2"/>
      <c r="Y33" s="2"/>
      <c r="Z33" s="2"/>
      <c r="AA33" s="2"/>
      <c r="AB33" s="2"/>
    </row>
    <row r="34" spans="1:28" ht="14.1" customHeight="1">
      <c r="A34" s="13"/>
      <c r="B34" s="13"/>
      <c r="C34" s="568"/>
      <c r="D34" s="569"/>
      <c r="E34" s="566" t="s">
        <v>41</v>
      </c>
      <c r="F34" s="567"/>
      <c r="G34" s="595"/>
      <c r="H34" s="595"/>
      <c r="I34" s="595"/>
      <c r="J34" s="595"/>
      <c r="K34" s="595"/>
      <c r="L34" s="596" t="s">
        <v>25</v>
      </c>
      <c r="M34" s="597"/>
      <c r="N34" s="598"/>
      <c r="O34" s="602"/>
      <c r="P34" s="602"/>
      <c r="Q34" s="602"/>
      <c r="R34" s="602"/>
      <c r="S34" s="602"/>
      <c r="U34" s="2"/>
      <c r="V34" s="2"/>
      <c r="W34" s="2"/>
      <c r="X34" s="2"/>
      <c r="Y34" s="2"/>
      <c r="Z34" s="2"/>
      <c r="AA34" s="2"/>
      <c r="AB34" s="2"/>
    </row>
    <row r="35" spans="1:28" ht="6" customHeight="1">
      <c r="A35" s="13"/>
      <c r="B35" s="13"/>
      <c r="C35" s="570"/>
      <c r="D35" s="571"/>
      <c r="E35" s="570"/>
      <c r="F35" s="571"/>
      <c r="G35" s="595"/>
      <c r="H35" s="595"/>
      <c r="I35" s="595"/>
      <c r="J35" s="595"/>
      <c r="K35" s="595"/>
      <c r="L35" s="599"/>
      <c r="M35" s="600"/>
      <c r="N35" s="601"/>
      <c r="O35" s="602"/>
      <c r="P35" s="602"/>
      <c r="Q35" s="602"/>
      <c r="R35" s="602"/>
      <c r="S35" s="602"/>
      <c r="U35" s="2"/>
      <c r="V35" s="2"/>
      <c r="W35" s="2"/>
      <c r="X35" s="2"/>
      <c r="Y35" s="2"/>
      <c r="Z35" s="2"/>
      <c r="AA35" s="2"/>
      <c r="AB35" s="2"/>
    </row>
    <row r="36" spans="1:28" ht="18.75" customHeight="1">
      <c r="A36" s="13"/>
      <c r="B36" s="13"/>
      <c r="C36" s="566" t="s">
        <v>270</v>
      </c>
      <c r="D36" s="567"/>
      <c r="E36" s="588" t="s">
        <v>40</v>
      </c>
      <c r="F36" s="590"/>
      <c r="G36" s="602"/>
      <c r="H36" s="602"/>
      <c r="I36" s="602"/>
      <c r="J36" s="602"/>
      <c r="K36" s="602"/>
      <c r="L36" s="588" t="s">
        <v>267</v>
      </c>
      <c r="M36" s="589"/>
      <c r="N36" s="590"/>
      <c r="O36" s="595"/>
      <c r="P36" s="595"/>
      <c r="Q36" s="595"/>
      <c r="R36" s="595"/>
      <c r="S36" s="595"/>
      <c r="U36" s="2"/>
      <c r="V36" s="2"/>
      <c r="W36" s="2"/>
      <c r="X36" s="2"/>
      <c r="Y36" s="2"/>
      <c r="Z36" s="2"/>
      <c r="AA36" s="2"/>
      <c r="AB36" s="2"/>
    </row>
    <row r="37" spans="1:28" ht="12" customHeight="1">
      <c r="A37" s="13"/>
      <c r="B37" s="13"/>
      <c r="C37" s="568"/>
      <c r="D37" s="569"/>
      <c r="E37" s="566" t="s">
        <v>41</v>
      </c>
      <c r="F37" s="567"/>
      <c r="G37" s="595"/>
      <c r="H37" s="595"/>
      <c r="I37" s="595"/>
      <c r="J37" s="595"/>
      <c r="K37" s="595"/>
      <c r="L37" s="596" t="s">
        <v>25</v>
      </c>
      <c r="M37" s="597"/>
      <c r="N37" s="598"/>
      <c r="O37" s="602"/>
      <c r="P37" s="602"/>
      <c r="Q37" s="602"/>
      <c r="R37" s="602"/>
      <c r="S37" s="602"/>
      <c r="U37" s="2"/>
      <c r="V37" s="2"/>
      <c r="W37" s="2"/>
      <c r="X37" s="2"/>
      <c r="Y37" s="2"/>
      <c r="Z37" s="2"/>
      <c r="AA37" s="2"/>
      <c r="AB37" s="2"/>
    </row>
    <row r="38" spans="1:28" ht="5.25" customHeight="1">
      <c r="A38" s="13"/>
      <c r="B38" s="13"/>
      <c r="C38" s="570"/>
      <c r="D38" s="571"/>
      <c r="E38" s="570"/>
      <c r="F38" s="571"/>
      <c r="G38" s="595"/>
      <c r="H38" s="595"/>
      <c r="I38" s="595"/>
      <c r="J38" s="595"/>
      <c r="K38" s="595"/>
      <c r="L38" s="599"/>
      <c r="M38" s="600"/>
      <c r="N38" s="601"/>
      <c r="O38" s="602"/>
      <c r="P38" s="602"/>
      <c r="Q38" s="602"/>
      <c r="R38" s="602"/>
      <c r="S38" s="602"/>
      <c r="U38" s="2"/>
      <c r="V38" s="2"/>
      <c r="W38" s="2"/>
      <c r="X38" s="2"/>
      <c r="Y38" s="2"/>
      <c r="Z38" s="2"/>
      <c r="AA38" s="2"/>
      <c r="AB38" s="2"/>
    </row>
    <row r="39" spans="1:28" ht="18.75" customHeight="1">
      <c r="A39" s="13"/>
      <c r="B39" s="13"/>
      <c r="C39"/>
      <c r="D39"/>
      <c r="E39"/>
      <c r="F39"/>
      <c r="G39"/>
      <c r="H39"/>
      <c r="I39"/>
      <c r="J39"/>
      <c r="K39"/>
      <c r="L39"/>
      <c r="M39"/>
      <c r="N39"/>
      <c r="O39"/>
      <c r="P39"/>
      <c r="Q39"/>
      <c r="R39"/>
      <c r="S39"/>
      <c r="U39" s="2"/>
      <c r="V39" s="2"/>
      <c r="W39" s="2"/>
      <c r="X39" s="2"/>
      <c r="Y39" s="2"/>
      <c r="Z39" s="2"/>
      <c r="AA39" s="2"/>
      <c r="AB39" s="2"/>
    </row>
    <row r="40" spans="1:28">
      <c r="A40" s="29"/>
      <c r="B40" s="29"/>
      <c r="C40" s="29"/>
      <c r="D40" s="29"/>
      <c r="E40" s="29"/>
      <c r="F40" s="29"/>
      <c r="G40" s="29"/>
      <c r="H40" s="29"/>
      <c r="I40" s="29"/>
      <c r="J40" s="29"/>
      <c r="K40" s="29"/>
      <c r="L40" s="29"/>
      <c r="M40" s="29"/>
      <c r="N40" s="29"/>
      <c r="O40" s="29"/>
      <c r="P40" s="29"/>
      <c r="Q40" s="29"/>
      <c r="R40" s="29"/>
      <c r="S40" s="29"/>
    </row>
    <row r="41" spans="1:28">
      <c r="A41" s="29"/>
      <c r="B41" s="29"/>
      <c r="C41" s="29"/>
      <c r="D41" s="29"/>
      <c r="E41" s="29"/>
      <c r="F41" s="29"/>
      <c r="G41" s="29"/>
      <c r="H41" s="29"/>
      <c r="I41" s="29"/>
      <c r="J41" s="29"/>
      <c r="K41" s="29"/>
      <c r="L41" s="29"/>
      <c r="M41" s="29"/>
      <c r="N41" s="29"/>
      <c r="O41" s="29"/>
      <c r="P41" s="29"/>
      <c r="Q41" s="29"/>
      <c r="R41" s="29"/>
      <c r="S41" s="29"/>
    </row>
    <row r="42" spans="1:28">
      <c r="A42" s="29"/>
      <c r="B42" s="29"/>
      <c r="C42" s="29"/>
      <c r="D42" s="29"/>
      <c r="E42" s="29"/>
      <c r="F42" s="29"/>
      <c r="G42" s="29"/>
      <c r="H42" s="29"/>
      <c r="I42" s="29"/>
      <c r="J42" s="29"/>
      <c r="K42" s="29"/>
      <c r="L42" s="29"/>
      <c r="M42" s="29"/>
      <c r="N42" s="29"/>
      <c r="O42" s="29"/>
      <c r="P42" s="29"/>
      <c r="Q42" s="29"/>
      <c r="R42" s="29"/>
      <c r="S42" s="29"/>
    </row>
    <row r="43" spans="1:28">
      <c r="A43" s="29"/>
      <c r="B43" s="29"/>
      <c r="C43" s="29"/>
      <c r="D43" s="29"/>
      <c r="E43" s="29"/>
      <c r="F43" s="29"/>
      <c r="G43" s="29"/>
      <c r="H43" s="29"/>
      <c r="I43" s="29"/>
      <c r="J43" s="29"/>
      <c r="K43" s="29"/>
      <c r="L43" s="29"/>
      <c r="M43" s="29"/>
      <c r="N43" s="29"/>
      <c r="O43" s="29"/>
      <c r="P43" s="29"/>
      <c r="Q43" s="29"/>
      <c r="R43" s="29"/>
      <c r="S43" s="29"/>
    </row>
    <row r="44" spans="1:28">
      <c r="A44" s="29"/>
      <c r="B44" s="29"/>
      <c r="C44" s="29"/>
      <c r="D44" s="29"/>
      <c r="E44" s="29"/>
      <c r="F44" s="29"/>
      <c r="G44" s="29"/>
      <c r="H44" s="29"/>
      <c r="I44" s="29"/>
      <c r="J44" s="29"/>
      <c r="K44" s="29"/>
      <c r="L44" s="29"/>
      <c r="M44" s="29"/>
      <c r="N44" s="29"/>
      <c r="O44" s="29"/>
      <c r="P44" s="29"/>
      <c r="Q44" s="29"/>
      <c r="R44" s="29"/>
      <c r="S44" s="29"/>
    </row>
    <row r="45" spans="1:28">
      <c r="A45" s="29"/>
      <c r="B45" s="29"/>
      <c r="C45" s="29"/>
      <c r="D45" s="29"/>
      <c r="E45" s="29"/>
      <c r="F45" s="29"/>
      <c r="G45" s="29"/>
      <c r="H45" s="29"/>
      <c r="I45" s="29"/>
      <c r="J45" s="29"/>
      <c r="K45" s="29"/>
      <c r="L45" s="29"/>
      <c r="M45" s="29"/>
      <c r="N45" s="29"/>
      <c r="O45" s="29"/>
      <c r="P45" s="29"/>
      <c r="Q45" s="29"/>
      <c r="R45" s="29"/>
      <c r="S45" s="29"/>
    </row>
    <row r="46" spans="1:28">
      <c r="A46" s="29"/>
      <c r="B46" s="29"/>
      <c r="C46" s="29"/>
      <c r="D46" s="29"/>
      <c r="E46" s="29"/>
      <c r="F46" s="29"/>
      <c r="G46" s="29"/>
      <c r="H46" s="29"/>
      <c r="I46" s="29"/>
      <c r="J46" s="29"/>
      <c r="K46" s="29"/>
      <c r="L46" s="29"/>
      <c r="M46" s="29"/>
      <c r="N46" s="29"/>
      <c r="O46" s="29"/>
      <c r="P46" s="29"/>
      <c r="Q46" s="29"/>
      <c r="R46" s="29"/>
      <c r="S46" s="29"/>
    </row>
    <row r="47" spans="1:28">
      <c r="A47" s="29"/>
      <c r="B47" s="29"/>
      <c r="C47" s="29"/>
      <c r="D47" s="29"/>
      <c r="E47" s="29"/>
      <c r="F47" s="29"/>
      <c r="G47" s="29"/>
      <c r="H47" s="29"/>
      <c r="I47" s="29"/>
      <c r="J47" s="29"/>
      <c r="K47" s="29"/>
      <c r="L47" s="29"/>
      <c r="M47" s="29"/>
      <c r="N47" s="29"/>
      <c r="O47" s="29"/>
      <c r="P47" s="29"/>
      <c r="Q47" s="29"/>
      <c r="R47" s="29"/>
      <c r="S47" s="29"/>
    </row>
    <row r="48" spans="1:28">
      <c r="A48" s="29"/>
      <c r="B48" s="29"/>
      <c r="C48" s="29"/>
      <c r="D48" s="29"/>
      <c r="E48" s="29"/>
      <c r="F48" s="29"/>
      <c r="G48" s="29"/>
      <c r="H48" s="29"/>
      <c r="I48" s="29"/>
      <c r="J48" s="29"/>
      <c r="K48" s="29"/>
      <c r="L48" s="29"/>
      <c r="M48" s="29"/>
      <c r="N48" s="29"/>
      <c r="O48" s="29"/>
      <c r="P48" s="29"/>
      <c r="Q48" s="29"/>
      <c r="R48" s="29"/>
      <c r="S48" s="29"/>
    </row>
    <row r="49" spans="1:19">
      <c r="A49" s="29"/>
      <c r="B49" s="29"/>
      <c r="C49" s="29"/>
      <c r="D49" s="29"/>
      <c r="E49" s="29"/>
      <c r="F49" s="29"/>
      <c r="G49" s="29"/>
      <c r="H49" s="29"/>
      <c r="I49" s="29"/>
      <c r="J49" s="29"/>
      <c r="K49" s="29"/>
      <c r="L49" s="29"/>
      <c r="M49" s="29"/>
      <c r="N49" s="29"/>
      <c r="O49" s="29"/>
      <c r="P49" s="29"/>
      <c r="Q49" s="29"/>
      <c r="R49" s="29"/>
      <c r="S49" s="29"/>
    </row>
    <row r="50" spans="1:19">
      <c r="A50" s="29"/>
      <c r="B50" s="29"/>
      <c r="C50" s="29"/>
      <c r="D50" s="29"/>
      <c r="E50" s="29"/>
      <c r="F50" s="29"/>
      <c r="G50" s="29"/>
      <c r="H50" s="29"/>
      <c r="I50" s="29"/>
      <c r="J50" s="29"/>
      <c r="K50" s="29"/>
      <c r="L50" s="29"/>
      <c r="M50" s="29"/>
      <c r="N50" s="29"/>
      <c r="O50" s="29"/>
      <c r="P50" s="29"/>
      <c r="Q50" s="29"/>
      <c r="R50" s="29"/>
      <c r="S50" s="29"/>
    </row>
    <row r="51" spans="1:19">
      <c r="A51" s="29"/>
      <c r="B51" s="29"/>
      <c r="C51" s="29"/>
      <c r="D51" s="29"/>
      <c r="E51" s="29"/>
      <c r="F51" s="29"/>
      <c r="G51" s="29"/>
      <c r="H51" s="29"/>
      <c r="I51" s="29"/>
      <c r="J51" s="29"/>
      <c r="K51" s="29"/>
      <c r="L51" s="29"/>
      <c r="M51" s="29"/>
      <c r="N51" s="29"/>
      <c r="O51" s="29"/>
      <c r="P51" s="29"/>
      <c r="Q51" s="29"/>
      <c r="R51" s="29"/>
      <c r="S51" s="29"/>
    </row>
    <row r="52" spans="1:19">
      <c r="A52" s="29"/>
      <c r="B52" s="29"/>
      <c r="C52" s="29"/>
      <c r="D52" s="29"/>
      <c r="E52" s="29"/>
      <c r="F52" s="29"/>
      <c r="G52" s="29"/>
      <c r="H52" s="29"/>
      <c r="I52" s="29"/>
      <c r="J52" s="29"/>
      <c r="K52" s="29"/>
      <c r="L52" s="29"/>
      <c r="M52" s="29"/>
      <c r="N52" s="29"/>
      <c r="O52" s="29"/>
      <c r="P52" s="29"/>
      <c r="Q52" s="29"/>
      <c r="R52" s="29"/>
      <c r="S52" s="29"/>
    </row>
    <row r="53" spans="1:19">
      <c r="A53" s="29"/>
      <c r="B53" s="29"/>
      <c r="C53" s="29"/>
      <c r="D53" s="29"/>
      <c r="E53" s="29"/>
      <c r="F53" s="29"/>
      <c r="G53" s="29"/>
      <c r="H53" s="29"/>
      <c r="I53" s="29"/>
      <c r="J53" s="29"/>
      <c r="K53" s="29"/>
      <c r="L53" s="29"/>
      <c r="M53" s="29"/>
      <c r="N53" s="29"/>
      <c r="O53" s="29"/>
      <c r="P53" s="29"/>
      <c r="Q53" s="29"/>
      <c r="R53" s="29"/>
      <c r="S53" s="29"/>
    </row>
    <row r="54" spans="1:19">
      <c r="A54" s="29"/>
      <c r="B54" s="29"/>
      <c r="C54" s="29"/>
      <c r="D54" s="29"/>
      <c r="E54" s="29"/>
      <c r="F54" s="29"/>
      <c r="G54" s="29"/>
      <c r="H54" s="29"/>
      <c r="I54" s="29"/>
      <c r="J54" s="29"/>
      <c r="K54" s="29"/>
      <c r="L54" s="29"/>
      <c r="M54" s="29"/>
      <c r="N54" s="29"/>
      <c r="O54" s="29"/>
      <c r="P54" s="29"/>
      <c r="Q54" s="29"/>
      <c r="R54" s="29"/>
      <c r="S54" s="29"/>
    </row>
    <row r="55" spans="1:19">
      <c r="A55" s="29"/>
      <c r="B55" s="29"/>
      <c r="C55" s="29"/>
      <c r="D55" s="29"/>
      <c r="E55" s="29"/>
      <c r="F55" s="29"/>
      <c r="G55" s="29"/>
      <c r="H55" s="29"/>
      <c r="I55" s="29"/>
      <c r="J55" s="29"/>
      <c r="K55" s="29"/>
      <c r="L55" s="29"/>
      <c r="M55" s="29"/>
      <c r="N55" s="29"/>
      <c r="O55" s="29"/>
      <c r="P55" s="29"/>
      <c r="Q55" s="29"/>
      <c r="R55" s="29"/>
      <c r="S55" s="29"/>
    </row>
    <row r="56" spans="1:19">
      <c r="A56" s="29"/>
      <c r="B56" s="29"/>
      <c r="C56" s="29"/>
      <c r="D56" s="29"/>
      <c r="E56" s="29"/>
      <c r="F56" s="29"/>
      <c r="G56" s="29"/>
      <c r="H56" s="29"/>
      <c r="I56" s="29"/>
      <c r="J56" s="29"/>
      <c r="K56" s="29"/>
      <c r="L56" s="29"/>
      <c r="M56" s="29"/>
      <c r="N56" s="29"/>
      <c r="O56" s="29"/>
      <c r="P56" s="29"/>
      <c r="Q56" s="29"/>
      <c r="R56" s="29"/>
      <c r="S56" s="29"/>
    </row>
    <row r="57" spans="1:19">
      <c r="A57" s="29"/>
      <c r="B57" s="29"/>
      <c r="C57" s="29"/>
      <c r="D57" s="29"/>
      <c r="E57" s="29"/>
      <c r="F57" s="29"/>
      <c r="G57" s="29"/>
      <c r="H57" s="29"/>
      <c r="I57" s="29"/>
      <c r="J57" s="29"/>
      <c r="K57" s="29"/>
      <c r="L57" s="29"/>
      <c r="M57" s="29"/>
      <c r="N57" s="29"/>
      <c r="O57" s="29"/>
      <c r="P57" s="29"/>
      <c r="Q57" s="29"/>
      <c r="R57" s="29"/>
      <c r="S57" s="29"/>
    </row>
    <row r="58" spans="1:19">
      <c r="A58" s="29"/>
      <c r="B58" s="29"/>
      <c r="C58" s="29"/>
      <c r="D58" s="29"/>
      <c r="E58" s="29"/>
      <c r="F58" s="29"/>
      <c r="G58" s="29"/>
      <c r="H58" s="29"/>
      <c r="I58" s="29"/>
      <c r="J58" s="29"/>
      <c r="K58" s="29"/>
      <c r="L58" s="29"/>
      <c r="M58" s="29"/>
      <c r="N58" s="29"/>
      <c r="O58" s="29"/>
      <c r="P58" s="29"/>
      <c r="Q58" s="29"/>
      <c r="R58" s="29"/>
      <c r="S58" s="29"/>
    </row>
    <row r="59" spans="1:19">
      <c r="A59" s="29"/>
      <c r="B59" s="29"/>
      <c r="C59" s="29"/>
      <c r="D59" s="29"/>
      <c r="E59" s="29"/>
      <c r="F59" s="29"/>
      <c r="G59" s="29"/>
      <c r="H59" s="29"/>
      <c r="I59" s="29"/>
      <c r="J59" s="29"/>
      <c r="K59" s="29"/>
      <c r="L59" s="29"/>
      <c r="M59" s="29"/>
      <c r="N59" s="29"/>
      <c r="O59" s="29"/>
      <c r="P59" s="29"/>
      <c r="Q59" s="29"/>
      <c r="R59" s="29"/>
      <c r="S59" s="29"/>
    </row>
    <row r="60" spans="1:19">
      <c r="A60" s="29"/>
      <c r="B60" s="29"/>
      <c r="C60" s="29"/>
      <c r="D60" s="29"/>
      <c r="E60" s="29"/>
      <c r="F60" s="29"/>
      <c r="G60" s="29"/>
      <c r="H60" s="29"/>
      <c r="I60" s="29"/>
      <c r="J60" s="29"/>
      <c r="K60" s="29"/>
      <c r="L60" s="29"/>
      <c r="M60" s="29"/>
      <c r="N60" s="29"/>
      <c r="O60" s="29"/>
      <c r="P60" s="29"/>
      <c r="Q60" s="29"/>
      <c r="R60" s="29"/>
      <c r="S60" s="29"/>
    </row>
    <row r="61" spans="1:19">
      <c r="A61" s="29"/>
      <c r="B61" s="29"/>
      <c r="C61" s="29"/>
      <c r="D61" s="29"/>
      <c r="E61" s="29"/>
      <c r="F61" s="29"/>
      <c r="G61" s="29"/>
      <c r="H61" s="29"/>
      <c r="I61" s="29"/>
      <c r="J61" s="29"/>
      <c r="K61" s="29"/>
      <c r="L61" s="29"/>
      <c r="M61" s="29"/>
      <c r="N61" s="29"/>
      <c r="O61" s="29"/>
      <c r="P61" s="29"/>
      <c r="Q61" s="29"/>
      <c r="R61" s="29"/>
      <c r="S61" s="29"/>
    </row>
    <row r="62" spans="1:19">
      <c r="A62" s="29"/>
      <c r="B62" s="29"/>
      <c r="C62" s="29"/>
      <c r="D62" s="29"/>
      <c r="E62" s="29"/>
      <c r="F62" s="29"/>
      <c r="G62" s="29"/>
      <c r="H62" s="29"/>
      <c r="I62" s="29"/>
      <c r="J62" s="29"/>
      <c r="K62" s="29"/>
      <c r="L62" s="29"/>
      <c r="M62" s="29"/>
      <c r="N62" s="29"/>
      <c r="O62" s="29"/>
      <c r="P62" s="29"/>
      <c r="Q62" s="29"/>
      <c r="R62" s="29"/>
      <c r="S62" s="29"/>
    </row>
    <row r="63" spans="1:19">
      <c r="A63" s="29"/>
      <c r="B63" s="29"/>
      <c r="C63" s="29"/>
      <c r="D63" s="29"/>
      <c r="E63" s="29"/>
      <c r="F63" s="29"/>
      <c r="G63" s="29"/>
      <c r="H63" s="29"/>
      <c r="I63" s="29"/>
      <c r="J63" s="29"/>
      <c r="K63" s="29"/>
      <c r="L63" s="29"/>
      <c r="M63" s="29"/>
      <c r="N63" s="29"/>
      <c r="O63" s="29"/>
      <c r="P63" s="29"/>
      <c r="Q63" s="29"/>
      <c r="R63" s="29"/>
      <c r="S63" s="29"/>
    </row>
    <row r="64" spans="1:19">
      <c r="A64" s="29"/>
      <c r="B64" s="29"/>
      <c r="C64" s="29"/>
      <c r="D64" s="29"/>
      <c r="E64" s="29"/>
      <c r="F64" s="29"/>
      <c r="G64" s="29"/>
      <c r="H64" s="29"/>
      <c r="I64" s="29"/>
      <c r="J64" s="29"/>
      <c r="K64" s="29"/>
      <c r="L64" s="29"/>
      <c r="M64" s="29"/>
      <c r="N64" s="29"/>
      <c r="O64" s="29"/>
      <c r="P64" s="29"/>
      <c r="Q64" s="29"/>
      <c r="R64" s="29"/>
      <c r="S64" s="29"/>
    </row>
    <row r="65" spans="1:19">
      <c r="A65" s="29"/>
      <c r="B65" s="29"/>
      <c r="C65" s="29"/>
      <c r="D65" s="29"/>
      <c r="E65" s="29"/>
      <c r="F65" s="29"/>
      <c r="G65" s="29"/>
      <c r="H65" s="29"/>
      <c r="I65" s="29"/>
      <c r="J65" s="29"/>
      <c r="K65" s="29"/>
      <c r="L65" s="29"/>
      <c r="M65" s="29"/>
      <c r="N65" s="29"/>
      <c r="O65" s="29"/>
      <c r="P65" s="29"/>
      <c r="Q65" s="29"/>
      <c r="R65" s="29"/>
      <c r="S65" s="29"/>
    </row>
    <row r="66" spans="1:19">
      <c r="A66" s="29"/>
      <c r="B66" s="29"/>
      <c r="C66" s="29"/>
      <c r="D66" s="29"/>
      <c r="E66" s="29"/>
      <c r="F66" s="29"/>
      <c r="G66" s="29"/>
      <c r="H66" s="29"/>
      <c r="I66" s="29"/>
      <c r="J66" s="29"/>
      <c r="K66" s="29"/>
      <c r="L66" s="29"/>
      <c r="M66" s="29"/>
      <c r="N66" s="29"/>
      <c r="O66" s="29"/>
      <c r="P66" s="29"/>
      <c r="Q66" s="29"/>
      <c r="R66" s="29"/>
      <c r="S66" s="29"/>
    </row>
    <row r="67" spans="1:19">
      <c r="A67" s="29"/>
      <c r="B67" s="29"/>
      <c r="C67" s="29"/>
      <c r="D67" s="29"/>
      <c r="E67" s="29"/>
      <c r="F67" s="29"/>
      <c r="G67" s="29"/>
      <c r="H67" s="29"/>
      <c r="I67" s="29"/>
      <c r="J67" s="29"/>
      <c r="K67" s="29"/>
      <c r="L67" s="29"/>
      <c r="M67" s="29"/>
      <c r="N67" s="29"/>
      <c r="O67" s="29"/>
      <c r="P67" s="29"/>
      <c r="Q67" s="29"/>
      <c r="R67" s="29"/>
      <c r="S67" s="29"/>
    </row>
    <row r="68" spans="1:19">
      <c r="A68" s="29"/>
      <c r="B68" s="29"/>
      <c r="C68" s="29"/>
      <c r="D68" s="29"/>
      <c r="E68" s="29"/>
      <c r="F68" s="29"/>
      <c r="G68" s="29"/>
      <c r="H68" s="29"/>
      <c r="I68" s="29"/>
      <c r="J68" s="29"/>
      <c r="K68" s="29"/>
      <c r="L68" s="29"/>
      <c r="M68" s="29"/>
      <c r="N68" s="29"/>
      <c r="O68" s="29"/>
      <c r="P68" s="29"/>
      <c r="Q68" s="29"/>
      <c r="R68" s="29"/>
      <c r="S68" s="29"/>
    </row>
    <row r="69" spans="1:19">
      <c r="A69" s="29"/>
      <c r="B69" s="29"/>
      <c r="C69" s="29"/>
      <c r="D69" s="29"/>
      <c r="E69" s="29"/>
      <c r="F69" s="29"/>
      <c r="G69" s="29"/>
      <c r="H69" s="29"/>
      <c r="I69" s="29"/>
      <c r="J69" s="29"/>
      <c r="K69" s="29"/>
      <c r="L69" s="29"/>
      <c r="M69" s="29"/>
      <c r="N69" s="29"/>
      <c r="O69" s="29"/>
      <c r="P69" s="29"/>
      <c r="Q69" s="29"/>
      <c r="R69" s="29"/>
      <c r="S69" s="29"/>
    </row>
    <row r="70" spans="1:19">
      <c r="A70" s="29"/>
      <c r="B70" s="29"/>
      <c r="C70" s="29"/>
      <c r="D70" s="29"/>
      <c r="E70" s="29"/>
      <c r="F70" s="29"/>
      <c r="G70" s="29"/>
      <c r="H70" s="29"/>
      <c r="I70" s="29"/>
      <c r="J70" s="29"/>
      <c r="K70" s="29"/>
      <c r="L70" s="29"/>
      <c r="M70" s="29"/>
      <c r="N70" s="29"/>
      <c r="O70" s="29"/>
      <c r="P70" s="29"/>
      <c r="Q70" s="29"/>
      <c r="R70" s="29"/>
      <c r="S70" s="29"/>
    </row>
    <row r="71" spans="1:19">
      <c r="A71" s="29"/>
      <c r="B71" s="29"/>
      <c r="C71" s="29"/>
      <c r="D71" s="29"/>
      <c r="E71" s="29"/>
      <c r="F71" s="29"/>
      <c r="G71" s="29"/>
      <c r="H71" s="29"/>
      <c r="I71" s="29"/>
      <c r="J71" s="29"/>
      <c r="K71" s="29"/>
      <c r="L71" s="29"/>
      <c r="M71" s="29"/>
      <c r="N71" s="29"/>
      <c r="O71" s="29"/>
      <c r="P71" s="29"/>
      <c r="Q71" s="29"/>
      <c r="R71" s="29"/>
      <c r="S71" s="29"/>
    </row>
    <row r="72" spans="1:19">
      <c r="A72" s="29"/>
      <c r="B72" s="29"/>
      <c r="C72" s="29"/>
      <c r="D72" s="29"/>
      <c r="E72" s="29"/>
      <c r="F72" s="29"/>
      <c r="G72" s="29"/>
      <c r="H72" s="29"/>
      <c r="I72" s="29"/>
      <c r="J72" s="29"/>
      <c r="K72" s="29"/>
      <c r="L72" s="29"/>
      <c r="M72" s="29"/>
      <c r="N72" s="29"/>
      <c r="O72" s="29"/>
      <c r="P72" s="29"/>
      <c r="Q72" s="29"/>
      <c r="R72" s="29"/>
      <c r="S72" s="29"/>
    </row>
    <row r="73" spans="1:19">
      <c r="A73" s="29"/>
      <c r="B73" s="29"/>
      <c r="C73" s="29"/>
      <c r="D73" s="29"/>
      <c r="E73" s="29"/>
      <c r="F73" s="29"/>
      <c r="G73" s="29"/>
      <c r="H73" s="29"/>
      <c r="I73" s="29"/>
      <c r="J73" s="29"/>
      <c r="K73" s="29"/>
      <c r="L73" s="29"/>
      <c r="M73" s="29"/>
      <c r="N73" s="29"/>
      <c r="O73" s="29"/>
      <c r="P73" s="29"/>
      <c r="Q73" s="29"/>
      <c r="R73" s="29"/>
      <c r="S73" s="29"/>
    </row>
    <row r="74" spans="1:19">
      <c r="A74" s="29"/>
      <c r="B74" s="29"/>
      <c r="C74" s="29"/>
      <c r="D74" s="29"/>
      <c r="E74" s="29"/>
      <c r="F74" s="29"/>
      <c r="G74" s="29"/>
      <c r="H74" s="29"/>
      <c r="I74" s="29"/>
      <c r="J74" s="29"/>
      <c r="K74" s="29"/>
      <c r="L74" s="29"/>
      <c r="M74" s="29"/>
      <c r="N74" s="29"/>
      <c r="O74" s="29"/>
      <c r="P74" s="29"/>
      <c r="Q74" s="29"/>
      <c r="R74" s="29"/>
      <c r="S74" s="29"/>
    </row>
    <row r="75" spans="1:19">
      <c r="A75" s="29"/>
      <c r="B75" s="29"/>
      <c r="C75" s="29"/>
      <c r="D75" s="29"/>
      <c r="E75" s="29"/>
      <c r="F75" s="29"/>
      <c r="G75" s="29"/>
      <c r="H75" s="29"/>
      <c r="I75" s="29"/>
      <c r="J75" s="29"/>
      <c r="K75" s="29"/>
      <c r="L75" s="29"/>
      <c r="M75" s="29"/>
      <c r="N75" s="29"/>
      <c r="O75" s="29"/>
      <c r="P75" s="29"/>
      <c r="Q75" s="29"/>
      <c r="R75" s="29"/>
      <c r="S75" s="29"/>
    </row>
    <row r="76" spans="1:19">
      <c r="A76" s="29"/>
      <c r="B76" s="29"/>
      <c r="C76" s="29"/>
      <c r="D76" s="29"/>
      <c r="E76" s="29"/>
      <c r="F76" s="29"/>
      <c r="G76" s="29"/>
      <c r="H76" s="29"/>
      <c r="I76" s="29"/>
      <c r="J76" s="29"/>
      <c r="K76" s="29"/>
      <c r="L76" s="29"/>
      <c r="M76" s="29"/>
      <c r="N76" s="29"/>
      <c r="O76" s="29"/>
      <c r="P76" s="29"/>
      <c r="Q76" s="29"/>
      <c r="R76" s="29"/>
      <c r="S76" s="29"/>
    </row>
    <row r="77" spans="1:19">
      <c r="A77" s="29"/>
      <c r="B77" s="29"/>
      <c r="C77" s="29"/>
      <c r="D77" s="29"/>
      <c r="E77" s="29"/>
      <c r="F77" s="29"/>
      <c r="G77" s="29"/>
      <c r="H77" s="29"/>
      <c r="I77" s="29"/>
      <c r="J77" s="29"/>
      <c r="K77" s="29"/>
      <c r="L77" s="29"/>
      <c r="M77" s="29"/>
      <c r="N77" s="29"/>
      <c r="O77" s="29"/>
      <c r="P77" s="29"/>
      <c r="Q77" s="29"/>
      <c r="R77" s="29"/>
      <c r="S77" s="29"/>
    </row>
    <row r="78" spans="1:19">
      <c r="A78" s="29"/>
      <c r="B78" s="29"/>
      <c r="C78" s="29"/>
      <c r="D78" s="29"/>
      <c r="E78" s="29"/>
      <c r="F78" s="29"/>
      <c r="G78" s="29"/>
      <c r="H78" s="29"/>
      <c r="I78" s="29"/>
      <c r="J78" s="29"/>
      <c r="K78" s="29"/>
      <c r="L78" s="29"/>
      <c r="M78" s="29"/>
      <c r="N78" s="29"/>
      <c r="O78" s="29"/>
      <c r="P78" s="29"/>
      <c r="Q78" s="29"/>
      <c r="R78" s="29"/>
      <c r="S78" s="29"/>
    </row>
    <row r="79" spans="1:19">
      <c r="A79" s="29"/>
      <c r="B79" s="29"/>
      <c r="C79" s="29"/>
      <c r="D79" s="29"/>
      <c r="E79" s="29"/>
      <c r="F79" s="29"/>
      <c r="G79" s="29"/>
      <c r="H79" s="29"/>
      <c r="I79" s="29"/>
      <c r="J79" s="29"/>
      <c r="K79" s="29"/>
      <c r="L79" s="29"/>
      <c r="M79" s="29"/>
      <c r="N79" s="29"/>
      <c r="O79" s="29"/>
      <c r="P79" s="29"/>
      <c r="Q79" s="29"/>
      <c r="R79" s="29"/>
      <c r="S79" s="29"/>
    </row>
    <row r="80" spans="1:19">
      <c r="A80" s="29"/>
      <c r="B80" s="29"/>
      <c r="C80" s="29"/>
      <c r="D80" s="29"/>
      <c r="E80" s="29"/>
      <c r="F80" s="29"/>
      <c r="G80" s="29"/>
      <c r="H80" s="29"/>
      <c r="I80" s="29"/>
      <c r="J80" s="29"/>
      <c r="K80" s="29"/>
      <c r="L80" s="29"/>
      <c r="M80" s="29"/>
      <c r="N80" s="29"/>
      <c r="O80" s="29"/>
      <c r="P80" s="29"/>
      <c r="Q80" s="29"/>
      <c r="R80" s="29"/>
      <c r="S80" s="29"/>
    </row>
    <row r="81" spans="1:19">
      <c r="A81" s="29"/>
      <c r="B81" s="29"/>
      <c r="C81" s="29"/>
      <c r="D81" s="29"/>
      <c r="E81" s="29"/>
      <c r="F81" s="29"/>
      <c r="G81" s="29"/>
      <c r="H81" s="29"/>
      <c r="I81" s="29"/>
      <c r="J81" s="29"/>
      <c r="K81" s="29"/>
      <c r="L81" s="29"/>
      <c r="M81" s="29"/>
      <c r="N81" s="29"/>
      <c r="O81" s="29"/>
      <c r="P81" s="29"/>
      <c r="Q81" s="29"/>
      <c r="R81" s="29"/>
      <c r="S81" s="29"/>
    </row>
    <row r="82" spans="1:19">
      <c r="A82" s="29"/>
      <c r="B82" s="29"/>
      <c r="C82" s="29"/>
      <c r="D82" s="29"/>
      <c r="E82" s="29"/>
      <c r="F82" s="29"/>
      <c r="G82" s="29"/>
      <c r="H82" s="29"/>
      <c r="I82" s="29"/>
      <c r="J82" s="29"/>
      <c r="K82" s="29"/>
      <c r="L82" s="29"/>
      <c r="M82" s="29"/>
      <c r="N82" s="29"/>
      <c r="O82" s="29"/>
      <c r="P82" s="29"/>
      <c r="Q82" s="29"/>
      <c r="R82" s="29"/>
      <c r="S82" s="29"/>
    </row>
    <row r="83" spans="1:19">
      <c r="A83" s="29"/>
      <c r="B83" s="29"/>
      <c r="C83" s="29"/>
      <c r="D83" s="29"/>
      <c r="E83" s="29"/>
      <c r="F83" s="29"/>
      <c r="G83" s="29"/>
      <c r="H83" s="29"/>
      <c r="I83" s="29"/>
      <c r="J83" s="29"/>
      <c r="K83" s="29"/>
      <c r="L83" s="29"/>
      <c r="M83" s="29"/>
      <c r="N83" s="29"/>
      <c r="O83" s="29"/>
      <c r="P83" s="29"/>
      <c r="Q83" s="29"/>
      <c r="R83" s="29"/>
      <c r="S83" s="29"/>
    </row>
    <row r="84" spans="1:19">
      <c r="A84" s="29"/>
      <c r="B84" s="29"/>
      <c r="C84" s="29"/>
      <c r="D84" s="29"/>
      <c r="E84" s="29"/>
      <c r="F84" s="29"/>
      <c r="G84" s="29"/>
      <c r="H84" s="29"/>
      <c r="I84" s="29"/>
      <c r="J84" s="29"/>
      <c r="K84" s="29"/>
      <c r="L84" s="29"/>
      <c r="M84" s="29"/>
      <c r="N84" s="29"/>
      <c r="O84" s="29"/>
      <c r="P84" s="29"/>
      <c r="Q84" s="29"/>
      <c r="R84" s="29"/>
      <c r="S84" s="29"/>
    </row>
    <row r="85" spans="1:19">
      <c r="A85" s="29"/>
      <c r="B85" s="29"/>
      <c r="C85" s="29"/>
      <c r="D85" s="29"/>
      <c r="E85" s="29"/>
      <c r="F85" s="29"/>
      <c r="G85" s="29"/>
      <c r="H85" s="29"/>
      <c r="I85" s="29"/>
      <c r="J85" s="29"/>
      <c r="K85" s="29"/>
      <c r="L85" s="29"/>
      <c r="M85" s="29"/>
      <c r="N85" s="29"/>
      <c r="O85" s="29"/>
      <c r="P85" s="29"/>
      <c r="Q85" s="29"/>
      <c r="R85" s="29"/>
      <c r="S85" s="29"/>
    </row>
  </sheetData>
  <sheetProtection autoFilter="0"/>
  <dataConsolidate/>
  <mergeCells count="49">
    <mergeCell ref="O36:S36"/>
    <mergeCell ref="E37:F38"/>
    <mergeCell ref="G37:K38"/>
    <mergeCell ref="L37:N38"/>
    <mergeCell ref="O37:S38"/>
    <mergeCell ref="O34:S35"/>
    <mergeCell ref="E33:F33"/>
    <mergeCell ref="G33:K33"/>
    <mergeCell ref="L33:N33"/>
    <mergeCell ref="O33:S33"/>
    <mergeCell ref="O2:R2"/>
    <mergeCell ref="C18:E18"/>
    <mergeCell ref="B7:H7"/>
    <mergeCell ref="D16:H16"/>
    <mergeCell ref="L8:M8"/>
    <mergeCell ref="L9:S9"/>
    <mergeCell ref="L10:S10"/>
    <mergeCell ref="L11:Q11"/>
    <mergeCell ref="L12:Q12"/>
    <mergeCell ref="J11:K11"/>
    <mergeCell ref="J9:K9"/>
    <mergeCell ref="C22:F22"/>
    <mergeCell ref="C36:D38"/>
    <mergeCell ref="E36:F36"/>
    <mergeCell ref="F18:L18"/>
    <mergeCell ref="M2:N2"/>
    <mergeCell ref="C28:E28"/>
    <mergeCell ref="C33:D35"/>
    <mergeCell ref="E34:F35"/>
    <mergeCell ref="G34:K35"/>
    <mergeCell ref="L34:N35"/>
    <mergeCell ref="G36:K36"/>
    <mergeCell ref="L36:N36"/>
    <mergeCell ref="B1:D1"/>
    <mergeCell ref="J12:K12"/>
    <mergeCell ref="Q23:S23"/>
    <mergeCell ref="C24:D24"/>
    <mergeCell ref="N24:O24"/>
    <mergeCell ref="Q24:R24"/>
    <mergeCell ref="J23:K23"/>
    <mergeCell ref="L23:M23"/>
    <mergeCell ref="N23:P23"/>
    <mergeCell ref="J10:K10"/>
    <mergeCell ref="F14:G14"/>
    <mergeCell ref="C20:E20"/>
    <mergeCell ref="C23:E23"/>
    <mergeCell ref="F23:G23"/>
    <mergeCell ref="H23:I23"/>
    <mergeCell ref="F20:G20"/>
  </mergeCells>
  <phoneticPr fontId="4"/>
  <conditionalFormatting sqref="F20:G20">
    <cfRule type="cellIs" dxfId="4" priority="15" operator="equal">
      <formula>""</formula>
    </cfRule>
  </conditionalFormatting>
  <conditionalFormatting sqref="L24">
    <cfRule type="cellIs" dxfId="3" priority="13" operator="equal">
      <formula>""</formula>
    </cfRule>
  </conditionalFormatting>
  <conditionalFormatting sqref="O2:R2">
    <cfRule type="cellIs" dxfId="2" priority="12" operator="equal">
      <formula>""</formula>
    </cfRule>
  </conditionalFormatting>
  <conditionalFormatting sqref="G33:K35 O33:S35">
    <cfRule type="cellIs" dxfId="1" priority="2" operator="equal">
      <formula>""</formula>
    </cfRule>
  </conditionalFormatting>
  <conditionalFormatting sqref="G36:K38 O36:S38">
    <cfRule type="cellIs" dxfId="0" priority="1" operator="equal">
      <formula>""</formula>
    </cfRule>
  </conditionalFormatting>
  <dataValidations count="4">
    <dataValidation allowBlank="1" showErrorMessage="1" prompt="_x000a_" sqref="L24" xr:uid="{00000000-0002-0000-0A00-000000000000}"/>
    <dataValidation type="whole" allowBlank="1" showErrorMessage="1" sqref="M4" xr:uid="{00000000-0002-0000-0A00-000001000000}">
      <formula1>5</formula1>
      <formula2>6</formula2>
    </dataValidation>
    <dataValidation type="whole" allowBlank="1" showInputMessage="1" showErrorMessage="1" sqref="O4" xr:uid="{82F4C550-81A0-41A4-A664-E3662EE91EBD}">
      <formula1>1</formula1>
      <formula2>12</formula2>
    </dataValidation>
    <dataValidation type="whole" allowBlank="1" showInputMessage="1" showErrorMessage="1" sqref="Q4" xr:uid="{C0D14259-355A-41A1-A39C-BAF449E5AE4C}">
      <formula1>1</formula1>
      <formula2>31</formula2>
    </dataValidation>
  </dataValidations>
  <pageMargins left="0.7" right="0.7" top="0.75" bottom="0.75" header="0.3" footer="0.3"/>
  <pageSetup paperSize="9" scale="5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Q16"/>
  <sheetViews>
    <sheetView zoomScale="69" zoomScaleNormal="69" workbookViewId="0">
      <selection activeCell="Q11" sqref="Q11"/>
    </sheetView>
  </sheetViews>
  <sheetFormatPr defaultRowHeight="18.75"/>
  <cols>
    <col min="1" max="1" width="17.5" customWidth="1"/>
    <col min="11" max="11" width="11.5" customWidth="1"/>
    <col min="12" max="12" width="12.625" customWidth="1"/>
    <col min="13" max="13" width="17.625" customWidth="1"/>
    <col min="15" max="15" width="28.625" customWidth="1"/>
    <col min="17" max="17" width="41.625" bestFit="1" customWidth="1"/>
  </cols>
  <sheetData>
    <row r="1" spans="1:17">
      <c r="A1" s="8" t="s">
        <v>246</v>
      </c>
      <c r="B1" s="9"/>
      <c r="C1" s="10">
        <v>1</v>
      </c>
      <c r="D1" s="9"/>
      <c r="E1" s="10" t="s">
        <v>35</v>
      </c>
      <c r="F1" s="9"/>
      <c r="G1" s="10">
        <v>1</v>
      </c>
      <c r="H1" s="9"/>
      <c r="I1" s="10" t="s">
        <v>36</v>
      </c>
      <c r="J1" s="9"/>
      <c r="K1" s="10" t="s">
        <v>252</v>
      </c>
      <c r="L1" s="10">
        <v>1</v>
      </c>
      <c r="M1" s="10" t="s">
        <v>0</v>
      </c>
      <c r="N1" s="9"/>
      <c r="O1" s="10" t="s">
        <v>222</v>
      </c>
      <c r="Q1" s="12" t="s">
        <v>81</v>
      </c>
    </row>
    <row r="2" spans="1:17">
      <c r="A2" s="8" t="s">
        <v>245</v>
      </c>
      <c r="B2" s="9"/>
      <c r="C2" s="10">
        <v>2</v>
      </c>
      <c r="D2" s="9"/>
      <c r="E2" s="10" t="s">
        <v>30</v>
      </c>
      <c r="F2" s="9"/>
      <c r="G2" s="10">
        <v>2</v>
      </c>
      <c r="H2" s="9"/>
      <c r="I2" s="9"/>
      <c r="J2" s="9"/>
      <c r="K2" s="12" t="s">
        <v>244</v>
      </c>
      <c r="L2" s="10">
        <v>1</v>
      </c>
      <c r="M2" s="10" t="s">
        <v>0</v>
      </c>
      <c r="N2" s="9"/>
      <c r="O2" s="10" t="s">
        <v>218</v>
      </c>
      <c r="Q2" s="12" t="s">
        <v>82</v>
      </c>
    </row>
    <row r="3" spans="1:17">
      <c r="A3" s="8" t="s">
        <v>2</v>
      </c>
      <c r="B3" s="9"/>
      <c r="C3" s="10">
        <v>3</v>
      </c>
      <c r="D3" s="9"/>
      <c r="E3" s="10" t="s">
        <v>32</v>
      </c>
      <c r="F3" s="9"/>
      <c r="G3" s="10">
        <v>3</v>
      </c>
      <c r="H3" s="9"/>
      <c r="I3" s="9"/>
      <c r="J3" s="9"/>
      <c r="K3" s="10" t="s">
        <v>2</v>
      </c>
      <c r="L3" s="10">
        <v>2</v>
      </c>
      <c r="M3" s="10" t="s">
        <v>2</v>
      </c>
      <c r="N3" s="9"/>
      <c r="O3" s="10" t="s">
        <v>33</v>
      </c>
    </row>
    <row r="4" spans="1:17">
      <c r="A4" s="8" t="s">
        <v>198</v>
      </c>
      <c r="B4" s="9"/>
      <c r="C4" s="10">
        <v>4</v>
      </c>
      <c r="D4" s="9"/>
      <c r="E4" s="10" t="s">
        <v>37</v>
      </c>
      <c r="F4" s="9"/>
      <c r="G4" s="9"/>
      <c r="H4" s="9"/>
      <c r="I4" s="9"/>
      <c r="J4" s="9"/>
      <c r="K4" s="10" t="s">
        <v>198</v>
      </c>
      <c r="L4" s="10">
        <v>3</v>
      </c>
      <c r="M4" s="10" t="s">
        <v>213</v>
      </c>
      <c r="N4" s="9"/>
      <c r="O4" s="10" t="s">
        <v>98</v>
      </c>
      <c r="Q4" s="174" t="s">
        <v>195</v>
      </c>
    </row>
    <row r="5" spans="1:17">
      <c r="A5" s="8" t="s">
        <v>199</v>
      </c>
      <c r="B5" s="9"/>
      <c r="C5" s="10">
        <v>5</v>
      </c>
      <c r="D5" s="9"/>
      <c r="E5" s="9"/>
      <c r="F5" s="9"/>
      <c r="G5" s="9"/>
      <c r="H5" s="9"/>
      <c r="I5" s="9"/>
      <c r="J5" s="9"/>
      <c r="K5" s="10" t="s">
        <v>199</v>
      </c>
      <c r="L5" s="10">
        <v>4</v>
      </c>
      <c r="M5" s="10" t="s">
        <v>199</v>
      </c>
      <c r="N5" s="9"/>
      <c r="O5" s="9"/>
      <c r="Q5" s="174" t="s">
        <v>196</v>
      </c>
    </row>
    <row r="6" spans="1:17">
      <c r="A6" s="8" t="s">
        <v>10</v>
      </c>
      <c r="B6" s="9"/>
      <c r="C6" s="10">
        <v>6</v>
      </c>
      <c r="D6" s="9"/>
      <c r="E6" s="10" t="s">
        <v>0</v>
      </c>
      <c r="F6" s="9"/>
      <c r="G6" s="604" t="s">
        <v>138</v>
      </c>
      <c r="H6" s="604"/>
      <c r="I6" s="9"/>
      <c r="J6" s="9"/>
      <c r="K6" s="10" t="s">
        <v>10</v>
      </c>
      <c r="L6" s="10">
        <v>5</v>
      </c>
      <c r="M6" s="10" t="s">
        <v>10</v>
      </c>
      <c r="N6" s="9"/>
      <c r="O6" s="9"/>
      <c r="Q6" s="174" t="s">
        <v>197</v>
      </c>
    </row>
    <row r="7" spans="1:17">
      <c r="A7" s="8" t="s">
        <v>3</v>
      </c>
      <c r="B7" s="9"/>
      <c r="C7" s="10">
        <v>7</v>
      </c>
      <c r="D7" s="9"/>
      <c r="E7" s="10" t="s">
        <v>2</v>
      </c>
      <c r="F7" s="9"/>
      <c r="G7" s="113">
        <v>45717</v>
      </c>
      <c r="H7" s="113">
        <v>45747</v>
      </c>
      <c r="I7" s="113">
        <v>45748</v>
      </c>
      <c r="J7" s="9"/>
      <c r="K7" s="10" t="s">
        <v>3</v>
      </c>
      <c r="L7" s="10">
        <v>6</v>
      </c>
      <c r="M7" s="10" t="s">
        <v>3</v>
      </c>
      <c r="N7" s="9"/>
    </row>
    <row r="8" spans="1:17">
      <c r="A8" s="8" t="s">
        <v>7</v>
      </c>
      <c r="B8" s="9"/>
      <c r="C8" s="10">
        <v>8</v>
      </c>
      <c r="D8" s="9"/>
      <c r="E8" s="10" t="s">
        <v>38</v>
      </c>
      <c r="F8" s="9"/>
      <c r="G8" s="113">
        <v>46142</v>
      </c>
      <c r="H8" s="113">
        <v>46113</v>
      </c>
      <c r="I8" s="113">
        <v>46112</v>
      </c>
      <c r="J8" s="9"/>
      <c r="K8" s="10" t="s">
        <v>7</v>
      </c>
      <c r="L8" s="10">
        <v>7</v>
      </c>
      <c r="M8" s="10" t="s">
        <v>7</v>
      </c>
      <c r="N8" s="9"/>
      <c r="O8" s="9" t="s">
        <v>211</v>
      </c>
    </row>
    <row r="9" spans="1:17">
      <c r="A9" s="8" t="s">
        <v>1</v>
      </c>
      <c r="B9" s="9"/>
      <c r="C9" s="10">
        <v>9</v>
      </c>
      <c r="D9" s="9"/>
      <c r="E9" s="10" t="s">
        <v>6</v>
      </c>
      <c r="F9" s="9"/>
      <c r="G9" s="9"/>
      <c r="H9" s="9"/>
      <c r="I9" s="9"/>
      <c r="J9" s="9"/>
      <c r="K9" s="10" t="s">
        <v>1</v>
      </c>
      <c r="L9" s="10">
        <v>8</v>
      </c>
      <c r="M9" s="10" t="s">
        <v>1</v>
      </c>
      <c r="N9" s="9"/>
      <c r="O9" s="9" t="s">
        <v>229</v>
      </c>
    </row>
    <row r="10" spans="1:17">
      <c r="A10" s="8" t="s">
        <v>4</v>
      </c>
      <c r="B10" s="9"/>
      <c r="C10" s="10">
        <v>10</v>
      </c>
      <c r="D10" s="9"/>
      <c r="E10" s="9"/>
      <c r="F10" s="9"/>
      <c r="G10" s="9"/>
      <c r="H10" s="9"/>
      <c r="I10" s="9"/>
      <c r="J10" s="9"/>
      <c r="K10" s="10" t="s">
        <v>4</v>
      </c>
      <c r="L10" s="10">
        <v>9</v>
      </c>
      <c r="M10" s="10" t="s">
        <v>4</v>
      </c>
      <c r="N10" s="9"/>
      <c r="O10" s="9" t="s">
        <v>226</v>
      </c>
    </row>
    <row r="11" spans="1:17">
      <c r="A11" s="8" t="s">
        <v>8</v>
      </c>
      <c r="B11" s="9"/>
      <c r="C11" s="10">
        <v>11</v>
      </c>
      <c r="D11" s="9"/>
      <c r="E11" s="9"/>
      <c r="F11" s="9"/>
      <c r="G11" s="9"/>
      <c r="H11" s="9"/>
      <c r="I11" s="9"/>
      <c r="J11" s="9"/>
      <c r="K11" s="10" t="s">
        <v>8</v>
      </c>
      <c r="L11" s="10">
        <v>10</v>
      </c>
      <c r="M11" s="10" t="s">
        <v>8</v>
      </c>
      <c r="N11" s="9"/>
    </row>
    <row r="12" spans="1:17">
      <c r="A12" s="8" t="s">
        <v>11</v>
      </c>
      <c r="B12" s="9"/>
      <c r="C12" s="10">
        <v>12</v>
      </c>
      <c r="D12" s="9"/>
      <c r="F12" s="9"/>
      <c r="G12" s="9"/>
      <c r="H12" s="9"/>
      <c r="I12" s="9"/>
      <c r="J12" s="9"/>
      <c r="K12" s="10" t="s">
        <v>11</v>
      </c>
      <c r="L12" s="10">
        <v>11</v>
      </c>
      <c r="M12" s="10" t="s">
        <v>11</v>
      </c>
      <c r="N12" s="9"/>
      <c r="O12" s="9" t="s">
        <v>212</v>
      </c>
    </row>
    <row r="13" spans="1:17">
      <c r="A13" s="8" t="s">
        <v>12</v>
      </c>
      <c r="B13" s="9"/>
      <c r="C13" s="10">
        <v>13</v>
      </c>
      <c r="D13" s="9"/>
      <c r="F13" s="9"/>
      <c r="G13" s="9"/>
      <c r="H13" s="9"/>
      <c r="I13" s="9"/>
      <c r="J13" s="9"/>
      <c r="K13" s="10" t="s">
        <v>12</v>
      </c>
      <c r="L13" s="10">
        <v>12</v>
      </c>
      <c r="M13" s="10" t="s">
        <v>12</v>
      </c>
      <c r="N13" s="9"/>
      <c r="O13" s="9" t="s">
        <v>228</v>
      </c>
    </row>
    <row r="14" spans="1:17">
      <c r="A14" s="8" t="s">
        <v>9</v>
      </c>
      <c r="B14" s="9"/>
      <c r="C14" s="10">
        <v>14</v>
      </c>
      <c r="D14" s="9"/>
      <c r="F14" s="9"/>
      <c r="G14" s="9"/>
      <c r="H14" s="9"/>
      <c r="I14" s="9"/>
      <c r="J14" s="9"/>
      <c r="K14" s="10" t="s">
        <v>9</v>
      </c>
      <c r="L14" s="10">
        <v>13</v>
      </c>
      <c r="M14" s="10" t="s">
        <v>9</v>
      </c>
      <c r="N14" s="9"/>
      <c r="O14" s="9" t="s">
        <v>227</v>
      </c>
    </row>
    <row r="15" spans="1:17">
      <c r="A15" s="8" t="s">
        <v>5</v>
      </c>
      <c r="B15" s="9"/>
      <c r="C15" s="10">
        <v>15</v>
      </c>
      <c r="D15" s="9"/>
      <c r="E15" s="9"/>
      <c r="F15" s="9"/>
      <c r="G15" s="9"/>
      <c r="H15" s="9"/>
      <c r="I15" s="9"/>
      <c r="J15" s="9"/>
      <c r="K15" s="10" t="s">
        <v>5</v>
      </c>
      <c r="L15" s="10">
        <v>14</v>
      </c>
      <c r="M15" s="10" t="s">
        <v>5</v>
      </c>
      <c r="N15" s="9"/>
    </row>
    <row r="16" spans="1:17">
      <c r="A16" s="8" t="s">
        <v>103</v>
      </c>
      <c r="K16" s="10" t="s">
        <v>104</v>
      </c>
      <c r="L16" s="10">
        <v>15</v>
      </c>
      <c r="M16" s="10" t="s">
        <v>104</v>
      </c>
    </row>
  </sheetData>
  <sheetProtection formatCells="0" formatColumns="0" formatRows="0" autoFilter="0"/>
  <mergeCells count="1">
    <mergeCell ref="G6:H6"/>
  </mergeCells>
  <phoneticPr fontId="4"/>
  <conditionalFormatting sqref="N32">
    <cfRule type="cellIs" priority="1" operator="notEqual">
      <formula>$I$1</formula>
    </cfRule>
  </conditionalFormatting>
  <pageMargins left="0.7" right="0.7" top="0.75" bottom="0.75" header="0.3" footer="0.3"/>
  <pageSetup paperSize="9" scale="51"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メニュー画面</vt:lpstr>
      <vt:lpstr>団体基本情報入力</vt:lpstr>
      <vt:lpstr>支出入力表</vt:lpstr>
      <vt:lpstr>収入入力表</vt:lpstr>
      <vt:lpstr>精算額計算書</vt:lpstr>
      <vt:lpstr>総事業費の支出額内訳</vt:lpstr>
      <vt:lpstr>事業完了報告書 </vt:lpstr>
      <vt:lpstr>事業完了報告書(修正前)</vt:lpstr>
      <vt:lpstr>プルダウン用リスト</vt:lpstr>
      <vt:lpstr>メニュー画面!Print_Area</vt:lpstr>
      <vt:lpstr>支出入力表!Print_Area</vt:lpstr>
      <vt:lpstr>'事業完了報告書 '!Print_Area</vt:lpstr>
      <vt:lpstr>'事業完了報告書(修正前)'!Print_Area</vt:lpstr>
      <vt:lpstr>収入入力表!Print_Area</vt:lpstr>
      <vt:lpstr>精算額計算書!Print_Area</vt:lpstr>
      <vt:lpstr>総事業費の支出額内訳!Print_Area</vt:lpstr>
      <vt:lpstr>団体基本情報入力!Print_Area</vt:lpstr>
      <vt:lpstr>支出入力表!Print_Titles</vt:lpstr>
      <vt:lpstr>収入入力表!Print_Titles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2025-02-28T04:41:51Z</cp:lastPrinted>
  <dcterms:created xsi:type="dcterms:W3CDTF">2018-07-18T02:18:54Z</dcterms:created>
  <dcterms:modified xsi:type="dcterms:W3CDTF">2025-03-24T04:27:49Z</dcterms:modified>
</cp:coreProperties>
</file>