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filterPrivacy="1" codeName="ThisWorkbook"/>
  <xr:revisionPtr revIDLastSave="0" documentId="13_ncr:1_{9B86ED39-F2F8-4021-8240-D643E1C85609}" xr6:coauthVersionLast="36" xr6:coauthVersionMax="36" xr10:uidLastSave="{00000000-0000-0000-0000-000000000000}"/>
  <bookViews>
    <workbookView xWindow="0" yWindow="0" windowWidth="20490" windowHeight="7230" tabRatio="599" xr2:uid="{00000000-000D-0000-FFFF-FFFF00000000}"/>
  </bookViews>
  <sheets>
    <sheet name="入力シート" sheetId="142" r:id="rId1"/>
    <sheet name="出力シート" sheetId="143" r:id="rId2"/>
    <sheet name="加算項目（A病棟）" sheetId="145" r:id="rId3"/>
    <sheet name="加算項目（B病棟）" sheetId="146" r:id="rId4"/>
    <sheet name="加算項目（C病棟）" sheetId="148" r:id="rId5"/>
    <sheet name="加算項目（D病棟）" sheetId="149" r:id="rId6"/>
    <sheet name="利用者負担計算シート" sheetId="144" r:id="rId7"/>
    <sheet name="資金計画・借入金返済シミュレーション" sheetId="150" r:id="rId8"/>
    <sheet name="更新履歴" sheetId="141" r:id="rId9"/>
    <sheet name="以下DB⇒" sheetId="121" state="hidden" r:id="rId10"/>
    <sheet name="【食費居住費】" sheetId="109" state="hidden" r:id="rId11"/>
    <sheet name="【事務所の所在地】" sheetId="106" state="hidden" r:id="rId12"/>
    <sheet name="【入所居室のタイプ】" sheetId="107" state="hidden" r:id="rId13"/>
  </sheets>
  <definedNames>
    <definedName name="「その他」の地域">【事務所の所在地】!$A$1:$C$48</definedName>
    <definedName name="Ⅰ型Ⅰ">【入所居室のタイプ】!$Q$2:$Q$3</definedName>
    <definedName name="Ⅰ型Ⅱ">【入所居室のタイプ】!$R$2:$R$3</definedName>
    <definedName name="Ⅰ型Ⅲ">【入所居室のタイプ】!$S$2:$S$3</definedName>
    <definedName name="Ⅰ型特別">【入所居室のタイプ】!$W$2:$W$3</definedName>
    <definedName name="Ⅱ型Ⅰ">【入所居室のタイプ】!$T$2:$T$3</definedName>
    <definedName name="Ⅱ型Ⅱ">【入所居室のタイプ】!$U$2:$U$3</definedName>
    <definedName name="Ⅱ型Ⅲ">【入所居室のタイプ】!$V$2:$V$3</definedName>
    <definedName name="Ⅱ型特別">【入所居室のタイプ】!$X$2:$X$3</definedName>
    <definedName name="A病棟">'加算項目（A病棟）'!$I:$I</definedName>
    <definedName name="B病棟">'加算項目（B病棟）'!$I:$I</definedName>
    <definedName name="C病棟">'加算項目（C病棟）'!$I:$I</definedName>
    <definedName name="D病棟">'加算項目（D病棟）'!$I:$I</definedName>
    <definedName name="GRADE_FLG">【事務所の所在地】!$C$2:$C$48</definedName>
    <definedName name="LIST_PREF">【事務所の所在地】!$B$2:$B$48</definedName>
    <definedName name="_xlnm.Print_Area" localSheetId="2">'加算項目（A病棟）'!$A$1:$L$104</definedName>
    <definedName name="_xlnm.Print_Area" localSheetId="3">'加算項目（B病棟）'!$A$1:$L$104</definedName>
    <definedName name="_xlnm.Print_Area" localSheetId="4">'加算項目（C病棟）'!$A$1:$L$104</definedName>
    <definedName name="_xlnm.Print_Area" localSheetId="5">'加算項目（D病棟）'!$A$1:$L$104</definedName>
    <definedName name="_xlnm.Print_Area" localSheetId="1">出力シート!$A$1:$AU$201</definedName>
    <definedName name="_xlnm.Print_Area" localSheetId="6">利用者負担計算シート!$A$4:$AY$39</definedName>
    <definedName name="その他の地域">【事務所の所在地】!$G$450</definedName>
    <definedName name="ユニット型Ⅰ型Ⅰ">【入所居室のタイプ】!$Y$2:$Y$3</definedName>
    <definedName name="ユニット型Ⅰ型Ⅱ">【入所居室のタイプ】!$Z$2:$Z$3</definedName>
    <definedName name="ユニット型Ⅰ型特別">【入所居室のタイプ】!$AB$2:$AB$3</definedName>
    <definedName name="ユニット型Ⅱ型">【入所居室のタイプ】!$AA$2:$AA$3</definedName>
    <definedName name="ユニット型Ⅱ型特別">【入所居室のタイプ】!$AC$2:$AC$3</definedName>
    <definedName name="愛知県">【事務所の所在地】!$G$236:$G$287</definedName>
    <definedName name="愛媛県">【事務所の所在地】!$G$450</definedName>
    <definedName name="茨城県">【事務所の所在地】!$G$177:$G$203</definedName>
    <definedName name="岡山県">【事務所の所在地】!$G$427:$G$428</definedName>
    <definedName name="沖縄県">【事務所の所在地】!$G$450</definedName>
    <definedName name="岩手県">【事務所の所在地】!$G$450</definedName>
    <definedName name="岐阜県">【事務所の所在地】!$G$147:$G$152</definedName>
    <definedName name="宮崎県">【事務所の所在地】!$G$450</definedName>
    <definedName name="宮城県">【事務所の所在地】!$G$174:$G$176</definedName>
    <definedName name="居室種類">【入所居室のタイプ】!$O$2:$O$5</definedName>
    <definedName name="京都府">【事務所の所在地】!$G$364:$G$376</definedName>
    <definedName name="熊本県">【事務所の所在地】!$G$450</definedName>
    <definedName name="群馬県">【事務所の所在地】!$G$216:$G$222</definedName>
    <definedName name="広島県">【事務所の所在地】!$G$420:$G$426</definedName>
    <definedName name="香川県">【事務所の所在地】!$G$433:$G$434</definedName>
    <definedName name="高知県">【事務所の所在地】!$G$450</definedName>
    <definedName name="佐賀県">【事務所の所在地】!$G$450</definedName>
    <definedName name="埼玉県">【事務所の所在地】!$G$63:$G$113</definedName>
    <definedName name="三重県">【事務所の所在地】!$G$288:$G$301</definedName>
    <definedName name="山形県">【事務所の所在地】!$G$450</definedName>
    <definedName name="山口県">【事務所の所在地】!$G$429:$G$430</definedName>
    <definedName name="山梨県">【事務所の所在地】!$G$230:$G$231</definedName>
    <definedName name="施設種類">【入所居室のタイプ】!$J$2:$J$14</definedName>
    <definedName name="滋賀県">【事務所の所在地】!$G$351:$G$363</definedName>
    <definedName name="鹿児島県">【事務所の所在地】!$G$450</definedName>
    <definedName name="秋田県">【事務所の所在地】!$G$450</definedName>
    <definedName name="新潟県">【事務所の所在地】!$G$223:$G$224</definedName>
    <definedName name="神奈川県">【事務所の所在地】!$G$36:$G$62</definedName>
    <definedName name="青森県">【事務所の所在地】!$G$450</definedName>
    <definedName name="静岡県">【事務所の所在地】!$G$153:$G$173</definedName>
    <definedName name="石川県">【事務所の所在地】!$G$227:$G$229</definedName>
    <definedName name="千葉県">【事務所の所在地】!$G$114:$G$146</definedName>
    <definedName name="大阪府">【事務所の所在地】!$G$304:$G$347</definedName>
    <definedName name="大分県">【事務所の所在地】!$G$450</definedName>
    <definedName name="地域区分">【事務所の所在地】!$B$1:$B$52</definedName>
    <definedName name="長崎県">【事務所の所在地】!$G$448:$G$449</definedName>
    <definedName name="長野県">【事務所の所在地】!$G$232:$G$235</definedName>
    <definedName name="鳥取県">【事務所の所在地】!$G$450</definedName>
    <definedName name="島根県">【事務所の所在地】!$G$450</definedName>
    <definedName name="東京都">【事務所の所在地】!$G$4:$G$35</definedName>
    <definedName name="徳島県">【事務所の所在地】!$G$431:$G$432</definedName>
    <definedName name="栃木県">【事務所の所在地】!$G$204:$G$215</definedName>
    <definedName name="奈良県">【事務所の所在地】!$G$377:$G$402</definedName>
    <definedName name="富山県">【事務所の所在地】!$G$225:$G$226</definedName>
    <definedName name="福井県">【事務所の所在地】!$G$302:$G$303</definedName>
    <definedName name="福岡県">【事務所の所在地】!$G$435:$G$447</definedName>
    <definedName name="福島県">【事務所の所在地】!$G$450</definedName>
    <definedName name="兵庫県">【事務所の所在地】!$G$403:$G$419</definedName>
    <definedName name="北海道">【事務所の所在地】!$G$2:$G$3</definedName>
    <definedName name="未選択">'加算項目（A病棟）'!$A:$A</definedName>
    <definedName name="和歌山県">【事務所の所在地】!$G$348:$G$350</definedName>
  </definedNames>
  <calcPr calcId="191029"/>
</workbook>
</file>

<file path=xl/calcChain.xml><?xml version="1.0" encoding="utf-8"?>
<calcChain xmlns="http://schemas.openxmlformats.org/spreadsheetml/2006/main">
  <c r="L42" i="149" l="1"/>
  <c r="L42" i="145"/>
  <c r="L43" i="149"/>
  <c r="L43" i="148"/>
  <c r="L42" i="148"/>
  <c r="L43" i="146"/>
  <c r="L42" i="146"/>
  <c r="L43" i="145"/>
  <c r="L23" i="145"/>
  <c r="L22" i="145"/>
  <c r="L45" i="145"/>
  <c r="D2" i="142"/>
  <c r="H2" i="142"/>
  <c r="F2" i="142"/>
  <c r="E22" i="106"/>
  <c r="L9" i="146"/>
  <c r="O38" i="144"/>
  <c r="O37" i="144"/>
  <c r="L134" i="142"/>
  <c r="L161" i="142"/>
  <c r="K148" i="142"/>
  <c r="E90" i="142"/>
  <c r="I186" i="142"/>
  <c r="I154" i="142"/>
  <c r="H27" i="149"/>
  <c r="H26" i="149"/>
  <c r="H24" i="149"/>
  <c r="H27" i="148"/>
  <c r="H26" i="148"/>
  <c r="H24" i="148"/>
  <c r="H27" i="145"/>
  <c r="H26" i="145"/>
  <c r="H24" i="145"/>
  <c r="H26" i="146"/>
  <c r="H24" i="146"/>
  <c r="H27" i="146"/>
  <c r="AR201" i="143"/>
  <c r="AC201" i="143"/>
  <c r="N201" i="143"/>
  <c r="AR200" i="143"/>
  <c r="AC200" i="143"/>
  <c r="N200" i="143"/>
  <c r="AR199" i="143"/>
  <c r="AC199" i="143"/>
  <c r="N199" i="143"/>
  <c r="AR198" i="143"/>
  <c r="AC198" i="143"/>
  <c r="N198" i="143"/>
  <c r="AR197" i="143"/>
  <c r="AC197" i="143"/>
  <c r="N197" i="143"/>
  <c r="AR196" i="143"/>
  <c r="AC196" i="143"/>
  <c r="N196" i="143"/>
  <c r="AR195" i="143"/>
  <c r="AC195" i="143"/>
  <c r="N195" i="143"/>
  <c r="AR194" i="143"/>
  <c r="AC194" i="143"/>
  <c r="N194" i="143"/>
  <c r="AR193" i="143"/>
  <c r="AC193" i="143"/>
  <c r="N193" i="143"/>
  <c r="AR192" i="143"/>
  <c r="AC192" i="143"/>
  <c r="N192" i="143"/>
  <c r="AR189" i="143"/>
  <c r="N189" i="143"/>
  <c r="AR188" i="143"/>
  <c r="AC188" i="143"/>
  <c r="N188" i="143"/>
  <c r="AR187" i="143"/>
  <c r="AC187" i="143"/>
  <c r="N187" i="143"/>
  <c r="AR186" i="143"/>
  <c r="AC186" i="143"/>
  <c r="N186" i="143"/>
  <c r="AR185" i="143"/>
  <c r="AC185" i="143"/>
  <c r="N185" i="143"/>
  <c r="AR184" i="143"/>
  <c r="AC184" i="143"/>
  <c r="N184" i="143"/>
  <c r="AR183" i="143"/>
  <c r="AC183" i="143"/>
  <c r="N183" i="143"/>
  <c r="AR182" i="143"/>
  <c r="AC182" i="143"/>
  <c r="N182" i="143"/>
  <c r="AR181" i="143"/>
  <c r="AC181" i="143"/>
  <c r="N181" i="143"/>
  <c r="AR180" i="143"/>
  <c r="AC180" i="143"/>
  <c r="N180" i="143"/>
  <c r="AR179" i="143"/>
  <c r="AC179" i="143"/>
  <c r="N179" i="143"/>
  <c r="AR178" i="143"/>
  <c r="AC178" i="143"/>
  <c r="N178" i="143"/>
  <c r="AR177" i="143"/>
  <c r="AC177" i="143"/>
  <c r="N177" i="143"/>
  <c r="AR176" i="143"/>
  <c r="AC176" i="143"/>
  <c r="N176" i="143"/>
  <c r="AR175" i="143"/>
  <c r="AC175" i="143"/>
  <c r="N175" i="143"/>
  <c r="AR174" i="143"/>
  <c r="AC174" i="143"/>
  <c r="N174" i="143"/>
  <c r="AR173" i="143"/>
  <c r="AC173" i="143"/>
  <c r="N173" i="143"/>
  <c r="AR172" i="143"/>
  <c r="AC172" i="143"/>
  <c r="N172" i="143"/>
  <c r="AR163" i="143"/>
  <c r="AC163" i="143"/>
  <c r="N163" i="143"/>
  <c r="AR162" i="143"/>
  <c r="AC162" i="143"/>
  <c r="N162" i="143"/>
  <c r="AR161" i="143"/>
  <c r="AC161" i="143"/>
  <c r="N161" i="143"/>
  <c r="AR160" i="143"/>
  <c r="AC160" i="143"/>
  <c r="N160" i="143"/>
  <c r="AR159" i="143"/>
  <c r="AC159" i="143"/>
  <c r="N159" i="143"/>
  <c r="AR158" i="143"/>
  <c r="AC158" i="143"/>
  <c r="N158" i="143"/>
  <c r="AR157" i="143"/>
  <c r="AC157" i="143"/>
  <c r="N157" i="143"/>
  <c r="AR156" i="143"/>
  <c r="AC156" i="143"/>
  <c r="N156" i="143"/>
  <c r="AR155" i="143"/>
  <c r="AC155" i="143"/>
  <c r="N155" i="143"/>
  <c r="AR154" i="143"/>
  <c r="AC154" i="143"/>
  <c r="N154" i="143"/>
  <c r="AR151" i="143"/>
  <c r="N151" i="143"/>
  <c r="AR150" i="143"/>
  <c r="AC150" i="143"/>
  <c r="N150" i="143"/>
  <c r="AR149" i="143"/>
  <c r="AC149" i="143"/>
  <c r="N149" i="143"/>
  <c r="AR148" i="143"/>
  <c r="AC148" i="143"/>
  <c r="N148" i="143"/>
  <c r="AR147" i="143"/>
  <c r="AC147" i="143"/>
  <c r="N147" i="143"/>
  <c r="AR146" i="143"/>
  <c r="AC146" i="143"/>
  <c r="N146" i="143"/>
  <c r="AR145" i="143"/>
  <c r="AC145" i="143"/>
  <c r="N145" i="143"/>
  <c r="AR144" i="143"/>
  <c r="AC144" i="143"/>
  <c r="N144" i="143"/>
  <c r="AR143" i="143"/>
  <c r="AC143" i="143"/>
  <c r="N143" i="143"/>
  <c r="AR142" i="143"/>
  <c r="AC142" i="143"/>
  <c r="N142" i="143"/>
  <c r="AR141" i="143"/>
  <c r="AC141" i="143"/>
  <c r="N141" i="143"/>
  <c r="AR140" i="143"/>
  <c r="AC140" i="143"/>
  <c r="N140" i="143"/>
  <c r="AR139" i="143"/>
  <c r="AC139" i="143"/>
  <c r="N139" i="143"/>
  <c r="AR138" i="143"/>
  <c r="AC138" i="143"/>
  <c r="N138" i="143"/>
  <c r="AR137" i="143"/>
  <c r="AC137" i="143"/>
  <c r="N137" i="143"/>
  <c r="AR136" i="143"/>
  <c r="AC136" i="143"/>
  <c r="N136" i="143"/>
  <c r="AR135" i="143"/>
  <c r="AC135" i="143"/>
  <c r="N135" i="143"/>
  <c r="AR134" i="143"/>
  <c r="AC134" i="143"/>
  <c r="N134" i="143"/>
  <c r="AR125" i="143"/>
  <c r="AC125" i="143"/>
  <c r="N125" i="143"/>
  <c r="AR124" i="143"/>
  <c r="AC124" i="143"/>
  <c r="N124" i="143"/>
  <c r="AR123" i="143"/>
  <c r="AC123" i="143"/>
  <c r="N123" i="143"/>
  <c r="AR122" i="143"/>
  <c r="AC122" i="143"/>
  <c r="N122" i="143"/>
  <c r="AR121" i="143"/>
  <c r="AC121" i="143"/>
  <c r="N121" i="143"/>
  <c r="AR120" i="143"/>
  <c r="AC120" i="143"/>
  <c r="N120" i="143"/>
  <c r="AR119" i="143"/>
  <c r="AC119" i="143"/>
  <c r="N119" i="143"/>
  <c r="AR118" i="143"/>
  <c r="AC118" i="143"/>
  <c r="N118" i="143"/>
  <c r="AR117" i="143"/>
  <c r="AC117" i="143"/>
  <c r="N117" i="143"/>
  <c r="AR116" i="143"/>
  <c r="AC116" i="143"/>
  <c r="N116" i="143"/>
  <c r="AR113" i="143"/>
  <c r="N113" i="143"/>
  <c r="AR112" i="143"/>
  <c r="AC112" i="143"/>
  <c r="N112" i="143"/>
  <c r="AR111" i="143"/>
  <c r="AC111" i="143"/>
  <c r="N111" i="143"/>
  <c r="AR110" i="143"/>
  <c r="AC110" i="143"/>
  <c r="N110" i="143"/>
  <c r="AR109" i="143"/>
  <c r="AC109" i="143"/>
  <c r="N109" i="143"/>
  <c r="AR108" i="143"/>
  <c r="AC108" i="143"/>
  <c r="N108" i="143"/>
  <c r="AR107" i="143"/>
  <c r="AC107" i="143"/>
  <c r="N107" i="143"/>
  <c r="AR106" i="143"/>
  <c r="AC106" i="143"/>
  <c r="N106" i="143"/>
  <c r="AR105" i="143"/>
  <c r="AC105" i="143"/>
  <c r="N105" i="143"/>
  <c r="AR104" i="143"/>
  <c r="AC104" i="143"/>
  <c r="N104" i="143"/>
  <c r="AR103" i="143"/>
  <c r="AC103" i="143"/>
  <c r="N103" i="143"/>
  <c r="AR102" i="143"/>
  <c r="AC102" i="143"/>
  <c r="N102" i="143"/>
  <c r="AR101" i="143"/>
  <c r="AC101" i="143"/>
  <c r="N101" i="143"/>
  <c r="AR100" i="143"/>
  <c r="AC100" i="143"/>
  <c r="N100" i="143"/>
  <c r="AR99" i="143"/>
  <c r="AC99" i="143"/>
  <c r="N99" i="143"/>
  <c r="AR98" i="143"/>
  <c r="AC98" i="143"/>
  <c r="N98" i="143"/>
  <c r="AR97" i="143"/>
  <c r="AC97" i="143"/>
  <c r="N97" i="143"/>
  <c r="AR96" i="143"/>
  <c r="AC96" i="143"/>
  <c r="N96" i="143"/>
  <c r="BB29" i="144"/>
  <c r="B62" i="149"/>
  <c r="B62" i="148"/>
  <c r="B62" i="146"/>
  <c r="B62" i="145"/>
  <c r="H9" i="145"/>
  <c r="H43" i="149"/>
  <c r="H42" i="149"/>
  <c r="H43" i="148"/>
  <c r="H42" i="148"/>
  <c r="H43" i="146"/>
  <c r="H42" i="146"/>
  <c r="H43" i="145"/>
  <c r="H42" i="145"/>
  <c r="L37" i="145"/>
  <c r="H40" i="149"/>
  <c r="H39" i="149"/>
  <c r="H38" i="149"/>
  <c r="H37" i="149"/>
  <c r="H40" i="148"/>
  <c r="H39" i="148"/>
  <c r="H38" i="148"/>
  <c r="H37" i="148"/>
  <c r="H40" i="146"/>
  <c r="H39" i="146"/>
  <c r="H38" i="146"/>
  <c r="H37" i="146"/>
  <c r="H40" i="145"/>
  <c r="H39" i="145"/>
  <c r="H38" i="145"/>
  <c r="H37" i="145"/>
  <c r="H36" i="145"/>
  <c r="H23" i="149"/>
  <c r="H23" i="148"/>
  <c r="H23" i="146"/>
  <c r="H23" i="145"/>
  <c r="H15" i="149"/>
  <c r="H15" i="148"/>
  <c r="H15" i="146"/>
  <c r="H15" i="145"/>
  <c r="H11" i="145"/>
  <c r="F30" i="149"/>
  <c r="F30" i="148"/>
  <c r="F30" i="146"/>
  <c r="F30" i="145"/>
  <c r="V25" i="142"/>
  <c r="U25" i="142"/>
  <c r="AR87" i="143"/>
  <c r="AC87" i="143"/>
  <c r="N87" i="143"/>
  <c r="AR86" i="143"/>
  <c r="AC86" i="143"/>
  <c r="N86" i="143"/>
  <c r="AR85" i="143"/>
  <c r="AC85" i="143"/>
  <c r="N85" i="143"/>
  <c r="AR84" i="143"/>
  <c r="AC84" i="143"/>
  <c r="N84" i="143"/>
  <c r="AR83" i="143"/>
  <c r="AC83" i="143"/>
  <c r="N83" i="143"/>
  <c r="AR82" i="143"/>
  <c r="AC82" i="143"/>
  <c r="N82" i="143"/>
  <c r="AR81" i="143"/>
  <c r="AC81" i="143"/>
  <c r="N81" i="143"/>
  <c r="AR80" i="143"/>
  <c r="AC80" i="143"/>
  <c r="N80" i="143"/>
  <c r="AR79" i="143"/>
  <c r="AC79" i="143"/>
  <c r="N79" i="143"/>
  <c r="AR78" i="143"/>
  <c r="AC78" i="143"/>
  <c r="N78" i="143"/>
  <c r="AR75" i="143"/>
  <c r="AC75" i="143"/>
  <c r="N75" i="143"/>
  <c r="AR74" i="143"/>
  <c r="AC74" i="143"/>
  <c r="N74" i="143"/>
  <c r="AR73" i="143"/>
  <c r="AC73" i="143"/>
  <c r="N73" i="143"/>
  <c r="AR72" i="143"/>
  <c r="AC72" i="143"/>
  <c r="N72" i="143"/>
  <c r="AR71" i="143"/>
  <c r="AC71" i="143"/>
  <c r="N71" i="143"/>
  <c r="AR70" i="143"/>
  <c r="AC70" i="143"/>
  <c r="N70" i="143"/>
  <c r="AR69" i="143"/>
  <c r="AC69" i="143"/>
  <c r="N69" i="143"/>
  <c r="AR68" i="143"/>
  <c r="AC68" i="143"/>
  <c r="N68" i="143"/>
  <c r="AR67" i="143"/>
  <c r="AC67" i="143"/>
  <c r="N67" i="143"/>
  <c r="AR66" i="143"/>
  <c r="AC66" i="143"/>
  <c r="N66" i="143"/>
  <c r="AR65" i="143"/>
  <c r="AC65" i="143"/>
  <c r="N65" i="143"/>
  <c r="AR64" i="143"/>
  <c r="AC64" i="143"/>
  <c r="N64" i="143"/>
  <c r="AR63" i="143"/>
  <c r="AC63" i="143"/>
  <c r="N63" i="143"/>
  <c r="AR62" i="143"/>
  <c r="AC62" i="143"/>
  <c r="N62" i="143"/>
  <c r="AR61" i="143"/>
  <c r="AC61" i="143"/>
  <c r="N61" i="143"/>
  <c r="AR60" i="143"/>
  <c r="AC60" i="143"/>
  <c r="N60" i="143"/>
  <c r="AR59" i="143"/>
  <c r="AC59" i="143"/>
  <c r="N59" i="143"/>
  <c r="AR58" i="143"/>
  <c r="AC58" i="143"/>
  <c r="N58" i="143"/>
  <c r="L61" i="149"/>
  <c r="L53" i="149"/>
  <c r="L52" i="149"/>
  <c r="L61" i="148"/>
  <c r="L53" i="148"/>
  <c r="L52" i="148"/>
  <c r="L61" i="146"/>
  <c r="L58" i="146"/>
  <c r="L53" i="146"/>
  <c r="L52" i="146"/>
  <c r="L52" i="145"/>
  <c r="L51" i="145"/>
  <c r="BA17" i="144"/>
  <c r="BA21" i="144"/>
  <c r="H76" i="145"/>
  <c r="L98" i="149"/>
  <c r="L79" i="149"/>
  <c r="L71" i="149"/>
  <c r="L57" i="149"/>
  <c r="L45" i="149"/>
  <c r="L44" i="149"/>
  <c r="L41" i="149"/>
  <c r="L39" i="149"/>
  <c r="L37" i="149"/>
  <c r="L38" i="148"/>
  <c r="L39" i="148"/>
  <c r="L41" i="148"/>
  <c r="L37" i="148"/>
  <c r="L46" i="148"/>
  <c r="L45" i="148"/>
  <c r="L41" i="146"/>
  <c r="L38" i="146"/>
  <c r="L26" i="149"/>
  <c r="L22" i="149"/>
  <c r="L98" i="148"/>
  <c r="L98" i="146"/>
  <c r="L79" i="148"/>
  <c r="L71" i="148"/>
  <c r="L44" i="148"/>
  <c r="L26" i="148"/>
  <c r="L22" i="148"/>
  <c r="R2" i="142" l="1"/>
  <c r="A2" i="142" s="1"/>
  <c r="P2" i="142" s="1"/>
  <c r="L72" i="146"/>
  <c r="L44" i="146"/>
  <c r="L26" i="146"/>
  <c r="L22" i="146"/>
  <c r="L158" i="142"/>
  <c r="L131" i="142"/>
  <c r="BA19" i="144"/>
  <c r="S2" i="142" l="1"/>
  <c r="AM2" i="143"/>
  <c r="BA20" i="144"/>
  <c r="BB27" i="144" s="1"/>
  <c r="L38" i="145"/>
  <c r="L39" i="145"/>
  <c r="L33" i="145"/>
  <c r="L27" i="145"/>
  <c r="E35" i="106"/>
  <c r="E51" i="106"/>
  <c r="E62" i="106"/>
  <c r="E113" i="106"/>
  <c r="E146" i="106"/>
  <c r="E152" i="106"/>
  <c r="E173" i="106"/>
  <c r="E176" i="106"/>
  <c r="E203" i="106"/>
  <c r="E215" i="106"/>
  <c r="E222" i="106"/>
  <c r="E224" i="106"/>
  <c r="E226" i="106"/>
  <c r="E229" i="106"/>
  <c r="E231" i="106"/>
  <c r="E235" i="106"/>
  <c r="E287" i="106"/>
  <c r="E301" i="106"/>
  <c r="E303" i="106"/>
  <c r="E347" i="106"/>
  <c r="E350" i="106"/>
  <c r="E363" i="106"/>
  <c r="E376" i="106"/>
  <c r="E402" i="106"/>
  <c r="E419" i="106"/>
  <c r="E426" i="106"/>
  <c r="E428" i="106"/>
  <c r="E430" i="106"/>
  <c r="E432" i="106"/>
  <c r="E434" i="106"/>
  <c r="E447" i="106"/>
  <c r="E449" i="106"/>
  <c r="E450" i="106"/>
  <c r="E175" i="106"/>
  <c r="E141" i="106"/>
  <c r="E60" i="106"/>
  <c r="E23" i="106"/>
  <c r="E15" i="106"/>
  <c r="E362" i="106"/>
  <c r="E360" i="106"/>
  <c r="A202" i="143"/>
  <c r="L50" i="145"/>
  <c r="L48" i="145"/>
  <c r="L47" i="145"/>
  <c r="L35" i="145"/>
  <c r="L34" i="145"/>
  <c r="L25" i="145"/>
  <c r="L11" i="145"/>
  <c r="L8" i="145"/>
  <c r="L7" i="145"/>
  <c r="L6" i="145"/>
  <c r="G94" i="142" l="1"/>
  <c r="G117" i="142"/>
  <c r="G48" i="142"/>
  <c r="G71" i="142"/>
  <c r="B61" i="145"/>
  <c r="E53" i="149"/>
  <c r="T2" i="142"/>
  <c r="C40" i="145"/>
  <c r="C53" i="145"/>
  <c r="E52" i="146"/>
  <c r="F61" i="145"/>
  <c r="L61" i="145" s="1"/>
  <c r="K40" i="145"/>
  <c r="F52" i="145"/>
  <c r="C52" i="146"/>
  <c r="O60" i="142"/>
  <c r="G53" i="145"/>
  <c r="F40" i="146"/>
  <c r="L40" i="146" s="1"/>
  <c r="F61" i="146"/>
  <c r="O106" i="142"/>
  <c r="F40" i="145"/>
  <c r="G52" i="145"/>
  <c r="C40" i="146"/>
  <c r="G40" i="148"/>
  <c r="E52" i="145"/>
  <c r="F53" i="146"/>
  <c r="F52" i="148"/>
  <c r="C53" i="146"/>
  <c r="G53" i="146"/>
  <c r="F53" i="148"/>
  <c r="B61" i="148"/>
  <c r="F40" i="148"/>
  <c r="C40" i="149"/>
  <c r="C52" i="149"/>
  <c r="F53" i="149"/>
  <c r="O37" i="142"/>
  <c r="G61" i="145"/>
  <c r="F53" i="145"/>
  <c r="G40" i="146"/>
  <c r="F52" i="146"/>
  <c r="B61" i="146"/>
  <c r="C52" i="148"/>
  <c r="G61" i="148"/>
  <c r="B61" i="149"/>
  <c r="O83" i="142"/>
  <c r="G40" i="145"/>
  <c r="C52" i="145"/>
  <c r="E53" i="145"/>
  <c r="K40" i="146"/>
  <c r="E53" i="146"/>
  <c r="G52" i="146"/>
  <c r="G61" i="146"/>
  <c r="C53" i="148"/>
  <c r="G53" i="148"/>
  <c r="F40" i="149"/>
  <c r="C53" i="149"/>
  <c r="F61" i="149"/>
  <c r="E53" i="148"/>
  <c r="C40" i="148"/>
  <c r="G40" i="149"/>
  <c r="G53" i="149"/>
  <c r="F52" i="149"/>
  <c r="K40" i="148"/>
  <c r="E52" i="148"/>
  <c r="G52" i="148"/>
  <c r="F61" i="148"/>
  <c r="K40" i="149"/>
  <c r="E52" i="149"/>
  <c r="G52" i="149"/>
  <c r="G61" i="149"/>
  <c r="B20" i="144"/>
  <c r="L27" i="148"/>
  <c r="N90" i="142" l="1"/>
  <c r="N109" i="142"/>
  <c r="N88" i="142"/>
  <c r="N89" i="142"/>
  <c r="N87" i="142"/>
  <c r="N86" i="142"/>
  <c r="L78" i="149"/>
  <c r="Q91" i="145"/>
  <c r="Q95" i="148"/>
  <c r="Q75" i="145"/>
  <c r="Q79" i="145"/>
  <c r="Q71" i="146"/>
  <c r="Q55" i="149"/>
  <c r="Q33" i="149"/>
  <c r="Q40" i="145"/>
  <c r="Q17" i="149"/>
  <c r="Q73" i="145"/>
  <c r="Q57" i="148"/>
  <c r="Q81" i="148"/>
  <c r="Q25" i="148"/>
  <c r="Q26" i="148"/>
  <c r="Q83" i="149"/>
  <c r="Q49" i="148"/>
  <c r="Q16" i="148"/>
  <c r="Q52" i="148"/>
  <c r="Q24" i="145"/>
  <c r="Q33" i="145"/>
  <c r="Q43" i="149"/>
  <c r="Q88" i="148"/>
  <c r="Q30" i="149"/>
  <c r="Q32" i="149"/>
  <c r="Q59" i="149"/>
  <c r="Q20" i="149"/>
  <c r="Q43" i="146"/>
  <c r="Q32" i="145"/>
  <c r="Q83" i="145"/>
  <c r="Q48" i="148"/>
  <c r="Q98" i="146"/>
  <c r="Q87" i="148"/>
  <c r="Q76" i="148"/>
  <c r="Q44" i="148"/>
  <c r="Q20" i="148"/>
  <c r="Q98" i="145"/>
  <c r="Q90" i="145"/>
  <c r="Q61" i="146"/>
  <c r="Q51" i="148"/>
  <c r="Q61" i="149"/>
  <c r="Q42" i="146"/>
  <c r="Q76" i="145"/>
  <c r="Q50" i="149"/>
  <c r="Q42" i="149"/>
  <c r="Q98" i="148"/>
  <c r="Q16" i="149"/>
  <c r="Q93" i="145"/>
  <c r="Q87" i="145"/>
  <c r="Q27" i="145"/>
  <c r="Q29" i="145"/>
  <c r="Q37" i="149"/>
  <c r="Q41" i="148"/>
  <c r="Q60" i="148"/>
  <c r="Q61" i="148"/>
  <c r="Q54" i="148"/>
  <c r="Q38" i="149"/>
  <c r="Q89" i="149"/>
  <c r="Q28" i="148"/>
  <c r="Q18" i="149"/>
  <c r="Q97" i="149"/>
  <c r="Q41" i="149"/>
  <c r="Q69" i="145"/>
  <c r="Q73" i="149"/>
  <c r="Q31" i="145"/>
  <c r="Q19" i="148"/>
  <c r="Q72" i="149"/>
  <c r="Q61" i="145"/>
  <c r="Q29" i="148"/>
  <c r="Q95" i="149"/>
  <c r="Q37" i="148"/>
  <c r="Q39" i="146"/>
  <c r="Q28" i="149"/>
  <c r="Q39" i="145"/>
  <c r="Q48" i="145"/>
  <c r="Q29" i="149"/>
  <c r="Q57" i="146"/>
  <c r="Q93" i="149"/>
  <c r="Q27" i="149"/>
  <c r="Q50" i="148"/>
  <c r="Q79" i="149"/>
  <c r="Q46" i="145"/>
  <c r="Q32" i="148"/>
  <c r="Q92" i="149"/>
  <c r="Q41" i="145"/>
  <c r="Q96" i="149"/>
  <c r="Q42" i="148"/>
  <c r="Q36" i="148"/>
  <c r="Q80" i="145"/>
  <c r="Q34" i="145"/>
  <c r="Q79" i="146"/>
  <c r="Q54" i="149"/>
  <c r="Q91" i="149"/>
  <c r="Q50" i="146"/>
  <c r="Q88" i="145"/>
  <c r="Q40" i="148"/>
  <c r="Q99" i="149"/>
  <c r="Q21" i="145"/>
  <c r="Q45" i="146"/>
  <c r="Q85" i="148"/>
  <c r="Q23" i="148"/>
  <c r="Q8" i="149"/>
  <c r="Q17" i="145"/>
  <c r="Q37" i="145"/>
  <c r="Q59" i="148"/>
  <c r="Q97" i="148"/>
  <c r="Q10" i="149"/>
  <c r="Q35" i="148"/>
  <c r="Q78" i="148"/>
  <c r="Q78" i="145"/>
  <c r="Q38" i="145"/>
  <c r="Q33" i="148"/>
  <c r="Q37" i="146"/>
  <c r="Q89" i="148"/>
  <c r="Q55" i="148"/>
  <c r="Q31" i="149"/>
  <c r="Q71" i="148"/>
  <c r="Q55" i="146"/>
  <c r="Q72" i="148"/>
  <c r="Q99" i="148"/>
  <c r="Q100" i="149"/>
  <c r="Q18" i="148"/>
  <c r="Q81" i="149"/>
  <c r="Q20" i="145"/>
  <c r="Q71" i="149"/>
  <c r="Q100" i="145"/>
  <c r="Q93" i="148"/>
  <c r="Q76" i="149"/>
  <c r="Q47" i="149"/>
  <c r="Q91" i="148"/>
  <c r="Q38" i="146"/>
  <c r="Q86" i="145"/>
  <c r="Q26" i="145"/>
  <c r="Q89" i="145"/>
  <c r="Q58" i="145"/>
  <c r="Q74" i="149"/>
  <c r="Q25" i="145"/>
  <c r="Q40" i="146"/>
  <c r="Q36" i="145"/>
  <c r="Q53" i="149"/>
  <c r="Q50" i="145"/>
  <c r="Q90" i="149"/>
  <c r="Q23" i="149"/>
  <c r="Q21" i="149"/>
  <c r="Q57" i="149"/>
  <c r="Q88" i="149"/>
  <c r="Q75" i="149"/>
  <c r="Q73" i="148"/>
  <c r="Q81" i="145"/>
  <c r="Q82" i="148"/>
  <c r="Q26" i="149"/>
  <c r="Q45" i="148"/>
  <c r="Q22" i="149"/>
  <c r="Q46" i="148"/>
  <c r="Q44" i="149"/>
  <c r="Q54" i="145"/>
  <c r="Q52" i="149"/>
  <c r="Q28" i="145"/>
  <c r="Q54" i="146"/>
  <c r="Q74" i="148"/>
  <c r="Q30" i="145"/>
  <c r="Q90" i="148"/>
  <c r="Q45" i="145"/>
  <c r="Q49" i="149"/>
  <c r="Q49" i="145"/>
  <c r="Q53" i="145"/>
  <c r="Q77" i="148"/>
  <c r="Q96" i="145"/>
  <c r="Q38" i="148"/>
  <c r="Q82" i="149"/>
  <c r="Q47" i="148"/>
  <c r="Q22" i="145"/>
  <c r="Q23" i="145"/>
  <c r="Q21" i="148"/>
  <c r="Q82" i="145"/>
  <c r="Q35" i="145"/>
  <c r="Q40" i="149"/>
  <c r="Q46" i="149"/>
  <c r="Q77" i="149"/>
  <c r="Q94" i="145"/>
  <c r="Q12" i="149"/>
  <c r="Q71" i="145"/>
  <c r="Q96" i="148"/>
  <c r="Q35" i="149"/>
  <c r="Q34" i="149"/>
  <c r="Q52" i="146"/>
  <c r="Q83" i="148"/>
  <c r="Q55" i="145"/>
  <c r="Q98" i="149"/>
  <c r="Q47" i="146"/>
  <c r="Q86" i="148"/>
  <c r="Q92" i="148"/>
  <c r="Q75" i="148"/>
  <c r="Q22" i="148"/>
  <c r="Q19" i="149"/>
  <c r="Q44" i="146"/>
  <c r="Q51" i="149"/>
  <c r="Q24" i="148"/>
  <c r="Q39" i="149"/>
  <c r="Q84" i="148"/>
  <c r="Q77" i="145"/>
  <c r="Q27" i="148"/>
  <c r="Q41" i="146"/>
  <c r="Q43" i="145"/>
  <c r="Q36" i="149"/>
  <c r="Q80" i="149"/>
  <c r="Q24" i="149"/>
  <c r="Q85" i="145"/>
  <c r="Q53" i="146"/>
  <c r="Q92" i="145"/>
  <c r="Q95" i="145"/>
  <c r="Q80" i="148"/>
  <c r="Q60" i="146"/>
  <c r="Q78" i="149"/>
  <c r="Q48" i="149"/>
  <c r="Q94" i="149"/>
  <c r="Q52" i="145"/>
  <c r="Q79" i="148"/>
  <c r="Q44" i="145"/>
  <c r="Q51" i="146"/>
  <c r="Q15" i="149"/>
  <c r="Q94" i="148"/>
  <c r="Q59" i="145"/>
  <c r="Q25" i="149"/>
  <c r="Q99" i="145"/>
  <c r="Q43" i="148"/>
  <c r="Q11" i="149"/>
  <c r="Q19" i="145"/>
  <c r="Q42" i="145"/>
  <c r="Q16" i="145"/>
  <c r="Q34" i="148"/>
  <c r="Q72" i="145"/>
  <c r="Q9" i="149"/>
  <c r="Q48" i="146"/>
  <c r="Q39" i="148"/>
  <c r="Q49" i="146"/>
  <c r="Q100" i="148"/>
  <c r="Q18" i="145"/>
  <c r="Q97" i="145"/>
  <c r="Q74" i="145"/>
  <c r="Q53" i="148"/>
  <c r="Q47" i="145"/>
  <c r="Q84" i="145"/>
  <c r="Q51" i="145"/>
  <c r="Q46" i="146"/>
  <c r="Q17" i="148"/>
  <c r="Q45" i="149"/>
  <c r="Q15" i="148"/>
  <c r="Q5" i="145"/>
  <c r="Q8" i="146"/>
  <c r="G152" i="142" l="1"/>
  <c r="D33" i="142" l="1"/>
  <c r="E21" i="150" l="1"/>
  <c r="A53" i="150"/>
  <c r="G50" i="150"/>
  <c r="F50" i="150"/>
  <c r="E50" i="150"/>
  <c r="D50" i="150"/>
  <c r="C50" i="150"/>
  <c r="G49" i="150"/>
  <c r="F49" i="150"/>
  <c r="E49" i="150"/>
  <c r="D49" i="150"/>
  <c r="C49" i="150"/>
  <c r="G48" i="150"/>
  <c r="F48" i="150"/>
  <c r="E48" i="150"/>
  <c r="D48" i="150"/>
  <c r="C48" i="150"/>
  <c r="G47" i="150"/>
  <c r="F47" i="150"/>
  <c r="E47" i="150"/>
  <c r="D47" i="150"/>
  <c r="C47" i="150"/>
  <c r="G46" i="150"/>
  <c r="F46" i="150"/>
  <c r="E46" i="150"/>
  <c r="D46" i="150"/>
  <c r="C46" i="150"/>
  <c r="G45" i="150"/>
  <c r="F45" i="150"/>
  <c r="E45" i="150"/>
  <c r="D45" i="150"/>
  <c r="C45" i="150"/>
  <c r="G44" i="150"/>
  <c r="F44" i="150"/>
  <c r="E44" i="150"/>
  <c r="D44" i="150"/>
  <c r="C44" i="150"/>
  <c r="G43" i="150"/>
  <c r="F43" i="150"/>
  <c r="E43" i="150"/>
  <c r="D43" i="150"/>
  <c r="C43" i="150"/>
  <c r="G42" i="150"/>
  <c r="F42" i="150"/>
  <c r="E42" i="150"/>
  <c r="D42" i="150"/>
  <c r="C42" i="150"/>
  <c r="G41" i="150"/>
  <c r="F41" i="150"/>
  <c r="E41" i="150"/>
  <c r="D41" i="150"/>
  <c r="C41" i="150"/>
  <c r="G40" i="150"/>
  <c r="F40" i="150"/>
  <c r="E40" i="150"/>
  <c r="D40" i="150"/>
  <c r="C40" i="150"/>
  <c r="G39" i="150"/>
  <c r="F39" i="150"/>
  <c r="E39" i="150"/>
  <c r="D39" i="150"/>
  <c r="C39" i="150"/>
  <c r="G38" i="150"/>
  <c r="F38" i="150"/>
  <c r="E38" i="150"/>
  <c r="D38" i="150"/>
  <c r="C38" i="150"/>
  <c r="G37" i="150"/>
  <c r="F37" i="150"/>
  <c r="E37" i="150"/>
  <c r="D37" i="150"/>
  <c r="C37" i="150"/>
  <c r="G36" i="150"/>
  <c r="F36" i="150"/>
  <c r="E36" i="150"/>
  <c r="D36" i="150"/>
  <c r="C36" i="150"/>
  <c r="G35" i="150"/>
  <c r="F35" i="150"/>
  <c r="E35" i="150"/>
  <c r="D35" i="150"/>
  <c r="C35" i="150"/>
  <c r="G34" i="150"/>
  <c r="F34" i="150"/>
  <c r="E34" i="150"/>
  <c r="D34" i="150"/>
  <c r="C34" i="150"/>
  <c r="G33" i="150"/>
  <c r="F33" i="150"/>
  <c r="E33" i="150"/>
  <c r="D33" i="150"/>
  <c r="C33" i="150"/>
  <c r="G32" i="150"/>
  <c r="F32" i="150"/>
  <c r="E32" i="150"/>
  <c r="D32" i="150"/>
  <c r="C32" i="150"/>
  <c r="G31" i="150"/>
  <c r="F31" i="150"/>
  <c r="E31" i="150"/>
  <c r="D31" i="150"/>
  <c r="C31" i="150"/>
  <c r="C21" i="150"/>
  <c r="I15" i="150"/>
  <c r="F17" i="150" s="1"/>
  <c r="G9" i="150"/>
  <c r="F9" i="150"/>
  <c r="E9" i="150"/>
  <c r="D9" i="150"/>
  <c r="L99" i="149"/>
  <c r="L97" i="149"/>
  <c r="L96" i="149"/>
  <c r="L95" i="149"/>
  <c r="L94" i="149"/>
  <c r="L93" i="149"/>
  <c r="L92" i="149"/>
  <c r="L91" i="149"/>
  <c r="L90" i="149"/>
  <c r="L89" i="149"/>
  <c r="L88" i="149"/>
  <c r="L87" i="149"/>
  <c r="L86" i="149"/>
  <c r="L85" i="149"/>
  <c r="L84" i="149"/>
  <c r="L83" i="149"/>
  <c r="L82" i="149"/>
  <c r="L81" i="149"/>
  <c r="L80" i="149"/>
  <c r="L77" i="149"/>
  <c r="L76" i="149"/>
  <c r="L75" i="149"/>
  <c r="L74" i="149"/>
  <c r="L73" i="149"/>
  <c r="L72" i="149"/>
  <c r="L70" i="149"/>
  <c r="L59" i="149"/>
  <c r="L58" i="149"/>
  <c r="L55" i="149"/>
  <c r="L54" i="149"/>
  <c r="L51" i="149"/>
  <c r="L50" i="149"/>
  <c r="L48" i="149"/>
  <c r="L47" i="149"/>
  <c r="L46" i="149"/>
  <c r="L36" i="149"/>
  <c r="L35" i="149"/>
  <c r="L34" i="149"/>
  <c r="L33" i="149"/>
  <c r="L31" i="149"/>
  <c r="L29" i="149"/>
  <c r="L28" i="149"/>
  <c r="L25" i="149"/>
  <c r="L24" i="149"/>
  <c r="L20" i="149"/>
  <c r="L19" i="149"/>
  <c r="L17" i="149"/>
  <c r="L16" i="149"/>
  <c r="L14" i="149"/>
  <c r="L12" i="149"/>
  <c r="L10" i="149"/>
  <c r="L8" i="149"/>
  <c r="L7" i="149"/>
  <c r="L6" i="149"/>
  <c r="L100" i="148"/>
  <c r="L99" i="148"/>
  <c r="L97" i="148"/>
  <c r="L96" i="148"/>
  <c r="L95" i="148"/>
  <c r="L94" i="148"/>
  <c r="L93" i="148"/>
  <c r="L92" i="148"/>
  <c r="L91" i="148"/>
  <c r="L90" i="148"/>
  <c r="L89" i="148"/>
  <c r="L88" i="148"/>
  <c r="L87" i="148"/>
  <c r="L86" i="148"/>
  <c r="L85" i="148"/>
  <c r="L84" i="148"/>
  <c r="L83" i="148"/>
  <c r="L82" i="148"/>
  <c r="L81" i="148"/>
  <c r="L80" i="148"/>
  <c r="L78" i="148"/>
  <c r="L77" i="148"/>
  <c r="L76" i="148"/>
  <c r="L75" i="148"/>
  <c r="L74" i="148"/>
  <c r="L73" i="148"/>
  <c r="L72" i="148"/>
  <c r="L70" i="148"/>
  <c r="L59" i="148"/>
  <c r="L58" i="148"/>
  <c r="L54" i="148"/>
  <c r="L51" i="148"/>
  <c r="L50" i="148"/>
  <c r="L49" i="148"/>
  <c r="L48" i="148"/>
  <c r="L47" i="148"/>
  <c r="L36" i="148"/>
  <c r="L35" i="148"/>
  <c r="L34" i="148"/>
  <c r="L33" i="148"/>
  <c r="L32" i="148"/>
  <c r="L29" i="148"/>
  <c r="L28" i="148"/>
  <c r="L25" i="148"/>
  <c r="L24" i="148"/>
  <c r="L23" i="148"/>
  <c r="L21" i="148"/>
  <c r="L20" i="148"/>
  <c r="L19" i="148"/>
  <c r="L18" i="148"/>
  <c r="L17" i="148"/>
  <c r="L16" i="148"/>
  <c r="L15" i="148"/>
  <c r="L14" i="148"/>
  <c r="L11" i="148"/>
  <c r="L10" i="148"/>
  <c r="L9" i="148"/>
  <c r="L8" i="148"/>
  <c r="L7" i="148"/>
  <c r="L6" i="148"/>
  <c r="L100" i="146"/>
  <c r="L99" i="146"/>
  <c r="L97" i="146"/>
  <c r="L96" i="146"/>
  <c r="L95" i="146"/>
  <c r="L94" i="146"/>
  <c r="L93" i="146"/>
  <c r="L92" i="146"/>
  <c r="L91" i="146"/>
  <c r="L90" i="146"/>
  <c r="L89" i="146"/>
  <c r="L88" i="146"/>
  <c r="L87" i="146"/>
  <c r="L86" i="146"/>
  <c r="L85" i="146"/>
  <c r="L84" i="146"/>
  <c r="L82" i="146"/>
  <c r="L81" i="146"/>
  <c r="L80" i="146"/>
  <c r="L78" i="146"/>
  <c r="L76" i="146"/>
  <c r="L74" i="146"/>
  <c r="L70" i="146"/>
  <c r="L55" i="146"/>
  <c r="L51" i="146"/>
  <c r="L49" i="146"/>
  <c r="L47" i="146"/>
  <c r="L46" i="146"/>
  <c r="L36" i="146"/>
  <c r="L34" i="146"/>
  <c r="L32" i="146"/>
  <c r="L28" i="146"/>
  <c r="L24" i="146"/>
  <c r="L20" i="146"/>
  <c r="L18" i="146"/>
  <c r="L16" i="146"/>
  <c r="L14" i="146"/>
  <c r="L12" i="146"/>
  <c r="L10" i="146"/>
  <c r="L8" i="146"/>
  <c r="L7" i="146"/>
  <c r="L5" i="146"/>
  <c r="L55" i="145"/>
  <c r="BH27" i="144"/>
  <c r="BH26" i="144"/>
  <c r="BH25" i="144"/>
  <c r="BH24" i="144"/>
  <c r="AE29" i="144" s="1"/>
  <c r="AO29" i="144" s="1"/>
  <c r="S16" i="144"/>
  <c r="BA16" i="144" s="1"/>
  <c r="BB28" i="144" s="1"/>
  <c r="AE27" i="144" s="1"/>
  <c r="S15" i="144"/>
  <c r="L167" i="143"/>
  <c r="Q166" i="143" s="1"/>
  <c r="L129" i="143"/>
  <c r="Q128" i="143" s="1"/>
  <c r="L91" i="143"/>
  <c r="Q90" i="143" s="1"/>
  <c r="L53" i="143"/>
  <c r="U24" i="142"/>
  <c r="U23" i="142"/>
  <c r="U22" i="142"/>
  <c r="B102" i="149"/>
  <c r="H93" i="149"/>
  <c r="H91" i="149"/>
  <c r="H90" i="149"/>
  <c r="H89" i="149"/>
  <c r="H86" i="149"/>
  <c r="H85" i="149"/>
  <c r="H84" i="149"/>
  <c r="H76" i="149"/>
  <c r="H75" i="149"/>
  <c r="B64" i="149"/>
  <c r="H36" i="149"/>
  <c r="H35" i="149"/>
  <c r="H33" i="149"/>
  <c r="H32" i="149"/>
  <c r="O12" i="149"/>
  <c r="O11" i="149"/>
  <c r="H11" i="149"/>
  <c r="O10" i="149"/>
  <c r="H9" i="149"/>
  <c r="I3" i="149"/>
  <c r="B1" i="149"/>
  <c r="B102" i="148"/>
  <c r="H93" i="148"/>
  <c r="H91" i="148"/>
  <c r="H90" i="148"/>
  <c r="H89" i="148"/>
  <c r="H86" i="148"/>
  <c r="H85" i="148"/>
  <c r="H84" i="148"/>
  <c r="H76" i="148"/>
  <c r="H75" i="148"/>
  <c r="B64" i="148"/>
  <c r="H36" i="148"/>
  <c r="H35" i="148"/>
  <c r="H33" i="148"/>
  <c r="H32" i="148"/>
  <c r="O12" i="148"/>
  <c r="O11" i="148"/>
  <c r="H11" i="148"/>
  <c r="O10" i="148"/>
  <c r="H9" i="148"/>
  <c r="I3" i="148"/>
  <c r="B1" i="148"/>
  <c r="B102" i="146"/>
  <c r="H93" i="146"/>
  <c r="H91" i="146"/>
  <c r="H90" i="146"/>
  <c r="H89" i="146"/>
  <c r="H86" i="146"/>
  <c r="H85" i="146"/>
  <c r="H84" i="146"/>
  <c r="H76" i="146"/>
  <c r="H75" i="146"/>
  <c r="B64" i="146"/>
  <c r="H36" i="146"/>
  <c r="H35" i="146"/>
  <c r="H33" i="146"/>
  <c r="H32" i="146"/>
  <c r="O12" i="146"/>
  <c r="O11" i="146"/>
  <c r="H11" i="146"/>
  <c r="O10" i="146"/>
  <c r="H9" i="146"/>
  <c r="I3" i="146"/>
  <c r="B1" i="146"/>
  <c r="B102" i="145"/>
  <c r="H93" i="145"/>
  <c r="H91" i="145"/>
  <c r="H90" i="145"/>
  <c r="H89" i="145"/>
  <c r="H86" i="145"/>
  <c r="H85" i="145"/>
  <c r="H84" i="145"/>
  <c r="H75" i="145"/>
  <c r="B64" i="145"/>
  <c r="H35" i="145"/>
  <c r="H33" i="145"/>
  <c r="H32" i="145"/>
  <c r="O12" i="145"/>
  <c r="O11" i="145"/>
  <c r="O10" i="145"/>
  <c r="I3" i="145"/>
  <c r="B1" i="145"/>
  <c r="A40" i="144"/>
  <c r="U30" i="144"/>
  <c r="BA18" i="144"/>
  <c r="BB17" i="144" s="1"/>
  <c r="B204" i="142"/>
  <c r="B198" i="142"/>
  <c r="B191" i="142"/>
  <c r="I185" i="142"/>
  <c r="I184" i="142"/>
  <c r="I183" i="142"/>
  <c r="I182" i="142"/>
  <c r="I181" i="142"/>
  <c r="I180" i="142"/>
  <c r="I179" i="142"/>
  <c r="I178" i="142"/>
  <c r="I177" i="142"/>
  <c r="I176" i="142"/>
  <c r="I175" i="142"/>
  <c r="I174" i="142"/>
  <c r="I173" i="142"/>
  <c r="I172" i="142"/>
  <c r="I171" i="142"/>
  <c r="I170" i="142"/>
  <c r="I169" i="142"/>
  <c r="I168" i="142"/>
  <c r="I167" i="142"/>
  <c r="I166" i="142"/>
  <c r="I165" i="142"/>
  <c r="I164" i="142"/>
  <c r="I163" i="142"/>
  <c r="I162" i="142"/>
  <c r="L160" i="142"/>
  <c r="I151" i="142"/>
  <c r="I150" i="142"/>
  <c r="I149" i="142"/>
  <c r="I148" i="142"/>
  <c r="I147" i="142"/>
  <c r="I146" i="142"/>
  <c r="I145" i="142"/>
  <c r="I144" i="142"/>
  <c r="I143" i="142"/>
  <c r="I142" i="142"/>
  <c r="I141" i="142"/>
  <c r="I140" i="142"/>
  <c r="I139" i="142"/>
  <c r="I138" i="142"/>
  <c r="I137" i="142"/>
  <c r="I136" i="142"/>
  <c r="I135" i="142"/>
  <c r="L133" i="142"/>
  <c r="D120" i="142"/>
  <c r="K114" i="142"/>
  <c r="L105" i="142" s="1"/>
  <c r="G112" i="142"/>
  <c r="O112" i="142" s="1"/>
  <c r="G111" i="142"/>
  <c r="O111" i="142" s="1"/>
  <c r="G110" i="142"/>
  <c r="O110" i="142" s="1"/>
  <c r="G109" i="142"/>
  <c r="O109" i="142" s="1"/>
  <c r="K106" i="142"/>
  <c r="L168" i="143" s="1"/>
  <c r="M102" i="142"/>
  <c r="J102" i="142"/>
  <c r="G118" i="142" s="1"/>
  <c r="D102" i="142"/>
  <c r="D97" i="142"/>
  <c r="K91" i="142"/>
  <c r="L81" i="142" s="1"/>
  <c r="G89" i="142"/>
  <c r="O89" i="142" s="1"/>
  <c r="G88" i="142"/>
  <c r="O88" i="142" s="1"/>
  <c r="G87" i="142"/>
  <c r="O87" i="142" s="1"/>
  <c r="G86" i="142"/>
  <c r="O86" i="142" s="1"/>
  <c r="K83" i="142"/>
  <c r="M79" i="142"/>
  <c r="J79" i="142"/>
  <c r="G95" i="142" s="1"/>
  <c r="D79" i="142"/>
  <c r="D74" i="142"/>
  <c r="K68" i="142"/>
  <c r="L59" i="142" s="1"/>
  <c r="G66" i="142"/>
  <c r="O66" i="142" s="1"/>
  <c r="G65" i="142"/>
  <c r="O65" i="142" s="1"/>
  <c r="G64" i="142"/>
  <c r="O64" i="142" s="1"/>
  <c r="G63" i="142"/>
  <c r="O63" i="142" s="1"/>
  <c r="K60" i="142"/>
  <c r="E67" i="142" s="1"/>
  <c r="M56" i="142"/>
  <c r="J56" i="142"/>
  <c r="G72" i="142" s="1"/>
  <c r="D56" i="142"/>
  <c r="D51" i="142"/>
  <c r="K45" i="142"/>
  <c r="L36" i="142" s="1"/>
  <c r="G43" i="142"/>
  <c r="O43" i="142" s="1"/>
  <c r="G42" i="142"/>
  <c r="O42" i="142" s="1"/>
  <c r="G41" i="142"/>
  <c r="O41" i="142" s="1"/>
  <c r="G40" i="142"/>
  <c r="O40" i="142" s="1"/>
  <c r="K37" i="142"/>
  <c r="L54" i="143" s="1"/>
  <c r="M33" i="142"/>
  <c r="J33" i="142"/>
  <c r="G49" i="142" s="1"/>
  <c r="L26" i="142"/>
  <c r="H6" i="143" s="1"/>
  <c r="R6" i="143" s="1"/>
  <c r="S25" i="142"/>
  <c r="T25" i="142" s="1"/>
  <c r="R25" i="142"/>
  <c r="C25" i="142"/>
  <c r="C101" i="142" s="1"/>
  <c r="V24" i="142"/>
  <c r="W24" i="142" s="1"/>
  <c r="N24" i="142" s="1"/>
  <c r="S24" i="142"/>
  <c r="T24" i="142" s="1"/>
  <c r="R24" i="142"/>
  <c r="C24" i="142"/>
  <c r="C78" i="142" s="1"/>
  <c r="V23" i="142"/>
  <c r="S23" i="142"/>
  <c r="T23" i="142" s="1"/>
  <c r="R23" i="142"/>
  <c r="C23" i="142"/>
  <c r="V22" i="142"/>
  <c r="S22" i="142"/>
  <c r="T22" i="142" s="1"/>
  <c r="R22" i="142"/>
  <c r="C22" i="142"/>
  <c r="C11" i="142"/>
  <c r="C55" i="142" l="1"/>
  <c r="D20" i="142"/>
  <c r="N40" i="142"/>
  <c r="T40" i="142" s="1"/>
  <c r="W23" i="142"/>
  <c r="N43" i="142"/>
  <c r="T43" i="142" s="1"/>
  <c r="N41" i="142"/>
  <c r="T41" i="142" s="1"/>
  <c r="N42" i="142"/>
  <c r="T42" i="142" s="1"/>
  <c r="N44" i="142"/>
  <c r="A25" i="142"/>
  <c r="N63" i="142"/>
  <c r="T63" i="142" s="1"/>
  <c r="N67" i="142"/>
  <c r="N65" i="142"/>
  <c r="T65" i="142" s="1"/>
  <c r="T89" i="142"/>
  <c r="N66" i="142"/>
  <c r="T66" i="142" s="1"/>
  <c r="N64" i="142"/>
  <c r="T64" i="142" s="1"/>
  <c r="T88" i="142"/>
  <c r="T87" i="142"/>
  <c r="A23" i="142"/>
  <c r="A24" i="142"/>
  <c r="A22" i="142"/>
  <c r="W25" i="142"/>
  <c r="N25" i="142" s="1"/>
  <c r="J103" i="142"/>
  <c r="N112" i="142"/>
  <c r="T112" i="142" s="1"/>
  <c r="N110" i="142"/>
  <c r="T110" i="142" s="1"/>
  <c r="T109" i="142"/>
  <c r="N113" i="142"/>
  <c r="N111" i="142"/>
  <c r="T111" i="142" s="1"/>
  <c r="J80" i="142"/>
  <c r="T86" i="142"/>
  <c r="O13" i="148"/>
  <c r="AE28" i="144"/>
  <c r="AO28" i="144" s="1"/>
  <c r="O13" i="145"/>
  <c r="L104" i="142"/>
  <c r="I152" i="142"/>
  <c r="O13" i="146"/>
  <c r="O13" i="149"/>
  <c r="E113" i="142"/>
  <c r="D103" i="142" s="1"/>
  <c r="E22" i="150"/>
  <c r="A77" i="142"/>
  <c r="L82" i="142"/>
  <c r="C9" i="150"/>
  <c r="A54" i="142"/>
  <c r="G21" i="150"/>
  <c r="C22" i="150" s="1"/>
  <c r="F22" i="150" s="1"/>
  <c r="D22" i="150" s="1"/>
  <c r="L130" i="143"/>
  <c r="W22" i="142"/>
  <c r="N22" i="142" s="1"/>
  <c r="C32" i="142"/>
  <c r="L92" i="143"/>
  <c r="N23" i="142"/>
  <c r="J57" i="142"/>
  <c r="E23" i="150"/>
  <c r="E27" i="150"/>
  <c r="E25" i="150"/>
  <c r="E29" i="150"/>
  <c r="E24" i="150"/>
  <c r="E28" i="150"/>
  <c r="E26" i="150"/>
  <c r="E30" i="150"/>
  <c r="F21" i="150"/>
  <c r="D21" i="150" s="1"/>
  <c r="J34" i="142"/>
  <c r="E44" i="142"/>
  <c r="D34" i="142" s="1"/>
  <c r="H54" i="148"/>
  <c r="H55" i="148"/>
  <c r="G67" i="142"/>
  <c r="O67" i="142" s="1"/>
  <c r="D57" i="142"/>
  <c r="E68" i="142"/>
  <c r="L93" i="143" s="1"/>
  <c r="G90" i="142"/>
  <c r="O90" i="142" s="1"/>
  <c r="O91" i="142" s="1"/>
  <c r="D80" i="142"/>
  <c r="E91" i="142"/>
  <c r="L131" i="143" s="1"/>
  <c r="E114" i="142"/>
  <c r="L169" i="143" s="1"/>
  <c r="A100" i="142"/>
  <c r="L35" i="142"/>
  <c r="L58" i="142"/>
  <c r="I153" i="142" l="1"/>
  <c r="T92" i="142"/>
  <c r="P95" i="142"/>
  <c r="P96" i="142"/>
  <c r="T67" i="142"/>
  <c r="T68" i="142" s="1"/>
  <c r="T90" i="142"/>
  <c r="T91" i="142" s="1"/>
  <c r="T94" i="142" s="1"/>
  <c r="G44" i="142"/>
  <c r="O44" i="142" s="1"/>
  <c r="G113" i="142"/>
  <c r="O113" i="142" s="1"/>
  <c r="O114" i="142" s="1"/>
  <c r="G22" i="150"/>
  <c r="C23" i="150" s="1"/>
  <c r="G23" i="150" s="1"/>
  <c r="C24" i="150" s="1"/>
  <c r="E45" i="142"/>
  <c r="L55" i="143" s="1"/>
  <c r="B56" i="148"/>
  <c r="O68" i="142"/>
  <c r="E51" i="150"/>
  <c r="O45" i="142" l="1"/>
  <c r="T115" i="142"/>
  <c r="P119" i="142"/>
  <c r="P118" i="142"/>
  <c r="P94" i="142"/>
  <c r="T96" i="142" s="1"/>
  <c r="T71" i="142"/>
  <c r="T44" i="142"/>
  <c r="AO27" i="144"/>
  <c r="T113" i="142"/>
  <c r="T114" i="142" s="1"/>
  <c r="T117" i="142" s="1"/>
  <c r="F23" i="150"/>
  <c r="D23" i="150" s="1"/>
  <c r="T69" i="142"/>
  <c r="P73" i="142"/>
  <c r="P72" i="142"/>
  <c r="G24" i="150"/>
  <c r="C25" i="150" s="1"/>
  <c r="F24" i="150"/>
  <c r="T46" i="142" l="1"/>
  <c r="P48" i="142" s="1"/>
  <c r="T45" i="142"/>
  <c r="T48" i="142" s="1"/>
  <c r="P49" i="142"/>
  <c r="P50" i="142"/>
  <c r="P117" i="142"/>
  <c r="T119" i="142" s="1"/>
  <c r="P71" i="142"/>
  <c r="T73" i="142" s="1"/>
  <c r="D24" i="150"/>
  <c r="F25" i="150"/>
  <c r="D25" i="150" s="1"/>
  <c r="G25" i="150"/>
  <c r="C26" i="150" s="1"/>
  <c r="T50" i="142" l="1"/>
  <c r="Q12" i="143" s="1"/>
  <c r="AF12" i="143" s="1"/>
  <c r="F26" i="150"/>
  <c r="D26" i="150" s="1"/>
  <c r="G26" i="150"/>
  <c r="C27" i="150" s="1"/>
  <c r="H130" i="107"/>
  <c r="G27" i="150" l="1"/>
  <c r="C28" i="150" s="1"/>
  <c r="F27" i="150"/>
  <c r="D27" i="150" l="1"/>
  <c r="G28" i="150"/>
  <c r="C29" i="150" s="1"/>
  <c r="F28" i="150"/>
  <c r="D28" i="150" s="1"/>
  <c r="E336" i="106"/>
  <c r="Q73" i="146"/>
  <c r="Q34" i="146"/>
  <c r="Q14" i="146"/>
  <c r="Q100" i="146"/>
  <c r="Q88" i="146"/>
  <c r="Q23" i="146"/>
  <c r="Q74" i="146"/>
  <c r="Q11" i="145"/>
  <c r="Q10" i="148"/>
  <c r="Q85" i="146"/>
  <c r="Q90" i="146"/>
  <c r="Q7" i="148"/>
  <c r="Q25" i="146"/>
  <c r="Q9" i="146"/>
  <c r="Q12" i="148"/>
  <c r="Q6" i="145"/>
  <c r="Q36" i="146"/>
  <c r="Q59" i="146"/>
  <c r="Q89" i="146"/>
  <c r="Q19" i="146"/>
  <c r="Q30" i="148"/>
  <c r="Q81" i="146"/>
  <c r="Q26" i="146"/>
  <c r="Q94" i="146"/>
  <c r="Q17" i="146"/>
  <c r="Q7" i="146"/>
  <c r="Q11" i="148"/>
  <c r="Q70" i="146"/>
  <c r="Q77" i="146"/>
  <c r="Q12" i="145"/>
  <c r="Q5" i="148"/>
  <c r="Q80" i="146"/>
  <c r="Q10" i="146"/>
  <c r="Q84" i="146"/>
  <c r="Q58" i="149"/>
  <c r="Q11" i="146"/>
  <c r="Q33" i="146"/>
  <c r="Q5" i="149"/>
  <c r="Q83" i="146"/>
  <c r="Q69" i="148"/>
  <c r="Q78" i="146"/>
  <c r="Q6" i="149"/>
  <c r="Q87" i="146"/>
  <c r="Q7" i="149"/>
  <c r="Q28" i="146"/>
  <c r="Q24" i="146"/>
  <c r="Q8" i="145"/>
  <c r="Q6" i="146"/>
  <c r="Q70" i="148"/>
  <c r="Q12" i="146"/>
  <c r="Q91" i="146"/>
  <c r="Q92" i="146"/>
  <c r="Q30" i="146"/>
  <c r="Q31" i="146"/>
  <c r="Q86" i="146"/>
  <c r="Q14" i="149"/>
  <c r="Q29" i="146"/>
  <c r="Q18" i="146"/>
  <c r="Q6" i="148"/>
  <c r="Q10" i="145"/>
  <c r="Q5" i="146"/>
  <c r="Q9" i="148"/>
  <c r="Q99" i="146"/>
  <c r="Q58" i="146"/>
  <c r="Q31" i="148"/>
  <c r="Q7" i="145"/>
  <c r="Q35" i="146"/>
  <c r="Q9" i="145"/>
  <c r="Q14" i="148"/>
  <c r="Q58" i="148"/>
  <c r="Q82" i="146"/>
  <c r="Q76" i="146"/>
  <c r="Q22" i="146"/>
  <c r="Q72" i="146"/>
  <c r="Q93" i="146"/>
  <c r="Q95" i="146"/>
  <c r="Q57" i="145"/>
  <c r="Q97" i="146"/>
  <c r="Q69" i="149"/>
  <c r="Q70" i="145"/>
  <c r="Q75" i="146"/>
  <c r="Q20" i="146"/>
  <c r="Q32" i="146"/>
  <c r="Q69" i="146"/>
  <c r="Q16" i="146"/>
  <c r="Q15" i="146"/>
  <c r="Q21" i="146"/>
  <c r="Q14" i="145"/>
  <c r="Q27" i="146"/>
  <c r="Q15" i="145"/>
  <c r="Q96" i="146"/>
  <c r="Q8" i="148"/>
  <c r="Q70" i="149"/>
  <c r="F29" i="150" l="1"/>
  <c r="D29" i="150" s="1"/>
  <c r="G29" i="150"/>
  <c r="C30" i="150" s="1"/>
  <c r="E114" i="106"/>
  <c r="E115" i="106"/>
  <c r="E116" i="106"/>
  <c r="E117" i="106"/>
  <c r="E118" i="106"/>
  <c r="E119" i="106"/>
  <c r="E120" i="106"/>
  <c r="E121" i="106"/>
  <c r="E122" i="106"/>
  <c r="E123" i="106"/>
  <c r="E124" i="106"/>
  <c r="E125" i="106"/>
  <c r="E127" i="106"/>
  <c r="E128" i="106"/>
  <c r="E129" i="106"/>
  <c r="E130" i="106"/>
  <c r="E131" i="106"/>
  <c r="E132" i="106"/>
  <c r="E133" i="106"/>
  <c r="E134" i="106"/>
  <c r="E135" i="106"/>
  <c r="E126" i="106"/>
  <c r="E136" i="106"/>
  <c r="E137" i="106"/>
  <c r="E138" i="106"/>
  <c r="E139" i="106"/>
  <c r="E140" i="106"/>
  <c r="E142" i="106"/>
  <c r="E143" i="106"/>
  <c r="E144" i="106"/>
  <c r="E145" i="106"/>
  <c r="E147" i="106"/>
  <c r="E148" i="106"/>
  <c r="E149" i="106"/>
  <c r="E150" i="106"/>
  <c r="E151" i="106"/>
  <c r="E153" i="106"/>
  <c r="E154" i="106"/>
  <c r="E155" i="106"/>
  <c r="E156" i="106"/>
  <c r="E157" i="106"/>
  <c r="E158" i="106"/>
  <c r="E159" i="106"/>
  <c r="E160" i="106"/>
  <c r="E161" i="106"/>
  <c r="E162" i="106"/>
  <c r="E163" i="106"/>
  <c r="E164" i="106"/>
  <c r="E165" i="106"/>
  <c r="E166" i="106"/>
  <c r="E167" i="106"/>
  <c r="E168" i="106"/>
  <c r="E169" i="106"/>
  <c r="E170" i="106"/>
  <c r="E171" i="106"/>
  <c r="E172" i="106"/>
  <c r="E174" i="106"/>
  <c r="E177" i="106"/>
  <c r="E178" i="106"/>
  <c r="E179" i="106"/>
  <c r="E180" i="106"/>
  <c r="E181" i="106"/>
  <c r="E182" i="106"/>
  <c r="E183" i="106"/>
  <c r="E184" i="106"/>
  <c r="E185" i="106"/>
  <c r="E186" i="106"/>
  <c r="E187" i="106"/>
  <c r="E188" i="106"/>
  <c r="E189" i="106"/>
  <c r="E190" i="106"/>
  <c r="E191" i="106"/>
  <c r="E192" i="106"/>
  <c r="E193" i="106"/>
  <c r="E194" i="106"/>
  <c r="E195" i="106"/>
  <c r="E196" i="106"/>
  <c r="E197" i="106"/>
  <c r="E198" i="106"/>
  <c r="E199" i="106"/>
  <c r="E200" i="106"/>
  <c r="E201" i="106"/>
  <c r="E202" i="106"/>
  <c r="E204" i="106"/>
  <c r="E205" i="106"/>
  <c r="E206" i="106"/>
  <c r="E207" i="106"/>
  <c r="E208" i="106"/>
  <c r="E209" i="106"/>
  <c r="E210" i="106"/>
  <c r="E211" i="106"/>
  <c r="E212" i="106"/>
  <c r="E213" i="106"/>
  <c r="E214" i="106"/>
  <c r="E216" i="106"/>
  <c r="E217" i="106"/>
  <c r="E218" i="106"/>
  <c r="E219" i="106"/>
  <c r="E220" i="106"/>
  <c r="E221" i="106"/>
  <c r="E223" i="106"/>
  <c r="E225" i="106"/>
  <c r="E227" i="106"/>
  <c r="E228" i="106"/>
  <c r="E230" i="106"/>
  <c r="E232" i="106"/>
  <c r="E233" i="106"/>
  <c r="E234" i="106"/>
  <c r="E236" i="106"/>
  <c r="E237" i="106"/>
  <c r="E238" i="106"/>
  <c r="E240" i="106"/>
  <c r="E242" i="106"/>
  <c r="E243" i="106"/>
  <c r="E244" i="106"/>
  <c r="E245" i="106"/>
  <c r="E246" i="106"/>
  <c r="E247" i="106"/>
  <c r="E248" i="106"/>
  <c r="E249" i="106"/>
  <c r="E250" i="106"/>
  <c r="E251" i="106"/>
  <c r="E253" i="106"/>
  <c r="E254" i="106"/>
  <c r="E239" i="106"/>
  <c r="E255" i="106"/>
  <c r="E256" i="106"/>
  <c r="E257" i="106"/>
  <c r="E258" i="106"/>
  <c r="E259" i="106"/>
  <c r="E262" i="106"/>
  <c r="E263" i="106"/>
  <c r="E241" i="106"/>
  <c r="E264" i="106"/>
  <c r="E265" i="106"/>
  <c r="E266" i="106"/>
  <c r="E267" i="106"/>
  <c r="E268" i="106"/>
  <c r="E269" i="106"/>
  <c r="E270" i="106"/>
  <c r="E271" i="106"/>
  <c r="E272" i="106"/>
  <c r="E273" i="106"/>
  <c r="E274" i="106"/>
  <c r="E275" i="106"/>
  <c r="E276" i="106"/>
  <c r="E277" i="106"/>
  <c r="E278" i="106"/>
  <c r="E252" i="106"/>
  <c r="E260" i="106"/>
  <c r="E279" i="106"/>
  <c r="E280" i="106"/>
  <c r="E261" i="106"/>
  <c r="E281" i="106"/>
  <c r="E282" i="106"/>
  <c r="E283" i="106"/>
  <c r="E284" i="106"/>
  <c r="E285" i="106"/>
  <c r="E286" i="106"/>
  <c r="E288" i="106"/>
  <c r="E289" i="106"/>
  <c r="E290" i="106"/>
  <c r="E291" i="106"/>
  <c r="E292" i="106"/>
  <c r="E293" i="106"/>
  <c r="E294" i="106"/>
  <c r="E295" i="106"/>
  <c r="E296" i="106"/>
  <c r="E297" i="106"/>
  <c r="E298" i="106"/>
  <c r="E299" i="106"/>
  <c r="E300" i="106"/>
  <c r="E302" i="106"/>
  <c r="E304" i="106"/>
  <c r="E305" i="106"/>
  <c r="E306" i="106"/>
  <c r="E307" i="106"/>
  <c r="E308" i="106"/>
  <c r="E309" i="106"/>
  <c r="E310" i="106"/>
  <c r="E311" i="106"/>
  <c r="E312" i="106"/>
  <c r="E313" i="106"/>
  <c r="E314" i="106"/>
  <c r="E315" i="106"/>
  <c r="E316" i="106"/>
  <c r="E317" i="106"/>
  <c r="E318" i="106"/>
  <c r="E319" i="106"/>
  <c r="E320" i="106"/>
  <c r="E321" i="106"/>
  <c r="E322" i="106"/>
  <c r="E323" i="106"/>
  <c r="E324" i="106"/>
  <c r="E325" i="106"/>
  <c r="E326" i="106"/>
  <c r="E327" i="106"/>
  <c r="E328" i="106"/>
  <c r="E329" i="106"/>
  <c r="E330" i="106"/>
  <c r="E331" i="106"/>
  <c r="E332" i="106"/>
  <c r="E333" i="106"/>
  <c r="E334" i="106"/>
  <c r="E335" i="106"/>
  <c r="E337" i="106"/>
  <c r="E338" i="106"/>
  <c r="E339" i="106"/>
  <c r="E340" i="106"/>
  <c r="E341" i="106"/>
  <c r="E342" i="106"/>
  <c r="E343" i="106"/>
  <c r="E344" i="106"/>
  <c r="E345" i="106"/>
  <c r="E346" i="106"/>
  <c r="E348" i="106"/>
  <c r="E349" i="106"/>
  <c r="E351" i="106"/>
  <c r="E352" i="106"/>
  <c r="E354" i="106"/>
  <c r="E355" i="106"/>
  <c r="E353" i="106"/>
  <c r="E356" i="106"/>
  <c r="E357" i="106"/>
  <c r="E358" i="106"/>
  <c r="E359" i="106"/>
  <c r="E361" i="106"/>
  <c r="E364" i="106"/>
  <c r="E365" i="106"/>
  <c r="E366" i="106"/>
  <c r="E367" i="106"/>
  <c r="E368" i="106"/>
  <c r="E369" i="106"/>
  <c r="E370" i="106"/>
  <c r="E371" i="106"/>
  <c r="E372" i="106"/>
  <c r="E373" i="106"/>
  <c r="E374" i="106"/>
  <c r="E375" i="106"/>
  <c r="E377" i="106"/>
  <c r="E378" i="106"/>
  <c r="E379" i="106"/>
  <c r="E380" i="106"/>
  <c r="E381" i="106"/>
  <c r="E382" i="106"/>
  <c r="E383" i="106"/>
  <c r="E384" i="106"/>
  <c r="E385" i="106"/>
  <c r="E386" i="106"/>
  <c r="E387" i="106"/>
  <c r="E388" i="106"/>
  <c r="E389" i="106"/>
  <c r="E390" i="106"/>
  <c r="E391" i="106"/>
  <c r="E392" i="106"/>
  <c r="E393" i="106"/>
  <c r="E394" i="106"/>
  <c r="E395" i="106"/>
  <c r="E396" i="106"/>
  <c r="E397" i="106"/>
  <c r="E398" i="106"/>
  <c r="E399" i="106"/>
  <c r="E400" i="106"/>
  <c r="E401" i="106"/>
  <c r="E403" i="106"/>
  <c r="E404" i="106"/>
  <c r="E405" i="106"/>
  <c r="E406" i="106"/>
  <c r="E407" i="106"/>
  <c r="E408" i="106"/>
  <c r="E409" i="106"/>
  <c r="E410" i="106"/>
  <c r="E411" i="106"/>
  <c r="E412" i="106"/>
  <c r="E413" i="106"/>
  <c r="E414" i="106"/>
  <c r="E415" i="106"/>
  <c r="E416" i="106"/>
  <c r="E417" i="106"/>
  <c r="E418" i="106"/>
  <c r="E420" i="106"/>
  <c r="E421" i="106"/>
  <c r="E422" i="106"/>
  <c r="E423" i="106"/>
  <c r="E424" i="106"/>
  <c r="E425" i="106"/>
  <c r="E427" i="106"/>
  <c r="E429" i="106"/>
  <c r="E431" i="106"/>
  <c r="E433" i="106"/>
  <c r="E435" i="106"/>
  <c r="E436" i="106"/>
  <c r="E437" i="106"/>
  <c r="E438" i="106"/>
  <c r="E439" i="106"/>
  <c r="E440" i="106"/>
  <c r="E441" i="106"/>
  <c r="E442" i="106"/>
  <c r="E443" i="106"/>
  <c r="E444" i="106"/>
  <c r="E445" i="106"/>
  <c r="E446" i="106"/>
  <c r="E448" i="106"/>
  <c r="E2" i="106"/>
  <c r="D14" i="142" s="1"/>
  <c r="H10" i="142" s="1"/>
  <c r="E3" i="106"/>
  <c r="E4" i="106"/>
  <c r="E5" i="106"/>
  <c r="E6" i="106"/>
  <c r="E7" i="106"/>
  <c r="E8" i="106"/>
  <c r="E9" i="106"/>
  <c r="E10" i="106"/>
  <c r="E11" i="106"/>
  <c r="E12" i="106"/>
  <c r="E13" i="106"/>
  <c r="E14" i="106"/>
  <c r="E16" i="106"/>
  <c r="E17" i="106"/>
  <c r="E18" i="106"/>
  <c r="E19" i="106"/>
  <c r="E20" i="106"/>
  <c r="E21" i="106"/>
  <c r="E24" i="106"/>
  <c r="E25" i="106"/>
  <c r="E26" i="106"/>
  <c r="E27" i="106"/>
  <c r="E28" i="106"/>
  <c r="E29" i="106"/>
  <c r="E30" i="106"/>
  <c r="E31" i="106"/>
  <c r="E33" i="106"/>
  <c r="E32" i="106"/>
  <c r="E34" i="106"/>
  <c r="E36" i="106"/>
  <c r="E37" i="106"/>
  <c r="E38" i="106"/>
  <c r="E39" i="106"/>
  <c r="E40" i="106"/>
  <c r="E41" i="106"/>
  <c r="E42" i="106"/>
  <c r="E44" i="106"/>
  <c r="E45" i="106"/>
  <c r="E46" i="106"/>
  <c r="E47" i="106"/>
  <c r="E48" i="106"/>
  <c r="E49" i="106"/>
  <c r="E43" i="106"/>
  <c r="E50" i="106"/>
  <c r="E52" i="106"/>
  <c r="E53" i="106"/>
  <c r="E54" i="106"/>
  <c r="E55" i="106"/>
  <c r="E56" i="106"/>
  <c r="E57" i="106"/>
  <c r="E58" i="106"/>
  <c r="E59" i="106"/>
  <c r="E61" i="106"/>
  <c r="E63" i="106"/>
  <c r="E64" i="106"/>
  <c r="E65" i="106"/>
  <c r="E66" i="106"/>
  <c r="E67" i="106"/>
  <c r="E68" i="106"/>
  <c r="E69" i="106"/>
  <c r="E70" i="106"/>
  <c r="E71" i="106"/>
  <c r="E72" i="106"/>
  <c r="E74" i="106"/>
  <c r="E75" i="106"/>
  <c r="E76" i="106"/>
  <c r="E77" i="106"/>
  <c r="E78" i="106"/>
  <c r="E79" i="106"/>
  <c r="E80" i="106"/>
  <c r="E81" i="106"/>
  <c r="E82" i="106"/>
  <c r="E83" i="106"/>
  <c r="E84" i="106"/>
  <c r="E85" i="106"/>
  <c r="E86" i="106"/>
  <c r="E87" i="106"/>
  <c r="E88" i="106"/>
  <c r="E89" i="106"/>
  <c r="E90" i="106"/>
  <c r="E91" i="106"/>
  <c r="E92" i="106"/>
  <c r="E93" i="106"/>
  <c r="E94" i="106"/>
  <c r="E95" i="106"/>
  <c r="E96" i="106"/>
  <c r="E97" i="106"/>
  <c r="E98" i="106"/>
  <c r="E99" i="106"/>
  <c r="E100" i="106"/>
  <c r="E101" i="106"/>
  <c r="E102" i="106"/>
  <c r="E103" i="106"/>
  <c r="E73" i="106"/>
  <c r="E104" i="106"/>
  <c r="E105" i="106"/>
  <c r="E106" i="106"/>
  <c r="E107" i="106"/>
  <c r="E108" i="106"/>
  <c r="E109" i="106"/>
  <c r="E110" i="106"/>
  <c r="E111" i="106"/>
  <c r="E112" i="106"/>
  <c r="H14" i="142" l="1"/>
  <c r="BB21" i="144" s="1"/>
  <c r="G30" i="150"/>
  <c r="F30" i="150"/>
  <c r="D30" i="150" s="1"/>
  <c r="D51" i="150" s="1"/>
  <c r="H102" i="107"/>
  <c r="H103" i="107"/>
  <c r="H104" i="107"/>
  <c r="H105" i="107"/>
  <c r="H101" i="107"/>
  <c r="H97" i="107"/>
  <c r="H98" i="107"/>
  <c r="H99" i="107"/>
  <c r="H100" i="107"/>
  <c r="H96" i="107"/>
  <c r="H92" i="107"/>
  <c r="H93" i="107"/>
  <c r="H94" i="107"/>
  <c r="H95" i="107"/>
  <c r="H91" i="107"/>
  <c r="H87" i="107"/>
  <c r="H88" i="107"/>
  <c r="H89" i="107"/>
  <c r="H90" i="107"/>
  <c r="H86" i="107"/>
  <c r="H82" i="107"/>
  <c r="H83" i="107"/>
  <c r="H84" i="107"/>
  <c r="H85" i="107"/>
  <c r="H81" i="107"/>
  <c r="H111" i="107"/>
  <c r="P40" i="142" l="1"/>
  <c r="P52" i="142"/>
  <c r="T47" i="142" s="1"/>
  <c r="L37" i="146"/>
  <c r="L79" i="146"/>
  <c r="L39" i="146"/>
  <c r="L38" i="149"/>
  <c r="L45" i="146"/>
  <c r="L71" i="146"/>
  <c r="L44" i="145"/>
  <c r="L98" i="145"/>
  <c r="L95" i="145"/>
  <c r="L90" i="145"/>
  <c r="L86" i="145"/>
  <c r="L80" i="145"/>
  <c r="L74" i="145"/>
  <c r="L77" i="145"/>
  <c r="L31" i="145"/>
  <c r="L24" i="145"/>
  <c r="L19" i="145"/>
  <c r="L15" i="145"/>
  <c r="L9" i="145"/>
  <c r="L71" i="145"/>
  <c r="L14" i="145"/>
  <c r="L88" i="145"/>
  <c r="L94" i="145"/>
  <c r="L72" i="145"/>
  <c r="L28" i="145"/>
  <c r="L79" i="145"/>
  <c r="L99" i="145"/>
  <c r="L93" i="145"/>
  <c r="L89" i="145"/>
  <c r="L84" i="145"/>
  <c r="L78" i="145"/>
  <c r="L100" i="145"/>
  <c r="L73" i="145"/>
  <c r="L18" i="145"/>
  <c r="L12" i="145"/>
  <c r="L32" i="145"/>
  <c r="L97" i="145"/>
  <c r="L76" i="145"/>
  <c r="L17" i="145"/>
  <c r="L41" i="145"/>
  <c r="L96" i="145"/>
  <c r="L91" i="145"/>
  <c r="L87" i="145"/>
  <c r="L81" i="145"/>
  <c r="L75" i="145"/>
  <c r="L85" i="145"/>
  <c r="L20" i="145"/>
  <c r="L16" i="145"/>
  <c r="L10" i="145"/>
  <c r="L26" i="145"/>
  <c r="L92" i="145"/>
  <c r="L83" i="145"/>
  <c r="L21" i="145"/>
  <c r="L27" i="149"/>
  <c r="L27" i="146"/>
  <c r="L40" i="145"/>
  <c r="L40" i="148"/>
  <c r="L40" i="149"/>
  <c r="L23" i="149"/>
  <c r="L18" i="149"/>
  <c r="L9" i="149"/>
  <c r="L12" i="148"/>
  <c r="L77" i="146"/>
  <c r="L73" i="146"/>
  <c r="L33" i="146"/>
  <c r="L21" i="146"/>
  <c r="L17" i="146"/>
  <c r="L100" i="149"/>
  <c r="L21" i="149"/>
  <c r="L25" i="146"/>
  <c r="L11" i="146"/>
  <c r="L32" i="149"/>
  <c r="L11" i="149"/>
  <c r="L31" i="148"/>
  <c r="L75" i="146"/>
  <c r="L31" i="146"/>
  <c r="L19" i="146"/>
  <c r="L15" i="146"/>
  <c r="L15" i="149"/>
  <c r="L83" i="146"/>
  <c r="L23" i="146"/>
  <c r="L82" i="145"/>
  <c r="L35" i="146"/>
  <c r="P98" i="142"/>
  <c r="T93" i="142" s="1"/>
  <c r="L5" i="148"/>
  <c r="L36" i="145"/>
  <c r="L57" i="148"/>
  <c r="L69" i="148"/>
  <c r="J103" i="148" s="1"/>
  <c r="L5" i="145"/>
  <c r="L69" i="146"/>
  <c r="P75" i="142"/>
  <c r="T70" i="142" s="1"/>
  <c r="L60" i="145"/>
  <c r="L69" i="145"/>
  <c r="L70" i="145"/>
  <c r="L48" i="146"/>
  <c r="P121" i="142"/>
  <c r="T116" i="142" s="1"/>
  <c r="L46" i="145"/>
  <c r="L6" i="146"/>
  <c r="L59" i="146"/>
  <c r="L29" i="146"/>
  <c r="L5" i="149"/>
  <c r="L58" i="145"/>
  <c r="L59" i="145"/>
  <c r="L57" i="146"/>
  <c r="L69" i="149"/>
  <c r="L57" i="145"/>
  <c r="L29" i="145"/>
  <c r="L9" i="142"/>
  <c r="F51" i="150"/>
  <c r="P110" i="142"/>
  <c r="P65" i="142"/>
  <c r="P112" i="142"/>
  <c r="P111" i="142"/>
  <c r="P43" i="142"/>
  <c r="P66" i="142"/>
  <c r="P63" i="142"/>
  <c r="P109" i="142"/>
  <c r="P87" i="142"/>
  <c r="P64" i="142"/>
  <c r="P88" i="142"/>
  <c r="P67" i="142"/>
  <c r="P90" i="142"/>
  <c r="P89" i="142"/>
  <c r="P42" i="142"/>
  <c r="P44" i="142"/>
  <c r="P113" i="142"/>
  <c r="P86" i="142"/>
  <c r="P41" i="142"/>
  <c r="H122" i="107"/>
  <c r="H123" i="107"/>
  <c r="H124" i="107"/>
  <c r="H125" i="107"/>
  <c r="H121" i="107"/>
  <c r="H127" i="107"/>
  <c r="H128" i="107"/>
  <c r="H129" i="107"/>
  <c r="H126" i="107"/>
  <c r="H117" i="107"/>
  <c r="H118" i="107"/>
  <c r="H119" i="107"/>
  <c r="H120" i="107"/>
  <c r="H116" i="107"/>
  <c r="H107" i="107"/>
  <c r="H108" i="107"/>
  <c r="H109" i="107"/>
  <c r="H110" i="107"/>
  <c r="H106" i="107"/>
  <c r="H77" i="107"/>
  <c r="H78" i="107"/>
  <c r="H79" i="107"/>
  <c r="H80" i="107"/>
  <c r="H76" i="107"/>
  <c r="H72" i="107"/>
  <c r="H73" i="107"/>
  <c r="H74" i="107"/>
  <c r="H75" i="107"/>
  <c r="H71" i="107"/>
  <c r="H67" i="107"/>
  <c r="H68" i="107"/>
  <c r="H69" i="107"/>
  <c r="H70" i="107"/>
  <c r="H66" i="107"/>
  <c r="H62" i="107"/>
  <c r="H63" i="107"/>
  <c r="H64" i="107"/>
  <c r="H65" i="107"/>
  <c r="H61" i="107"/>
  <c r="BB18" i="144" s="1"/>
  <c r="BB23" i="144" s="1"/>
  <c r="H57" i="107"/>
  <c r="H58" i="107"/>
  <c r="H59" i="107"/>
  <c r="H60" i="107"/>
  <c r="H56" i="107"/>
  <c r="H52" i="107"/>
  <c r="H53" i="107"/>
  <c r="H54" i="107"/>
  <c r="H55" i="107"/>
  <c r="H51" i="107"/>
  <c r="H47" i="107"/>
  <c r="H48" i="107"/>
  <c r="H49" i="107"/>
  <c r="H50" i="107"/>
  <c r="H46" i="107"/>
  <c r="H43" i="107"/>
  <c r="H44" i="107"/>
  <c r="H45" i="107"/>
  <c r="H42" i="107"/>
  <c r="H41" i="107"/>
  <c r="H37" i="107"/>
  <c r="H38" i="107"/>
  <c r="H39" i="107"/>
  <c r="H40" i="107"/>
  <c r="H36" i="107"/>
  <c r="H32" i="107"/>
  <c r="H33" i="107"/>
  <c r="H34" i="107"/>
  <c r="H35" i="107"/>
  <c r="H31" i="107"/>
  <c r="H27" i="107"/>
  <c r="H28" i="107"/>
  <c r="H29" i="107"/>
  <c r="H30" i="107"/>
  <c r="H26" i="107"/>
  <c r="H21" i="107"/>
  <c r="H22" i="107"/>
  <c r="H23" i="107"/>
  <c r="H24" i="107"/>
  <c r="H25" i="107"/>
  <c r="H17" i="107"/>
  <c r="H18" i="107"/>
  <c r="H19" i="107"/>
  <c r="H20" i="107"/>
  <c r="H16" i="107"/>
  <c r="H12" i="107"/>
  <c r="H13" i="107"/>
  <c r="H14" i="107"/>
  <c r="H15" i="107"/>
  <c r="H11" i="107"/>
  <c r="H7" i="107"/>
  <c r="H8" i="107"/>
  <c r="H9" i="107"/>
  <c r="H10" i="107"/>
  <c r="H6" i="107"/>
  <c r="H2" i="107"/>
  <c r="H3" i="107"/>
  <c r="H4" i="107"/>
  <c r="H5" i="107"/>
  <c r="H1" i="107"/>
  <c r="H114" i="107"/>
  <c r="J103" i="149" l="1"/>
  <c r="J103" i="146"/>
  <c r="P48" i="145"/>
  <c r="L54" i="145" s="1"/>
  <c r="J103" i="145"/>
  <c r="L60" i="148"/>
  <c r="L60" i="146"/>
  <c r="I60" i="146" s="1"/>
  <c r="L60" i="149"/>
  <c r="L53" i="145"/>
  <c r="P114" i="142"/>
  <c r="P91" i="142"/>
  <c r="P68" i="142"/>
  <c r="P45" i="142"/>
  <c r="H115" i="107"/>
  <c r="H113" i="107"/>
  <c r="H112" i="107"/>
  <c r="L49" i="145" l="1"/>
  <c r="H55" i="145" s="1"/>
  <c r="Q16" i="143"/>
  <c r="AF16" i="143" s="1"/>
  <c r="J60" i="148"/>
  <c r="I60" i="148"/>
  <c r="P48" i="148"/>
  <c r="L55" i="148" s="1"/>
  <c r="J64" i="148" s="1"/>
  <c r="P97" i="142" s="1"/>
  <c r="BG26" i="144" s="1"/>
  <c r="J60" i="149"/>
  <c r="I60" i="149"/>
  <c r="AC189" i="143" s="1"/>
  <c r="P48" i="149"/>
  <c r="L49" i="149" s="1"/>
  <c r="H54" i="149" s="1"/>
  <c r="J60" i="146"/>
  <c r="P48" i="146"/>
  <c r="Q10" i="143"/>
  <c r="Q60" i="149"/>
  <c r="Q60" i="145"/>
  <c r="J64" i="149" l="1"/>
  <c r="P120" i="142" s="1"/>
  <c r="BG27" i="144" s="1"/>
  <c r="H54" i="145"/>
  <c r="B56" i="145" s="1"/>
  <c r="J64" i="145"/>
  <c r="P51" i="142" s="1"/>
  <c r="T51" i="142" s="1"/>
  <c r="H55" i="149"/>
  <c r="B56" i="149" s="1"/>
  <c r="AC113" i="143"/>
  <c r="T97" i="142"/>
  <c r="AG129" i="143" s="1"/>
  <c r="AG130" i="143" s="1"/>
  <c r="AC151" i="143"/>
  <c r="L50" i="146"/>
  <c r="L54" i="146"/>
  <c r="AF10" i="143"/>
  <c r="R105" i="142" l="1"/>
  <c r="T120" i="142"/>
  <c r="AG167" i="143" s="1"/>
  <c r="AG168" i="143" s="1"/>
  <c r="H55" i="146"/>
  <c r="H54" i="146"/>
  <c r="J64" i="146"/>
  <c r="BG24" i="144"/>
  <c r="BB24" i="144" s="1"/>
  <c r="BB25" i="144" l="1"/>
  <c r="AE26" i="144" s="1"/>
  <c r="AO26" i="144" s="1"/>
  <c r="AO30" i="144" s="1"/>
  <c r="P74" i="142"/>
  <c r="Q14" i="143"/>
  <c r="B56" i="146"/>
  <c r="AG53" i="143"/>
  <c r="AG54" i="143" s="1"/>
  <c r="AE30" i="144" l="1"/>
  <c r="AF14" i="143"/>
  <c r="AF18" i="143" s="1"/>
  <c r="Q18" i="143"/>
  <c r="AJ21" i="143" s="1"/>
  <c r="BG25" i="144"/>
  <c r="T74" i="142"/>
  <c r="AG91" i="143" l="1"/>
  <c r="AG92" i="143" s="1"/>
  <c r="T122" i="142"/>
  <c r="T125" i="142" l="1"/>
  <c r="N158" i="142" s="1"/>
  <c r="Q27" i="143" s="1"/>
  <c r="AF27" i="143" s="1"/>
  <c r="T124" i="142"/>
  <c r="N131" i="142" s="1"/>
  <c r="Q25" i="143" s="1"/>
  <c r="AF25" i="143" s="1"/>
  <c r="Q29" i="143" l="1"/>
  <c r="Q35" i="143" s="1"/>
  <c r="AF35" i="143" s="1"/>
  <c r="AF29" i="14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8" authorId="0" shapeId="0" xr:uid="{93BD61E4-3435-4600-9096-F48299214AD3}">
      <text>
        <r>
          <rPr>
            <b/>
            <sz val="9"/>
            <color indexed="81"/>
            <rFont val="MS P ゴシック"/>
            <family val="3"/>
            <charset val="128"/>
          </rPr>
          <t>基準額を入力しておりますが
必要に応じて上書きしてください</t>
        </r>
      </text>
    </comment>
    <comment ref="G49" authorId="0" shapeId="0" xr:uid="{00000000-0006-0000-0100-000001000000}">
      <text>
        <r>
          <rPr>
            <b/>
            <sz val="9"/>
            <color indexed="81"/>
            <rFont val="ＭＳ Ｐゴシック"/>
            <family val="3"/>
            <charset val="128"/>
          </rPr>
          <t>基準額が表示されますが、
必要に応じて上書きしてください</t>
        </r>
      </text>
    </comment>
    <comment ref="G71" authorId="0" shapeId="0" xr:uid="{ADA859D6-4C8F-4CD1-ABD6-ACB4875CDFE7}">
      <text>
        <r>
          <rPr>
            <b/>
            <sz val="9"/>
            <color indexed="81"/>
            <rFont val="MS P ゴシック"/>
            <family val="3"/>
            <charset val="128"/>
          </rPr>
          <t>基準額を入力しておりますが
必要に応じて上書きしてください</t>
        </r>
      </text>
    </comment>
    <comment ref="G72" authorId="0" shapeId="0" xr:uid="{00000000-0006-0000-0100-000002000000}">
      <text>
        <r>
          <rPr>
            <b/>
            <sz val="9"/>
            <color indexed="81"/>
            <rFont val="ＭＳ Ｐゴシック"/>
            <family val="3"/>
            <charset val="128"/>
          </rPr>
          <t>基準額が表示されますが、
必要に応じて上書きしてください</t>
        </r>
      </text>
    </comment>
    <comment ref="G94" authorId="0" shapeId="0" xr:uid="{279739B8-D1AE-4FA5-A4F4-3BFF9C5DA03D}">
      <text>
        <r>
          <rPr>
            <b/>
            <sz val="9"/>
            <color indexed="81"/>
            <rFont val="MS P ゴシック"/>
            <family val="3"/>
            <charset val="128"/>
          </rPr>
          <t>基準額を入力しておりますが
必要に応じて上書きしてください</t>
        </r>
      </text>
    </comment>
    <comment ref="G95" authorId="0" shapeId="0" xr:uid="{00000000-0006-0000-0100-000003000000}">
      <text>
        <r>
          <rPr>
            <b/>
            <sz val="9"/>
            <color indexed="81"/>
            <rFont val="ＭＳ Ｐゴシック"/>
            <family val="3"/>
            <charset val="128"/>
          </rPr>
          <t>基準額が表示されますが、
必要に応じて上書きしてください</t>
        </r>
      </text>
    </comment>
    <comment ref="G117" authorId="0" shapeId="0" xr:uid="{7C639898-7848-4467-BEFF-C9DFAF75401C}">
      <text>
        <r>
          <rPr>
            <b/>
            <sz val="9"/>
            <color indexed="81"/>
            <rFont val="MS P ゴシック"/>
            <family val="3"/>
            <charset val="128"/>
          </rPr>
          <t>基準額を入力しておりますが
必要に応じて上書きしてください</t>
        </r>
      </text>
    </comment>
    <comment ref="G118" authorId="0" shapeId="0" xr:uid="{00000000-0006-0000-0100-000004000000}">
      <text>
        <r>
          <rPr>
            <b/>
            <sz val="9"/>
            <color indexed="81"/>
            <rFont val="ＭＳ Ｐゴシック"/>
            <family val="3"/>
            <charset val="128"/>
          </rPr>
          <t>基準額が表示されますが、
必要に応じて上書きしてください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00000000-0006-0000-0500-000001000000}">
      <text>
        <r>
          <rPr>
            <sz val="10"/>
            <color indexed="81"/>
            <rFont val="ＭＳ ゴシック"/>
            <family val="3"/>
            <charset val="128"/>
          </rPr>
          <t>別に厚生労働大臣が定める夜勤を行う職員の勤務条件に関する
基準を満たすものとして都道府県知事に届け出た介護医療院については、
当該基準に掲げる区分に従い、
１日につき次に掲げる単位数を所定単位数に加算する。
　イ夜間勤務等看護（Ⅰ） 23 単位
　ロ夜間勤務等看護（Ⅱ） 14 単位
　ハ夜間勤務等看護（Ⅲ） 14 単位
　ニ夜間勤務等看護（Ⅳ）  7 単位</t>
        </r>
        <r>
          <rPr>
            <b/>
            <sz val="9"/>
            <color indexed="81"/>
            <rFont val="MS P ゴシック"/>
            <family val="3"/>
            <charset val="128"/>
          </rPr>
          <t xml:space="preserve">
</t>
        </r>
      </text>
    </comment>
    <comment ref="B9" authorId="0" shapeId="0" xr:uid="{00000000-0006-0000-0500-000002000000}">
      <text>
        <r>
          <rPr>
            <sz val="10"/>
            <color indexed="81"/>
            <rFont val="ＭＳ ゴシック"/>
            <family val="3"/>
            <charset val="128"/>
          </rPr>
          <t>別に厚生労働大臣が定める基準に適合しているものとして
都道府県知事に届け出た介護医療院において、
若年性認知症患者に対して介護医療院サービスを行った場合は、
若年性認知症患者受入加算として、１日につき120単位を
所定単位数に加算する。
ただし、認知症行動・心理症状緊急対応加算を算定している場合は、
算定しない。</t>
        </r>
      </text>
    </comment>
    <comment ref="B10" authorId="0" shapeId="0" xr:uid="{00000000-0006-0000-0500-000003000000}">
      <text>
        <r>
          <rPr>
            <sz val="10"/>
            <color indexed="81"/>
            <rFont val="ＭＳ ゴシック"/>
            <family val="3"/>
            <charset val="128"/>
          </rPr>
          <t>入所者に対して居宅における外泊を認めた場合は、
１月に６日を限度として所定単位数に代えて
１日につき362単位を算定する。
ただし、外泊の初日及び最終日は、算定できない。</t>
        </r>
      </text>
    </comment>
    <comment ref="B11" authorId="0" shapeId="0" xr:uid="{00000000-0006-0000-0500-000004000000}">
      <text>
        <r>
          <rPr>
            <sz val="10"/>
            <color indexed="81"/>
            <rFont val="ＭＳ ゴシック"/>
            <family val="3"/>
            <charset val="128"/>
          </rPr>
          <t>入所者であって、退所が見込まれる者をその居宅において試行的に退所させ、
介護医療院が居宅サービスを提供する場合は、
１月に６日を限度として所定単位数に代えて１日につき800 単位を算定する。
ただし、試行的な退所に係る初日及び最終日は算定せず、
外泊時費用を算定している場合は算定しない。</t>
        </r>
      </text>
    </comment>
    <comment ref="B12" authorId="0" shapeId="0" xr:uid="{00000000-0006-0000-0500-000005000000}">
      <text>
        <r>
          <rPr>
            <sz val="10"/>
            <color indexed="81"/>
            <rFont val="ＭＳ ゴシック"/>
            <family val="3"/>
            <charset val="128"/>
          </rPr>
          <t>入所者に対し専門的な診療が必要になった場合であって、
当該入所者に対し病院又は診療所において当該診療が
行われた場合は、１月に４日を限度として所定単位数に代えて
１日につき362単位を算定する。</t>
        </r>
      </text>
    </comment>
    <comment ref="B14" authorId="0" shapeId="0" xr:uid="{00000000-0006-0000-0500-000006000000}">
      <text>
        <r>
          <rPr>
            <sz val="10"/>
            <color indexed="81"/>
            <rFont val="MS P ゴシック"/>
            <family val="3"/>
            <charset val="128"/>
          </rPr>
          <t>入所した日から起算して30 日以内の期間について、
初期加算として、１日につき所定単位数30 単位を
加算する。</t>
        </r>
      </text>
    </comment>
    <comment ref="B15" authorId="0" shapeId="0" xr:uid="{00000000-0006-0000-0500-000007000000}">
      <text>
        <r>
          <rPr>
            <sz val="10"/>
            <color indexed="81"/>
            <rFont val="ＭＳ Ｐゴシック"/>
            <family val="3"/>
            <charset val="128"/>
            <scheme val="minor"/>
          </rPr>
          <t>別に厚生労働大臣が定める基準に適合する介護医療院に入所
（以下この注において「一次入所」という。）している者が退所し、
当該者が病院又は診療所に入院した場合であって、
当該者が退院した後に再度当該介護医療院に入所（以下この注に
おいて「二次入所」という。）する際、二次入所において必要となる栄養管理が、一次入所の際に必要としていた栄養管理とは大きく異なるため、当該介護医療院の管理栄養士が当該病院又は診療所の管理栄養士と連携し当該者に関する栄養ケア計画を策定した場合に、
入所者１人につき１回を限度として所定単位数200単位数を加算する。　　ただし、栄養ケア・マネジメントの未実施減算を算定している場合は、算定しない。</t>
        </r>
      </text>
    </comment>
    <comment ref="C16" authorId="0" shapeId="0" xr:uid="{00000000-0006-0000-0500-000008000000}">
      <text>
        <r>
          <rPr>
            <sz val="10"/>
            <color indexed="81"/>
            <rFont val="ＭＳ Ｐゴシック"/>
            <family val="3"/>
            <charset val="128"/>
            <scheme val="minor"/>
          </rPr>
          <t>入所期間が１月を超えると見込まれる入所者の退所に先立って
当該入所者が退所後生活する居宅を訪問し、当該入所者及び
その家族等に対して退所後の療養上の指導を行った場合に、
入所中１回（入所後早期に退所前訪問指導の必要があると認められる入所者にあっては、２回）を限度として算定する。
　入所者が退所後にその居宅でなく、他の社会福祉施設等に入所する場合であって、当該入所者の同意を得て、当該社会福祉施設等を訪問し、連絡調整、情報提供等を行ったときも、同様に算定する。</t>
        </r>
      </text>
    </comment>
    <comment ref="C17" authorId="0" shapeId="0" xr:uid="{00000000-0006-0000-0500-000009000000}">
      <text>
        <r>
          <rPr>
            <sz val="10"/>
            <color indexed="81"/>
            <rFont val="ＭＳ Ｐゴシック"/>
            <family val="3"/>
            <charset val="128"/>
            <scheme val="minor"/>
          </rPr>
          <t>入所者の退所後30 日以内に当該入所者の居宅を訪問し、
当該入所者及びその家族等に対して療養上の指導を行った場合に、退所後１回を限度として算定する。
入所者が退所後にその居宅でなく、他の社会福祉施設等に入所する場合であって、当該入所者の同意を得て、当該社会福祉施設等を訪問し、連絡調整、情報提供等を行ったときも、同様に算定する。</t>
        </r>
      </text>
    </comment>
    <comment ref="C18" authorId="0" shapeId="0" xr:uid="{00000000-0006-0000-0500-00000A000000}">
      <text>
        <r>
          <rPr>
            <sz val="10"/>
            <color indexed="81"/>
            <rFont val="ＭＳ Ｐゴシック"/>
            <family val="3"/>
            <charset val="128"/>
            <scheme val="minor"/>
          </rPr>
          <t>入所期間が１月を超える入所者が退所し、その居宅において療養を継続する場合において、当該入所者の退所時に、当該入所者及びその家族等に対して、退所後の療養上の指導を行った場合に、入所者１人につき１回を限度として算定する。</t>
        </r>
      </text>
    </comment>
    <comment ref="C19" authorId="0" shapeId="0" xr:uid="{00000000-0006-0000-0500-00000B000000}">
      <text>
        <r>
          <rPr>
            <sz val="10"/>
            <color indexed="81"/>
            <rFont val="ＭＳ Ｐゴシック"/>
            <family val="3"/>
            <charset val="128"/>
            <scheme val="minor"/>
          </rPr>
          <t>入所期間が１月を超える入所者が退所し、その居宅において療養を継続する場合において、当該入所者の退所後の主治の医師に対して、当該入所者の同意を得て、当該入所者の診療状況を示す文書を添えて当該入所者の紹介を行った場合に、入所者１人に
つき１回に限り算定する。
入所者が退所後にその居宅でなく、他の社会福祉施設等に入所する場合であって、当該入所者の同意を得て、当該社会福祉施設等に対して当該入所者の診療状況を示す文書を添えて当該入所者の処遇に必要な情報を提供したときも、同様に算定する。</t>
        </r>
      </text>
    </comment>
    <comment ref="C20" authorId="0" shapeId="0" xr:uid="{00000000-0006-0000-0500-00000C000000}">
      <text>
        <r>
          <rPr>
            <sz val="10"/>
            <color indexed="81"/>
            <rFont val="ＭＳ Ｐゴシック"/>
            <family val="3"/>
            <charset val="128"/>
            <scheme val="minor"/>
          </rPr>
          <t>入所期間が１月を超える入所者が退所し、その居宅において居宅サービスを利用する場合において、当該入所者の退所に先立って当該入所者が利用を希望する指定居宅介護支援事業者に対して、当該入所者の同意を得て、当該入所者の診療状況を示す文書を添えて当該入所者に係る居宅サービスに必要な情報を提供し、かつ、当該指定居宅介護支援事業者と連携して退所後の居宅サービスの利用に関する調整を行った
場合に、入所者１人につき１回を限度として算定する。</t>
        </r>
      </text>
    </comment>
    <comment ref="C21" authorId="0" shapeId="0" xr:uid="{00000000-0006-0000-0500-00000D000000}">
      <text>
        <r>
          <rPr>
            <sz val="10"/>
            <color indexed="81"/>
            <rFont val="ＭＳ Ｐゴシック"/>
            <family val="3"/>
            <charset val="128"/>
            <scheme val="minor"/>
          </rPr>
          <t>入所者の退所時に、介護医療院の医師が、診療に基づき、指定訪問看護、指定定期巡回・随時対応型訪問介護看護（訪問看護サービスを行う場合に限る。）又は指定看護小規模多機能型居宅介護（看護サービスを行う場合に限る。）の利用が必要であると認め、当該入所者の選定する指定訪問看護ステーション、指定定期巡回・随時対応型訪問介護看護事業所又は指定看護小規模多機能型居宅介護事業所に対して、当該入所者の同意を得て、訪問看護指示書を交付した場合に、入所者１人につき１回を限度として算定する。</t>
        </r>
      </text>
    </comment>
    <comment ref="B22" authorId="0" shapeId="0" xr:uid="{3CD1A1A5-2CD2-43E3-9757-19BEDFFA6917}">
      <text>
        <r>
          <rPr>
            <b/>
            <sz val="9"/>
            <color indexed="81"/>
            <rFont val="MS P ゴシック"/>
            <family val="3"/>
            <charset val="128"/>
          </rPr>
          <t xml:space="preserve">別に厚生労働大臣が定める基準に適合するものとして都道
府県知事に届け出た介護医療院において、入所者ごとの継続
的な栄養管理を強化して実施した場合、栄養マネジメント強
化加算として、１日につき所定単位数11単位を加算する。 </t>
        </r>
      </text>
    </comment>
    <comment ref="B23" authorId="0" shapeId="0" xr:uid="{00000000-0006-0000-0500-000010000000}">
      <text>
        <r>
          <rPr>
            <sz val="10"/>
            <color indexed="81"/>
            <rFont val="ＭＳ Ｐゴシック"/>
            <family val="3"/>
            <charset val="128"/>
            <scheme val="minor"/>
          </rPr>
          <t xml:space="preserve">別に厚生労働大臣が定める基準に適合する介護医療院において、医師の指示に基づき、医師、歯科医師、管理栄養士、看護師、介護支援専門員その他の職種の者が共同して、現に経管により食事を摂取している入所者ごとに経口による食事の摂取を進めるための経口移行計画を作成している場合であって、当該計画に従い、医師の
指示を受けた管理栄養士又は栄養士による栄養管理及び言語聴覚士又は看護職員による支援が行われた場合は、当該計画が作成された日から起算して180 日以内の期間に限り、１日につき所定単位数28 単位を加算する。
ただし、イからヘまでの注５を算定している場合は、算定しない。 </t>
        </r>
      </text>
    </comment>
    <comment ref="C24" authorId="0" shapeId="0" xr:uid="{00000000-0006-0000-0500-000011000000}">
      <text>
        <r>
          <rPr>
            <sz val="10"/>
            <color indexed="81"/>
            <rFont val="ＭＳ Ｐゴシック"/>
            <family val="3"/>
            <charset val="128"/>
            <scheme val="minor"/>
          </rPr>
          <t xml:space="preserve">別に厚生労働大臣が定める基準に適合する介護医療院において、現に経口により食事を摂取する者であって、摂食機能障害を有し、誤嚥が認められる入所者に対して、医師又は歯科医師の指示に基づき、医師、歯科医師、管理栄養士、看護師、介護支援専門員その他の職種の者が共同して、入所者の栄養管理をするための食事の観察及び会議等を行い、入所者ごとに、経口による継続的な食事の摂取を進めるための経口維持計を作成している場合であって、当該計画に従い、医師又は歯科医師の指示（歯科医師が指示を行う場合にあっては、当該指示を受ける管理栄養士等が医師の指導を受けている場合に限る。）を受けた管理栄養士又は栄養士が栄養管理を行った場合に、１月につき所定単位数を加算する。ただし、イからヘまでの注５又は経口移行加算を算定している場合は、算定しない。 </t>
        </r>
      </text>
    </comment>
    <comment ref="C25" authorId="0" shapeId="0" xr:uid="{00000000-0006-0000-0500-000012000000}">
      <text>
        <r>
          <rPr>
            <sz val="10"/>
            <color indexed="81"/>
            <rFont val="ＭＳ Ｐゴシック"/>
            <family val="3"/>
            <charset val="128"/>
            <scheme val="minor"/>
          </rPr>
          <t>協力歯科医療機関を定めている介護医療院が、経口維持加算（Ⅰ）を算定している場合であって、入所者の経口による継続的な食事の摂取を支援するための食事の観察及び会議等に、医師（介護医療院の人員、施設及び設備並びに運営に関する基準第４条第１項第１号に規定する医師を除く。）、歯科医師、歯科衛生士又は言語聴覚士が加わった場合は、１月につき所定単位数を加算する。
　経口による継続的な食事の摂取を進めるための経口維持計画が作成された日の属する月から起算して６月を超えた場合であっても、摂食機能障害を有し、誤嚥が認められる入所者であって、医師又は歯科医師の指示に基づき、継続して誤嚥防止のための食事の摂取を進めるための特別な管理が必要とされるものに対しては、引き続き該加算を算定できるものとする。</t>
        </r>
      </text>
    </comment>
    <comment ref="B26" authorId="0" shapeId="0" xr:uid="{9AE064DE-6CD8-4A3E-A4AA-FBAFDA863F36}">
      <text>
        <r>
          <rPr>
            <sz val="10"/>
            <color indexed="81"/>
            <rFont val="ＭＳ Ｐゴシック"/>
            <family val="3"/>
            <charset val="128"/>
          </rPr>
          <t>別に厚生労働大臣が定める基準に適合する介護医療院において、入所者に対し、歯科衛生士が口腔衛生の管理を行った
場合は、当該基準に掲げる区分に従い、１月につき次に掲げ る所定単位数を加算する。ただし、次に掲げるいずれかの加 
算を算定している場合においては、次に掲げるその他の加算は算定しない。
⑴口腔衛生管理加算(Ⅰ) 90単位 
⑵口腔衛生管理加算(Ⅱ)110単位</t>
        </r>
      </text>
    </comment>
    <comment ref="B28" authorId="0" shapeId="0" xr:uid="{00000000-0006-0000-0500-000015000000}">
      <text>
        <r>
          <rPr>
            <sz val="10"/>
            <color indexed="81"/>
            <rFont val="ＭＳ Ｐゴシック"/>
            <family val="3"/>
            <charset val="128"/>
            <scheme val="minor"/>
          </rPr>
          <t>次に掲げるいずれの基準にも適合するものとして都道府県知事に届け出た介護医療院が、別に厚生労働大臣が定める療養食を
提供したときは、１日につき３回を限度として、所定単位数6 単位を加算する。
   イ　食事の提供が管理栄養士又は栄養士によって管理されて
        いること。
   ロ　入所者の年齢、心身の状況によって適切な栄養量及び内容 
        の食事の提供が行われていること。
   ハ　食事の提供が、別に厚生労働大臣が定める基準に適合する
        介護医療院において行われていること。</t>
        </r>
      </text>
    </comment>
    <comment ref="B29" authorId="0" shapeId="0" xr:uid="{00000000-0006-0000-0500-000016000000}">
      <text>
        <r>
          <rPr>
            <sz val="10"/>
            <color indexed="81"/>
            <rFont val="ＭＳ Ｐゴシック"/>
            <family val="3"/>
            <charset val="128"/>
            <scheme val="minor"/>
          </rPr>
          <t>別に厚生労働大臣が定める基準に適合する介護医療院であって、
次に掲げる基準のいずれにも適合している場合にあっては、
 １日につき所定単位数10 単位を加算する。
    イ　入所者の家族との連絡調整を行っていること。
    ロ　入所者が利用を希望する指定居宅介護支援事業者に対して、
         入所者に係る居宅サービスに必要な情報の提供及び退所後
          の居宅サービスの利用に関する調整を行っていること。</t>
        </r>
        <r>
          <rPr>
            <sz val="9"/>
            <color indexed="81"/>
            <rFont val="MS P ゴシック"/>
            <family val="3"/>
            <charset val="128"/>
          </rPr>
          <t xml:space="preserve">
</t>
        </r>
      </text>
    </comment>
    <comment ref="B31" authorId="0" shapeId="0" xr:uid="{00000000-0006-0000-0500-000017000000}">
      <text>
        <r>
          <rPr>
            <sz val="10"/>
            <color indexed="81"/>
            <rFont val="ＭＳ Ｐゴシック"/>
            <family val="3"/>
            <charset val="128"/>
            <scheme val="minor"/>
          </rPr>
          <t>入所者の病状が重篤となり救命救急医療が必要となる場合において緊急的な治療管理としての投薬、検査、注射、処置等を行ったときに算定する。
 注)　同一の入所者について１月に１回、連続する３日を限度と
        して算定する。</t>
        </r>
      </text>
    </comment>
    <comment ref="B32" authorId="0" shapeId="0" xr:uid="{00000000-0006-0000-0500-000018000000}">
      <text>
        <r>
          <rPr>
            <sz val="10"/>
            <color indexed="81"/>
            <rFont val="ＭＳ Ｐゴシック"/>
            <family val="3"/>
            <charset val="128"/>
            <scheme val="minor"/>
          </rPr>
          <t xml:space="preserve">別に厚生労働大臣が定める基準に適合しているものとして
都道府県知事に届け出た介護医療院において、別に厚生労働大臣が定める者に対して、専門的な認知症ケアを行った場合は、
当該基準に掲げる区分に従い、１日につき次に掲げる所定単位数を
加算する。
</t>
        </r>
      </text>
    </comment>
    <comment ref="B34" authorId="0" shapeId="0" xr:uid="{00000000-0006-0000-0500-000019000000}">
      <text>
        <r>
          <rPr>
            <sz val="10"/>
            <color indexed="81"/>
            <rFont val="ＭＳ Ｐゴシック"/>
            <family val="3"/>
            <charset val="128"/>
            <scheme val="minor"/>
          </rPr>
          <t>医師が、認知症の行動・心理症状が認められるため、
在宅での生活が困難であり、緊急に入所することが適当であると
判断した者に対し、介護医療院サービスを行った場合は、
入所した日から起算して７日を限度として、１日につき所定単位数
200 単位を加算する。</t>
        </r>
      </text>
    </comment>
    <comment ref="C35" authorId="0" shapeId="0" xr:uid="{00000000-0006-0000-0500-00001A000000}">
      <text>
        <r>
          <rPr>
            <sz val="10"/>
            <color indexed="81"/>
            <rFont val="ＭＳ Ｐゴシック"/>
            <family val="3"/>
            <charset val="128"/>
            <scheme val="minor"/>
          </rPr>
          <t>別に厚生労働大臣が定める施設基準に適合しているものと
して都道府県知事に届け出た介護医療院において、
入所者に対して、介護医療院サービスを行った場合に、
当該施設基準に掲げる区分に従い、入所者の要介護状態区分に応じて、それぞれ１日につき次に掲げる所定単位数を加算する。
　ただし、次に掲げるいずれかの加算を算定している場合においては、次に掲げるその他の加算は算定しない。
　⑴ 重度認知症疾患療養体制加算（Ⅰ）
　　㈠要介護１又は要介護２　　　　　　　　 140 単位
　　㈡要介護３、要介護４又は要介護５ 　　40 単位</t>
        </r>
      </text>
    </comment>
    <comment ref="C36" authorId="0" shapeId="0" xr:uid="{00000000-0006-0000-0500-00001B000000}">
      <text>
        <r>
          <rPr>
            <sz val="10"/>
            <color indexed="81"/>
            <rFont val="ＭＳ Ｐゴシック"/>
            <family val="3"/>
            <charset val="128"/>
            <scheme val="minor"/>
          </rPr>
          <t>　㈠要介護１又は要介護２　　　　　　　 　200 単位
　㈡要介護３、要介護４又は要介護５　 100 単位</t>
        </r>
      </text>
    </comment>
    <comment ref="B37" authorId="0" shapeId="0" xr:uid="{00000000-0006-0000-0500-00001D000000}">
      <text>
        <r>
          <rPr>
            <sz val="10"/>
            <color indexed="81"/>
            <rFont val="ＭＳ Ｐゴシック"/>
            <family val="3"/>
            <charset val="128"/>
            <scheme val="minor"/>
          </rPr>
          <t xml:space="preserve">別に厚生労働大臣が定める基準に適合しているものとして都道府県知事に届け出た介護医療院において、継続的に入所者ごとの排せつに係る支援を行った場合は、当該基準に掲げる区分に従い、１月につき所定単位数を加算する。ただし、次に掲げるいずれかの加算を算定している場合においては、
次に掲げるその他の加算は算定しない。 
⑴排せつ支援加算(Ⅰ) 10単位
⑵排せつ支援加算(Ⅱ) 15単位
⑶排せつ支援加算(Ⅲ) 20単位
</t>
        </r>
      </text>
    </comment>
    <comment ref="B41" authorId="0" shapeId="0" xr:uid="{657079DE-B266-4804-B37A-26972F403444}">
      <text>
        <r>
          <rPr>
            <sz val="10"/>
            <color indexed="81"/>
            <rFont val="MS P ゴシック"/>
            <family val="3"/>
            <charset val="128"/>
          </rPr>
          <t xml:space="preserve"> 別に厚生労働大臣が定める基準に適合しているものとして
都道府県知事に届け出た介護医療院において、継続的に入所
者ごとの自立支援を行った場合は、１月につき所定単位300単位を加算する。</t>
        </r>
      </text>
    </comment>
    <comment ref="B42" authorId="0" shapeId="0" xr:uid="{084CB3E4-34B9-4154-B87E-842B7DCCA3B0}">
      <text>
        <r>
          <rPr>
            <sz val="10"/>
            <color indexed="81"/>
            <rFont val="MS P ゴシック"/>
            <family val="3"/>
            <charset val="128"/>
          </rPr>
          <t>科学的介護推進体制加算
別に厚生労働大臣が定める基準に適合しているものとして
都道府県知事に届け出た介護医療院が、入所者に対し介護医
療院サービスを行った場合は、当該基準に掲げる区分に従い、
１月につき次に掲げる所定単位数を加算する。
ただし、次に掲げるいずれかの加算を算定している場合においては、
次に掲げるその他の加算は算定しない。
⑴科学的介護推進体制加算(Ⅰ) 40単位
⑵科学的介護推進体制加算(Ⅱ) 60単位</t>
        </r>
      </text>
    </comment>
    <comment ref="B44" authorId="0" shapeId="0" xr:uid="{00000000-0006-0000-0500-00001C000000}">
      <text>
        <r>
          <rPr>
            <sz val="10"/>
            <color indexed="81"/>
            <rFont val="ＭＳ Ｐゴシック"/>
            <family val="3"/>
            <charset val="128"/>
            <scheme val="minor"/>
          </rPr>
          <t xml:space="preserve"> 別に厚生労働大臣が定める基準に適合している介護医療院が、
次に掲げるいずれの基準にも適合する入所者に対し、
介護医療院サービスを行った場合にあっては、
入所した日から起算して 90日以内の期間に限り、
長期療養生活移行加算として、１日につき所定単位数を加算する。
イ 療養病床に１年以上入院していた者であること。
ロ 介護医療院への入所に当たって、当該入所者及びその家族等が、日常生活上の世話を行うことを目的とする施設としての取組について説明を受けていること。</t>
        </r>
      </text>
    </comment>
    <comment ref="B45" authorId="0" shapeId="0" xr:uid="{DBDE9E35-12BA-4419-962A-834D14EDF9E5}">
      <text>
        <r>
          <rPr>
            <b/>
            <sz val="9"/>
            <color indexed="81"/>
            <rFont val="MS P ゴシック"/>
            <family val="3"/>
            <charset val="128"/>
          </rPr>
          <t xml:space="preserve"> </t>
        </r>
        <r>
          <rPr>
            <sz val="10"/>
            <color indexed="81"/>
            <rFont val="MS P ゴシック"/>
            <family val="3"/>
            <charset val="128"/>
          </rPr>
          <t>別に厚生労働大臣が定める施設基準に適合しているものとして
都道府県知事に届け出た介護医療院が、入所者に対し、介護医
療院サービスを行った場合、安全対策体制加算として、入所初日
に限り所定単位数を加算する。</t>
        </r>
      </text>
    </comment>
    <comment ref="B46" authorId="0" shapeId="0" xr:uid="{00000000-0006-0000-0500-00001E000000}">
      <text>
        <r>
          <rPr>
            <sz val="10"/>
            <color indexed="81"/>
            <rFont val="ＭＳ Ｐゴシック"/>
            <family val="3"/>
            <charset val="128"/>
            <scheme val="minor"/>
          </rPr>
          <t>別に厚生労働大臣が定める基準に適合しているものとして
都道府県知事に届け出た介護医療院が、入所者に対し
介護医療院サービスを行った場合は、当該基準に掲げる
区分に従い、１日につき次に掲げる所定単位数を加算する。
　ただし、次に掲げるいずれかの加算を算定している場合に
おいては、次に掲げるその他の加算は算定しない。
　⑴ サービス提供体制強化加算（Ⅰ）　　22 単位
　⑵ サービス提供体制強化加算（Ⅱ）　 　18単位
　⑶ サービス提供体制強化加算（Ⅲ）　 　　6単位</t>
        </r>
      </text>
    </comment>
    <comment ref="B49" authorId="0" shapeId="0" xr:uid="{00000000-0006-0000-0500-00001F000000}">
      <text>
        <r>
          <rPr>
            <sz val="10"/>
            <color indexed="81"/>
            <rFont val="ＭＳ Ｐゴシック"/>
            <family val="3"/>
            <charset val="128"/>
            <scheme val="minor"/>
          </rPr>
          <t xml:space="preserve">別に厚生労働大臣が定める基準に適合している介護職員の
賃金の改善等を実施しているものとして都道府県知事に届け出た
介護医療院が、入所者に対し、介護医療院サービスを行った場合は、
当該基準に掲げる区分に従い、次に掲げる単位数を所定単位数に加算する。
　ただし、次に掲げるいずれかの加算を算定している場合においては、次に掲げるその他の加算は算定しない。
　⑴ 介護職員処遇改善加算（Ⅰ） イからヰまでにより算定した
　　　単位数の1000 分の26 に相当する単位数
　⑵ 介護職員処遇改善加算（Ⅱ） イからヰまでにより算定した
　　　単位数の1000 分の19 に相当する単位数
　⑶ 介護職員処遇改善加算（Ⅲ） イからヰまでにより算定した
　　　単位数の1000 分の10 に相当する単位数
</t>
        </r>
      </text>
    </comment>
    <comment ref="B54" authorId="0" shapeId="0" xr:uid="{00000000-0006-0000-0500-000020000000}">
      <text>
        <r>
          <rPr>
            <sz val="10"/>
            <color indexed="81"/>
            <rFont val="ＭＳ Ｐゴシック"/>
            <family val="3"/>
            <charset val="128"/>
            <scheme val="minor"/>
          </rPr>
          <t>別に厚生労働大臣が定める基準に適合している介護職員等の
賃金の改善等を実施しているものとして都道府県知事に届け出た
介護医療院が、入所者に対し、介護医療院サービスを行った場合は、
当該基準に掲げる区分に従い、次に掲げる単位数を所定単位数に
加算する。
　ただし、次に掲げるいずれかの加算を算定している場合においては、次に掲げるその他の加算は算定しない。
（一）　介護職員等特定処遇改善加算（Ⅰ）
　　　　イからヰまでにより算定した単位数の1000 分の15 に
　　　　相当する単位数
（二）　介護職員等特定処遇改善加算（Ⅱ）　
　　　　イからヰまでにより算定した単位数の1000 分の11 に
　　　　相当する単位数</t>
        </r>
      </text>
    </comment>
    <comment ref="B57" authorId="0" shapeId="0" xr:uid="{00000000-0006-0000-0500-000021000000}">
      <text>
        <r>
          <rPr>
            <sz val="10"/>
            <color indexed="81"/>
            <rFont val="ＭＳ Ｐゴシック"/>
            <family val="3"/>
            <charset val="128"/>
            <scheme val="major"/>
          </rPr>
          <t>別に厚生労働大臣が定める基準を満たさない場合は、安全管理体制未実施減算として、１日につき５単位を所定単位数から減算する。</t>
        </r>
      </text>
    </comment>
    <comment ref="B58" authorId="0" shapeId="0" xr:uid="{AAFA9038-3107-48D6-90F3-85550EE3908D}">
      <text>
        <r>
          <rPr>
            <sz val="10"/>
            <color indexed="81"/>
            <rFont val="ＭＳ Ｐゴシック"/>
            <family val="3"/>
            <charset val="128"/>
            <scheme val="major"/>
          </rPr>
          <t>夜勤を行う職員の勤務条件基準を満たさない場合に減算
　-25 単位／日</t>
        </r>
      </text>
    </comment>
    <comment ref="B59" authorId="0" shapeId="0" xr:uid="{00000000-0006-0000-0500-000022000000}">
      <text>
        <r>
          <rPr>
            <sz val="10"/>
            <color indexed="81"/>
            <rFont val="ＭＳ Ｐゴシック"/>
            <family val="3"/>
            <charset val="128"/>
            <scheme val="minor"/>
          </rPr>
          <t>療養室に隣接する廊下の幅が、内法による測定で、
1.8m 未満（両側に療養室がある場合は2.7m未満）の場合に減算
　-25 単位／日</t>
        </r>
      </text>
    </comment>
    <comment ref="B60" authorId="0" shapeId="0" xr:uid="{7329C82D-683A-40C9-AC0B-1C6C9A3102C5}">
      <text>
        <r>
          <rPr>
            <sz val="10"/>
            <color indexed="81"/>
            <rFont val="ＭＳ Ｐゴシック"/>
            <family val="3"/>
            <charset val="128"/>
            <scheme val="minor"/>
          </rPr>
          <t>療養室に係る床面積の合計÷入所定員の数が８未満の場合に減算
　-25 単位／日</t>
        </r>
      </text>
    </comment>
    <comment ref="B61" authorId="0" shapeId="0" xr:uid="{9292491A-40C1-4929-9AE0-1B452E3A5528}">
      <text>
        <r>
          <rPr>
            <b/>
            <sz val="9"/>
            <color indexed="81"/>
            <rFont val="MS P ゴシック"/>
            <family val="3"/>
            <charset val="128"/>
          </rPr>
          <t xml:space="preserve">栄養管理について、別に厚生労働大臣が定める基準を満たさない場合は、１日につき14単位を所定単位数から減算する。
</t>
        </r>
        <r>
          <rPr>
            <sz val="9"/>
            <color indexed="81"/>
            <rFont val="MS P ゴシック"/>
            <family val="3"/>
            <charset val="128"/>
          </rPr>
          <t xml:space="preserve">
</t>
        </r>
      </text>
    </comment>
    <comment ref="B69" authorId="0" shapeId="0" xr:uid="{00000000-0006-0000-0500-000024000000}">
      <text>
        <r>
          <rPr>
            <sz val="10"/>
            <color indexed="81"/>
            <rFont val="ＭＳ Ｐゴシック"/>
            <family val="3"/>
            <charset val="128"/>
            <scheme val="minor"/>
          </rPr>
          <t>【別表第二　１項】感染対策指導管理
　別に厚生労働大臣が定める基準を満たす指定短期入所療養介護事業所（指定居宅サービス基準第142 条第１項に規定する指定短期入所療養介護事業所をいい、介護老人保健施設、病院、診療所及び老人性認知症疾患療養病棟であるものを除く。以下この表において同じ。）、介護医療院又は指定介護予防短期入所療養介護事業所（介護予防サービス基準第187 条第１項に規定する指定介護予防短期入所療養介護事業所をいい、介護老人保健施設、病院、診療所及び老人性認知症疾患療養病棟であるものを除く。以下この表において同じ。）において、常時感染防止対策を行う場合に、指定短期入所療養介護、介護医療院サービス（介護保険法第48 条第１項第３号に規定する介護医療院サービスをいう。以下同じ。）又は介護予防指定短期入所療養介護を受けている利用者又は入所者について、所定単位数を算定する。</t>
        </r>
      </text>
    </comment>
    <comment ref="C70" authorId="0" shapeId="0" xr:uid="{5FAEB885-6853-49A8-B969-4AD92764283B}">
      <text>
        <r>
          <rPr>
            <sz val="10"/>
            <color indexed="81"/>
            <rFont val="MS P ゴシック"/>
            <family val="3"/>
            <charset val="128"/>
          </rPr>
          <t>別に厚生労働大臣が定める基準を満たす指定短期入所療養介護事業所、介護医療院又は指定介護予防短期入所療養介護事業所において、常時褥瘡対策を行う場合に介護医療院サービス又は指定介護予防短期入所療養介護を受けている利用者又は入所者（日常生活の自立度が低い者に限る。）について、１日につき所定単位数を算定する</t>
        </r>
      </text>
    </comment>
    <comment ref="C71" authorId="0" shapeId="0" xr:uid="{064A87ED-E489-4278-B8CB-D1602E758BCC}">
      <text>
        <r>
          <rPr>
            <sz val="10"/>
            <color indexed="81"/>
            <rFont val="ＭＳ Ｐゴシック"/>
            <family val="3"/>
            <charset val="128"/>
          </rPr>
          <t xml:space="preserve">褥瘡対策指導管理(Ⅰ)に係る別に厚生労働大臣が定める基準を満たす介護医療院において、入所者ごとの褥瘡対策等に係る情報を厚生労働省に提出し、褥瘡対策の実施に当たって、当該情報その他褥瘡対策の適切かつ有効な実施のために必要な情報を活用し、かつ、施設入所時に褥瘡が発生するリスクがあるとされた入所者について、褥瘡の発生のない場合に、１月につき所定単位数を算定する。
</t>
        </r>
      </text>
    </comment>
    <comment ref="B72" authorId="0" shapeId="0" xr:uid="{00000000-0006-0000-0500-000026000000}">
      <text>
        <r>
          <rPr>
            <sz val="10"/>
            <color indexed="81"/>
            <rFont val="ＭＳ Ｐゴシック"/>
            <family val="3"/>
            <charset val="128"/>
            <scheme val="minor"/>
          </rPr>
          <t>【別表第二　３項】初期入所診療管理
介護医療院において、別に厚生労働大臣が定める基準に従い、入所者に対して、その入所に際して医師が必要な診察、検査等を行い、診療方針を定めて文書で説明を行った場合に、入所中１回（診療方針に重要な変更があった場合にあっては、２回）を限度として所定単位数を算定する</t>
        </r>
        <r>
          <rPr>
            <b/>
            <sz val="9"/>
            <color indexed="81"/>
            <rFont val="MS P ゴシック"/>
            <family val="3"/>
            <charset val="128"/>
          </rPr>
          <t>。</t>
        </r>
      </text>
    </comment>
    <comment ref="B73" authorId="0" shapeId="0" xr:uid="{00000000-0006-0000-0500-000027000000}">
      <text>
        <r>
          <rPr>
            <sz val="10"/>
            <color indexed="81"/>
            <rFont val="ＭＳ Ｐゴシック"/>
            <family val="3"/>
            <charset val="128"/>
            <scheme val="minor"/>
          </rPr>
          <t>【別表第二　４項】重度療養管理
　指定短期入所療養介護事業所において、指定短期入所
療養介護を受けている利用者（要介護４又は要介護５に該当する者に限る。）であって別に厚生労働大臣が定める状態にあるものに対して、計画的な医学的管理を継続して行い、
かつ療養上必要な処置を行った場合に、所定単位数を算定する。</t>
        </r>
      </text>
    </comment>
    <comment ref="B74" authorId="0" shapeId="0" xr:uid="{00000000-0006-0000-0500-000028000000}">
      <text>
        <r>
          <rPr>
            <sz val="10"/>
            <color indexed="81"/>
            <rFont val="ＭＳ Ｐゴシック"/>
            <family val="3"/>
            <charset val="128"/>
            <scheme val="minor"/>
          </rPr>
          <t>【別表第二　５項】特定施設管理
　指定短期入所療養介護事業所、介護医療院又は指定介護予防短期入所療養介護事業所において、後天性免疫不全症候群の病原体に感染している利用者又は入所者に対して、指定短期入所療養介護、介護医療院サービス又は指定介護予防短期入所療養介護を行う場合に、所定単位数を算定する。
個室又は２人部屋において、後天性免疫不全症候群の病原体に感染している利用者又は入所者に対して、指定短期入所療養介護、介護医療院サービス又は指定介護予防短期入所療養介護を行う場合は、所定単位数に個室の場合にあっては１日につき300 単位、２人部屋の場合にあっては１日につき150 単位を加算する。</t>
        </r>
      </text>
    </comment>
    <comment ref="B77" authorId="0" shapeId="0" xr:uid="{00000000-0006-0000-0500-000029000000}">
      <text>
        <r>
          <rPr>
            <sz val="10"/>
            <color indexed="81"/>
            <rFont val="ＭＳ Ｐゴシック"/>
            <family val="3"/>
            <charset val="128"/>
            <scheme val="minor"/>
          </rPr>
          <t>【別表第二　６項】重症皮膚潰瘍管理指導
　別に厚生労働大臣が定める基準を満たす指定別に厚生労働大臣が定める施設基準に適合しているものとして都道府県知事に届け出た指定短期入所療養介護事業所、介護医療院又は指定介護予防短期入所療養介護事業所において、指定短期入所療養介護、介護医療院サービス又は指定介護予防短期入所療養介護を受けている利用者又は入所者であって重症皮膚潰瘍を有しているものに対して、計画的な医学的管理を継続して行い、かつ、療養上必要な指導を行った場合に、所定単位数を算定する。</t>
        </r>
      </text>
    </comment>
    <comment ref="B78" authorId="0" shapeId="0" xr:uid="{00000000-0006-0000-0500-00002A000000}">
      <text>
        <r>
          <rPr>
            <sz val="10"/>
            <color indexed="81"/>
            <rFont val="ＭＳ Ｐゴシック"/>
            <family val="3"/>
            <charset val="128"/>
            <scheme val="minor"/>
          </rPr>
          <t>【別表第二　７項】薬剤管理指導
指定短期入所療養介護事業所、介護医療院又は指定介
護予防短期入所療養介護事業所であって、別に厚生労
働大臣が定める施設基準に適合しているものとして都道
府県知事に届け出たものにおいて、指定短期入所療養
介護、介護医療院サービス又は指定介護予防短期入所
療養介護を受けている利用者又は入所者に対して、投
薬又は注射及び薬学的管理指導を行った場合に、週１回
に限り、月に４回を限度として所定単位数を算定する</t>
        </r>
        <r>
          <rPr>
            <b/>
            <sz val="9"/>
            <color indexed="81"/>
            <rFont val="MS P ゴシック"/>
            <family val="3"/>
            <charset val="128"/>
          </rPr>
          <t>。</t>
        </r>
      </text>
    </comment>
    <comment ref="C79" authorId="0" shapeId="0" xr:uid="{A765290B-64F5-4BB9-9C46-879D2EC92F90}">
      <text>
        <r>
          <rPr>
            <sz val="10"/>
            <color indexed="81"/>
            <rFont val="ＭＳ Ｐゴシック"/>
            <family val="3"/>
            <charset val="128"/>
            <scheme val="minor"/>
          </rPr>
          <t xml:space="preserve">介護医療院において、入所者ごとの服薬情報等の情報を厚生労働省に提出し、処方の実施に当たって、当該情報その他薬物療法の適切かつ有効な実施のために必要な情報を活用した場合に、１月につき所定単位数に20単位を加算する。
</t>
        </r>
      </text>
    </comment>
    <comment ref="C80" authorId="0" shapeId="0" xr:uid="{00000000-0006-0000-0500-00002B000000}">
      <text>
        <r>
          <rPr>
            <sz val="10"/>
            <color indexed="81"/>
            <rFont val="ＭＳ Ｐゴシック"/>
            <family val="3"/>
            <charset val="128"/>
            <scheme val="minor"/>
          </rPr>
          <t>疼痛緩和のために別に厚生労働大臣が定める特別な薬剤の投薬又は注射が行われている利用者に対して、当該薬剤の使用に関する必要な薬学的管理指導を行った場合は、
１回につき所定単位数に50 単位を加算する。</t>
        </r>
      </text>
    </comment>
    <comment ref="B81" authorId="0" shapeId="0" xr:uid="{00000000-0006-0000-0500-00002C000000}">
      <text>
        <r>
          <rPr>
            <sz val="10"/>
            <color indexed="81"/>
            <rFont val="ＭＳ Ｐゴシック"/>
            <family val="3"/>
            <charset val="128"/>
            <scheme val="minor"/>
          </rPr>
          <t>【別表第二　８項】医学情報提供
　医学情報提供（Ⅰ）については、併設型小規模介護医療院（介護医療院の人員、施設及び設備並びに運営に関
する基準（平成30 年厚生労働省令第５号）第４条第７項に規定する併設型小規模介護医療院をいう。以下こ
の号において同じ。）である指定短期入所療養介護事業所、介護医療院若しくは指定介護予防短期入所療養介
護事業所が、指定短期入所療養介護、介護医療院サービス若しくは指定介護予防短期入所療養介護を受けて
いる利用者若しくは入所者の退所時に、診療に基づき、別の診療所での診療の必要を認め、別の診療所に対し
て、当該利用者若しくは入所者の同意を得て、当該利用者若しくは入所者の診療状況を示す文書を添えて当該
利用者若しくは入所者の紹介を行った場合又は介護医療院（併設型小規模介護医療院を除く。）である指定短期
入所療養介護事業所、介護医療院若しくは指定介護予防短期入所療養介護事業所が、指定短期入所療養介護、
介護医療院サービス若しくは指定介護予防短期入所療養介護を受けている利用者若しくは入所者の退所時に、
診療に基づき、別の病院での診療の必要を認め、別の病院に対して、当該利用者若しくは入所者の同意を得て、
当該利用者若しくは入所者の診療状況を示す文書を添えて当該利用者若しくは入所者の紹介を行った場合に、
所定単位数を算定する。
　医学情報提供（Ⅱ）については、併設型小規模介護医療院である指定短期入所療養介護事業所、介護医療院
若しくは指定介護予防短期入所療養介護事業所が、指定短期入所療養介護、介護医療院サービス若しくは指
定介護予防短期入所療養介護を受けている利用者若しくは入所者の退所時に、診療に基づき、病院での診療
の必要を認め、病院に対して、当該利用者若しくは入所者の同意を得て、当該利用者若しくは入所者の診療状
況を示す文書を添えて当該利用者若しくは入所者の紹介を行った場合又は介護医療院（併設型小規模介護医療
院を除く。）である指定短期入所療養介護事業所、介護医療院若しくは指定介護予防短期入所療養介護事業所
が、指定短期入所療養介護、介護医療院サービス若しくは指定介護予防短期入所療養介護を受けている利用
者若しくは入所者の退所時に、診療に基づき、診療所での診療の必要を認め、診療所に対して、当該利用者若し
くは入所者の同意を得て、当該利用者若しくは入所者の診療状況を示す文書を添えて当該利用者若しくは入所者
の紹介を行った場合に所定単位数を算定する。</t>
        </r>
      </text>
    </comment>
    <comment ref="B83" authorId="0" shapeId="0" xr:uid="{00000000-0006-0000-0500-00002D000000}">
      <text>
        <r>
          <rPr>
            <sz val="10"/>
            <color indexed="81"/>
            <rFont val="ＭＳ Ｐゴシック"/>
            <family val="3"/>
            <charset val="128"/>
            <scheme val="minor"/>
          </rPr>
          <t>【別表第二　９項】理学療法
　理学療法（Ⅰ）については、別に厚生労働大臣が定める施設基準に適合しているものとして都道府県知事に届け出た指定短期入所療養介護事業所、介護医療院又は指定介護予防短期入所療養介護事業所において、指定短期入所療養介護、介護医療院サービス又は指定介護予防短期入所療養介護を受けている利用者又は入所者に対して、理学療法を個別に行った場合に、所定単位数を
算定し、理学療法（Ⅱ）については、それ以外の指定短期入所療養介護事業所、介護医療院又は指定介護予防短期入所療養介護事業所において、指定短期入所療養介護、介護医療院サービス又は指定介護予防短期入所療養介護を受けている利用者又は入所者に対して、理学療法を個別に行った場合に算定する。
　理学療法については、利用者又は入所者１人につき１日３回（作業療法及び言語聴覚療法と併せて１日４回）に限り算定するものとし、その利用を開始又は入所した日から起算して４月を超えた期間において、１月に合計11回以上行った場合は、11 回目以降のものについては所定単位数の100 分の70 に相当する単位数を算定する。</t>
        </r>
      </text>
    </comment>
    <comment ref="C84" authorId="0" shapeId="0" xr:uid="{00000000-0006-0000-0500-00002E000000}">
      <text>
        <r>
          <rPr>
            <sz val="10"/>
            <color indexed="81"/>
            <rFont val="ＭＳ Ｐゴシック"/>
            <family val="3"/>
            <charset val="128"/>
            <scheme val="minor"/>
          </rPr>
          <t>【別表第二　９,10 項】理学療法・作業療法
　理学療法（Ⅰ）に係る別に厚生労働大臣が定める施設基準に適合しているものとして都道府県知事に届け出た指定短期入所療養介護事業所又は指定介護予防短期入所療養介護事業所において、医師、看護師、理学療法士等が共同してリハビリテーション計画を策定し、当該リハビリテーション計画に基づき理学療法（Ⅰ）を算定すべき理学療法を行った場合に、利用者が理学療法を必要とする状態の原因となった疾患等の治療等のために入院若しくは入所した病院、診療所若しくは介護保険施設を退院若しくは退所した日又は法第27 条第１項に基づく要介護
認定若しくは法第32 条第１項に基づく要支援認定を受けた日から初めて利用した月に限り、１月に１回を限度として所定単位数に480 単位を加算する。
　ただし、作業療法の注３の規定により加算する場合はこの限りではない</t>
        </r>
        <r>
          <rPr>
            <b/>
            <sz val="9"/>
            <color indexed="81"/>
            <rFont val="MS P ゴシック"/>
            <family val="3"/>
            <charset val="128"/>
          </rPr>
          <t>。</t>
        </r>
      </text>
    </comment>
    <comment ref="C85" authorId="0" shapeId="0" xr:uid="{00000000-0006-0000-0500-00002F000000}">
      <text>
        <r>
          <rPr>
            <sz val="10"/>
            <color indexed="81"/>
            <rFont val="ＭＳ Ｐゴシック"/>
            <family val="3"/>
            <charset val="128"/>
            <scheme val="minor"/>
          </rPr>
          <t>指定短期入所療養介護事業所又は指定介護予防短期入所療養介護事業所において、理学療法士等が指定短期入所療養介護又は指定介護予防短期入所療養介護を行う療養棟（指定施設サービス等の費用の額の算定に関する基準（平成12 年厚生省告示第21 号）別表の４のイからヘまでの注１に規定する療養棟をいう。10 において同じ。）において、基本的動作能力又は応用的動作能力若しくは社会的適応能力の回復を図るための日常動作
の訓練及び指導を月２回以上行った場合は、１月に１回を限度として所定単位数に300 単位を加算する。
　ただし、作業療法の注４の規定により加算する場合はこの限りでない。なお、当該加算の対象となる訓練及び指導を行った日については、所定単位数は算定しない。</t>
        </r>
        <r>
          <rPr>
            <sz val="9"/>
            <color indexed="81"/>
            <rFont val="MS P ゴシック"/>
            <family val="3"/>
            <charset val="128"/>
          </rPr>
          <t xml:space="preserve">
</t>
        </r>
      </text>
    </comment>
    <comment ref="C86" authorId="0" shapeId="0" xr:uid="{00000000-0006-0000-0500-000030000000}">
      <text>
        <r>
          <rPr>
            <sz val="10"/>
            <color indexed="81"/>
            <rFont val="ＭＳ Ｐゴシック"/>
            <family val="3"/>
            <charset val="128"/>
            <scheme val="minor"/>
          </rPr>
          <t>指定短期入所療養介護事業所、介護医療院又は指定介護予防短期入所療養介護事業所において、専従する常勤の理学療法士を２名以上配置し、理学療法（Ⅰ）を算定すべき理学療法を行った場合に、１回につき35 単位を所定単位数に加算する。</t>
        </r>
      </text>
    </comment>
    <comment ref="B88" authorId="0" shapeId="0" xr:uid="{00000000-0006-0000-0500-000031000000}">
      <text>
        <r>
          <rPr>
            <sz val="10"/>
            <color indexed="81"/>
            <rFont val="ＭＳ Ｐゴシック"/>
            <family val="3"/>
            <charset val="128"/>
            <scheme val="minor"/>
          </rPr>
          <t>【別表第二　10 項】作業療法
別に厚生労働大臣が定める施設基準に適合しているものとして都道府県知事に届け出た指定短期入所療養介護事業所、介護医療院又は指定介護予防短期入所療養介護事業所において、指定短期入所療養介護、介護医療院サービス又は指定介護予防短期入所療養介護を受けている利用者又は入所者に対して、作業療法を個別に行った場合に、所定単位数を算定する。
作業療法については、利用者又は入所者１人につき１日３回（理学療法及び言語聴覚療法と合わせて１日４回）に限り算定するものとし、その利用を開始又は入所した日から起算して４月を超えた期間において、１月に合計11 回以上行った場合は、11 回目以降のものについては、所定単位数の100 分の70 に相当する単位数を算定する。</t>
        </r>
      </text>
    </comment>
    <comment ref="C89" authorId="0" shapeId="0" xr:uid="{00000000-0006-0000-0500-000032000000}">
      <text>
        <r>
          <rPr>
            <sz val="10"/>
            <color indexed="81"/>
            <rFont val="ＭＳ Ｐゴシック"/>
            <family val="3"/>
            <charset val="128"/>
            <scheme val="minor"/>
          </rPr>
          <t>【別表第二　９,10 項】理学療法・作業療法
　作業療法に係る別に厚生労働大臣が定める施設基準に適合しているものとして都道府県知事に届け出た指定短期入所療養介護事業所又は指定介護予防短期入所療養介護事業所において、医師、看護師、作業療法士等が共同してリハビリテーション計画を策定し、当該リハビリテーション計画に基づき作業療法を算定すべき作業療法を行った場合に、利用者が作業療法を必要とする状態の原因となった疾患等の治療等のために入院若しくは入所した病院、診療所若しくは介護保険施設を退院若しくは退所した日又は法第27 条第１項に基づく要介護認定若しくは法第32 条第１項に基づく要支援認定を受けた日から初めて利用した月に限り、１月に１回を限度として所定単位数に480 単位を加算する。
　ただし、理学療法の規定により加算する場合はこの限りではない。</t>
        </r>
      </text>
    </comment>
    <comment ref="C90" authorId="0" shapeId="0" xr:uid="{00000000-0006-0000-0500-000033000000}">
      <text>
        <r>
          <rPr>
            <sz val="10"/>
            <color indexed="81"/>
            <rFont val="ＭＳ Ｐゴシック"/>
            <family val="3"/>
            <charset val="128"/>
            <scheme val="minor"/>
          </rPr>
          <t>指定短期入所療養介護事業所又は指定介護予防短期入所療養介護事業所において、作業療法士等が指定短期入所療養介護又は指定介護予防短期入所療養介護を行う療養棟（指定施設サービス等の費用の額の算定に関する基準（平成12 年厚生省告示第21 号）別表の４のイからヘまでの注１に規定する療養棟をいう。10 において同じ。）において、基本的動作能力又は応用的動作能力若しくは社会的適応能力の回復を図るための日常動作
の訓練及び指導を月２回以上行った場合は、１月に１回を限度として所定単位数に300 単位を加算する。
　ただし、理学療法の規定により加算する場合はこの限りでない。なお、当該加算の対象となる訓練及び指導を行った日については、所定単位数は算定しない。</t>
        </r>
        <r>
          <rPr>
            <sz val="9"/>
            <color indexed="81"/>
            <rFont val="MS P ゴシック"/>
            <family val="3"/>
            <charset val="128"/>
          </rPr>
          <t xml:space="preserve">
</t>
        </r>
      </text>
    </comment>
    <comment ref="C91" authorId="0" shapeId="0" xr:uid="{00000000-0006-0000-0500-000034000000}">
      <text>
        <r>
          <rPr>
            <sz val="10"/>
            <color indexed="81"/>
            <rFont val="ＭＳ Ｐゴシック"/>
            <family val="3"/>
            <charset val="128"/>
            <scheme val="major"/>
          </rPr>
          <t>指定短期入所療養介護事業所、介護医療院又は指定介護予防短期入所療養介護事業所において、専従する常勤の作業療法士を２名以上配置し、作業療法を算定すべき作業療法を行った場合に、１回につき35 単位を所定単位数に加算する。</t>
        </r>
      </text>
    </comment>
    <comment ref="B92" authorId="0" shapeId="0" xr:uid="{00000000-0006-0000-0500-000035000000}">
      <text>
        <r>
          <rPr>
            <sz val="10"/>
            <color indexed="81"/>
            <rFont val="ＭＳ Ｐゴシック"/>
            <family val="3"/>
            <charset val="128"/>
            <scheme val="minor"/>
          </rPr>
          <t>【別表第二　11 項】言語聴覚療法
　別に厚生労働大臣が定める施設基準に適合しているもの
として都道府県知事に届け出た指定短期入所療養介護事業所、介護医療院又は指定介護予防短期入所療養介護事業所において、指定短期入所療養介護、介護医療院サービス又は指定介護予防短期入所療養介護を受けている利用者又は入所者に対して、言語聴覚療法を個別に行った場合に、所定単位数を算定する言語聴覚療法については、利用者又は入所者１人につき１日３回（理学療法及び作業療法と併せて１日４回）に限り算定するものとし、その利用を開始又は入所した日から起算して４月を超えた期間において、１月に合計11 回以上行った場合は、11 回目以降のものについては、所定単位数の100 分の70 に相当する単位数を算定する。　</t>
        </r>
      </text>
    </comment>
    <comment ref="C93" authorId="0" shapeId="0" xr:uid="{00000000-0006-0000-0500-000036000000}">
      <text>
        <r>
          <rPr>
            <sz val="10"/>
            <color indexed="81"/>
            <rFont val="ＭＳ Ｐゴシック"/>
            <family val="3"/>
            <charset val="128"/>
            <scheme val="minor"/>
          </rPr>
          <t>指定短期入所療養介護事業所、介護医療院又は指定介護予防短期入所療養介護事業所において、専従する常勤の言語聴覚士を２名以上配置して言語聴覚療法を行った場合に、
１回につき35 単位を所定単位数に加算する。</t>
        </r>
      </text>
    </comment>
    <comment ref="B94" authorId="0" shapeId="0" xr:uid="{00000000-0006-0000-0500-000037000000}">
      <text>
        <r>
          <rPr>
            <sz val="10"/>
            <color indexed="81"/>
            <rFont val="ＭＳ Ｐゴシック"/>
            <family val="3"/>
            <charset val="128"/>
            <scheme val="minor"/>
          </rPr>
          <t>【別表第二　12 項】集団コミュニケーション療法
　別に厚生労働大臣が定める施設基準に適合しているもの
として都道府県知事に届け出た指定短期入所療養介護
事業所、介護医療院又は指定介護予防短期入所療養介
護事業所において、指定短期入所療養介護、介護医療
院サービス又は指定介護予防短期入所療養介護を受け
ている利用者又は入所者に対して、集団コミュニケーション療法を行った場合に、所定単位数を算定する。
集団コミュニケーション療法については、利用者又は入所者１人につき１日３回に限り算定するものとする。</t>
        </r>
      </text>
    </comment>
    <comment ref="B95" authorId="0" shapeId="0" xr:uid="{00000000-0006-0000-0500-000038000000}">
      <text>
        <r>
          <rPr>
            <sz val="10"/>
            <color indexed="81"/>
            <rFont val="ＭＳ Ｐゴシック"/>
            <family val="3"/>
            <charset val="128"/>
            <scheme val="minor"/>
          </rPr>
          <t>【別表第二　13 項】摂食機能療法
　指定短期入所療養介護事業所、介護医療院又は指定介護予防短期入所療養介護事業所において、指定短期入所療養介護、介護医療院サービス又は指定介護予防短期入所療養介護を受けている利用者又は入所者であって摂食機能障害を有するものに対して、摂食機能療法を30 分以上行った場合に、１月に４回を限度として所定単位数を算定する。</t>
        </r>
      </text>
    </comment>
    <comment ref="B96" authorId="0" shapeId="0" xr:uid="{00000000-0006-0000-0500-000039000000}">
      <text>
        <r>
          <rPr>
            <sz val="10"/>
            <color indexed="81"/>
            <rFont val="ＭＳ Ｐゴシック"/>
            <family val="3"/>
            <charset val="128"/>
            <scheme val="minor"/>
          </rPr>
          <t>【別表第二　14 項】短期集中リハビリテーション
　介護医療院において、介護医療院サービスを受けている入所者に対して、医師又は医師の指示を受けた理学療法士、作業療法士又は言語聴覚士が、その入所した日から起算して３月以内の期間に集中的に理学療法、作業療法、言語聴覚療法又は摂食機能療法を行った場合に、所定単位数を算定する。
　ただし、理学療法、作業療法、言語聴覚療法又は摂食機能療法を算定する場合は、算定しない。</t>
        </r>
      </text>
    </comment>
    <comment ref="B97" authorId="0" shapeId="0" xr:uid="{00000000-0006-0000-0500-00003A000000}">
      <text>
        <r>
          <rPr>
            <sz val="10"/>
            <color indexed="81"/>
            <rFont val="ＭＳ Ｐゴシック"/>
            <family val="3"/>
            <charset val="128"/>
            <scheme val="minor"/>
          </rPr>
          <t>【別表第二　15 項】短期集中リハビリテーション
　別に厚生労働大臣が定める施設基準に適合しているものとして都道府県知事に届け出た介護医療院において、介護医療院サービスを受けている入所者のうち、認知症であると医師が判断した者であって、リハビリテーションによって生活機能の改善が見込まれると判断されたものに対して、医師又は医師の指示を受けた理学療法士、作業療法士若しくは言語聴覚士が、その入所した日から起算して３月以内の期間に集中的なリハビリテーションを個別に行った場合に、１週に３日を限度として所定単位数を算定する。</t>
        </r>
      </text>
    </comment>
    <comment ref="B98" authorId="0" shapeId="0" xr:uid="{D47207F8-50C5-4A7F-8DE7-11F57D022D14}">
      <text>
        <r>
          <rPr>
            <sz val="10"/>
            <color indexed="81"/>
            <rFont val="ＭＳ Ｐゴシック"/>
            <family val="3"/>
            <charset val="128"/>
            <scheme val="minor"/>
          </rPr>
          <t>介護医療院において、入所者ごとのリハビリテーション実施計画の内容等の情報を厚生労働省に提出し、リハビリテーションの実施に当たって、当該情報その他リハビリテーションの適切かつ有効な実施のために必要な情報を活用している場合は、１月につき１回を限度として所定単位数に33単位を加算する。ただし、作業療法の注６又は言語聴覚療法の注４の規定により加算する場合はこの限りでない</t>
        </r>
      </text>
    </comment>
    <comment ref="B99" authorId="0" shapeId="0" xr:uid="{00000000-0006-0000-0500-00003B000000}">
      <text>
        <r>
          <rPr>
            <sz val="10"/>
            <color indexed="81"/>
            <rFont val="ＭＳ Ｐゴシック"/>
            <family val="3"/>
            <charset val="128"/>
            <scheme val="minor"/>
          </rPr>
          <t>【別表第二　16 項】精神科作業療法
　別に厚生労働大臣が定める施設基準に適合しているもの
として都道府県知事に届け出た指定短期入所療養介護事業所、介護医療院又は指定介護予防短期入所療養介護事業所において、指定短期入所療養介護、介護医療院サービス又は指定介護予防短期入所療養介護を受けている利用者又は入所者に対して、精神科作業療法を行った場合に、
所定単位数を算定する。</t>
        </r>
      </text>
    </comment>
    <comment ref="B100" authorId="0" shapeId="0" xr:uid="{00000000-0006-0000-0500-00003C000000}">
      <text>
        <r>
          <rPr>
            <sz val="10"/>
            <color indexed="81"/>
            <rFont val="ＭＳ Ｐゴシック"/>
            <family val="3"/>
            <charset val="128"/>
            <scheme val="minor"/>
          </rPr>
          <t>【別表第二　17 項】認知症入所精神療法
　指定短期入所療養介護事業所、介護医療院又は指定介
護予防短期入所療養介護事業所において、指定短期入
所療養介護、介護医療院サービス又は指定介護予防短
期入所療養介護を受けている利用者又は入所者に対し
て、認知症入院精神療法を行った場合に、所定単位数
を算定する。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00000000-0006-0000-0600-000001000000}">
      <text>
        <r>
          <rPr>
            <sz val="10"/>
            <color indexed="81"/>
            <rFont val="ＭＳ ゴシック"/>
            <family val="3"/>
            <charset val="128"/>
          </rPr>
          <t>別に厚生労働大臣が定める夜勤を行う職員の勤務条件に関する
基準を満たすものとして都道府県知事に届け出た介護医療院については、
当該基準に掲げる区分に従い、
１日につき次に掲げる単位数を所定単位数に加算する。
　イ夜間勤務等看護（Ⅰ） 23 単位
　ロ夜間勤務等看護（Ⅱ） 14 単位
　ハ夜間勤務等看護（Ⅲ） 14 単位
　ニ夜間勤務等看護（Ⅳ）  7 単位</t>
        </r>
        <r>
          <rPr>
            <b/>
            <sz val="9"/>
            <color indexed="81"/>
            <rFont val="MS P ゴシック"/>
            <family val="3"/>
            <charset val="128"/>
          </rPr>
          <t xml:space="preserve">
</t>
        </r>
      </text>
    </comment>
    <comment ref="B9" authorId="0" shapeId="0" xr:uid="{00000000-0006-0000-0600-000002000000}">
      <text>
        <r>
          <rPr>
            <sz val="10"/>
            <color indexed="81"/>
            <rFont val="ＭＳ ゴシック"/>
            <family val="3"/>
            <charset val="128"/>
          </rPr>
          <t>別に厚生労働大臣が定める基準に適合しているものとして
都道府県知事に届け出た介護医療院において、
若年性認知症患者に対して介護医療院サービスを行った場合は、
若年性認知症患者受入加算として、１日につき120単位を
所定単位数に加算する。
ただし、認知症行動・心理症状緊急対応加算を算定している場合は、
算定しない。</t>
        </r>
      </text>
    </comment>
    <comment ref="B10" authorId="0" shapeId="0" xr:uid="{00000000-0006-0000-0600-000003000000}">
      <text>
        <r>
          <rPr>
            <sz val="10"/>
            <color indexed="81"/>
            <rFont val="ＭＳ ゴシック"/>
            <family val="3"/>
            <charset val="128"/>
          </rPr>
          <t>入所者に対して居宅における外泊を認めた場合は、
１月に６日を限度として所定単位数に代えて
１日につき362単位を算定する。
ただし、外泊の初日及び最終日は、算定できない。</t>
        </r>
      </text>
    </comment>
    <comment ref="B11" authorId="0" shapeId="0" xr:uid="{00000000-0006-0000-0600-000004000000}">
      <text>
        <r>
          <rPr>
            <sz val="10"/>
            <color indexed="81"/>
            <rFont val="ＭＳ ゴシック"/>
            <family val="3"/>
            <charset val="128"/>
          </rPr>
          <t>入所者であって、退所が見込まれる者をその居宅において試行的に退所させ、
介護医療院が居宅サービスを提供する場合は、
１月に６日を限度として所定単位数に代えて１日につき800 単位を算定する。
ただし、試行的な退所に係る初日及び最終日は算定せず、
外泊時費用を算定している場合は算定しない。</t>
        </r>
      </text>
    </comment>
    <comment ref="B12" authorId="0" shapeId="0" xr:uid="{00000000-0006-0000-0600-000005000000}">
      <text>
        <r>
          <rPr>
            <sz val="10"/>
            <color indexed="81"/>
            <rFont val="ＭＳ ゴシック"/>
            <family val="3"/>
            <charset val="128"/>
          </rPr>
          <t>入所者に対し専門的な診療が必要になった場合であって、
当該入所者に対し病院又は診療所において当該診療が
行われた場合は、１月に４日を限度として所定単位数に代えて
１日につき362単位を算定する。</t>
        </r>
      </text>
    </comment>
    <comment ref="B14" authorId="0" shapeId="0" xr:uid="{00000000-0006-0000-0600-000006000000}">
      <text>
        <r>
          <rPr>
            <sz val="10"/>
            <color indexed="81"/>
            <rFont val="MS P ゴシック"/>
            <family val="3"/>
            <charset val="128"/>
          </rPr>
          <t>入所した日から起算して30 日以内の期間について、
初期加算として、１日につき所定単位数30 単位を
加算する。</t>
        </r>
      </text>
    </comment>
    <comment ref="B15" authorId="0" shapeId="0" xr:uid="{00000000-0006-0000-0600-000007000000}">
      <text>
        <r>
          <rPr>
            <sz val="10"/>
            <color indexed="81"/>
            <rFont val="ＭＳ Ｐゴシック"/>
            <family val="3"/>
            <charset val="128"/>
            <scheme val="minor"/>
          </rPr>
          <t>別に厚生労働大臣が定める基準に適合する介護医療院に入所
（以下この注において「一次入所」という。）している者が退所し、
当該者が病院又は診療所に入院した場合であって、
当該者が退院した後に再度当該介護医療院に入所（以下この注に
おいて「二次入所」という。）する際、二次入所において必要となる栄養管理が、一次入所の際に必要としていた栄養管理とは大きく異なるため、当該介護医療院の管理栄養士が当該病院又は診療所の管理栄養士と連携し当該者に関する栄養ケア計画を策定した場合に、
入所者１人につき１回を限度として所定単位数400単位数を加算する。　　ただし、栄養マネジメント加算を算定していない場合は、算定しない。</t>
        </r>
      </text>
    </comment>
    <comment ref="C16" authorId="0" shapeId="0" xr:uid="{00000000-0006-0000-0600-000008000000}">
      <text>
        <r>
          <rPr>
            <sz val="10"/>
            <color indexed="81"/>
            <rFont val="ＭＳ Ｐゴシック"/>
            <family val="3"/>
            <charset val="128"/>
            <scheme val="minor"/>
          </rPr>
          <t>入所期間が１月を超えると見込まれる入所者の退所に先立って
当該入所者が退所後生活する居宅を訪問し、当該入所者及び
その家族等に対して退所後の療養上の指導を行った場合に、
入所中１回（入所後早期に退所前訪問指導の必要があると認められる入所者にあっては、２回）を限度として算定する。
　入所者が退所後にその居宅でなく、他の社会福祉施設等に入所する場合であって、当該入所者の同意を得て、当該社会福祉施設等を訪問し、連絡調整、情報提供等を行ったときも、同様に算定する。</t>
        </r>
      </text>
    </comment>
    <comment ref="C17" authorId="0" shapeId="0" xr:uid="{00000000-0006-0000-0600-000009000000}">
      <text>
        <r>
          <rPr>
            <sz val="10"/>
            <color indexed="81"/>
            <rFont val="ＭＳ Ｐゴシック"/>
            <family val="3"/>
            <charset val="128"/>
            <scheme val="minor"/>
          </rPr>
          <t>入所者の退所後30 日以内に当該入所者の居宅を訪問し、
当該入所者及びその家族等に対して療養上の指導を行った場合に、退所後１回を限度として算定する。
入所者が退所後にその居宅でなく、他の社会福祉施設等に入所する場合であって、当該入所者の同意を得て、当該社会福祉施設等を訪問し、連絡調整、情報提供等を行ったときも、同様に算定する。</t>
        </r>
      </text>
    </comment>
    <comment ref="C18" authorId="0" shapeId="0" xr:uid="{00000000-0006-0000-0600-00000A000000}">
      <text>
        <r>
          <rPr>
            <sz val="10"/>
            <color indexed="81"/>
            <rFont val="ＭＳ Ｐゴシック"/>
            <family val="3"/>
            <charset val="128"/>
            <scheme val="minor"/>
          </rPr>
          <t>入所期間が１月を超える入所者が退所し、その居宅において療養を継続する場合において、当該入所者の退所時に、当該入所者及びその家族等に対して、退所後の療養上の指導を行った場合に、入所者１人につき１回を限度として算定する。</t>
        </r>
      </text>
    </comment>
    <comment ref="C19" authorId="0" shapeId="0" xr:uid="{00000000-0006-0000-0600-00000B000000}">
      <text>
        <r>
          <rPr>
            <sz val="10"/>
            <color indexed="81"/>
            <rFont val="ＭＳ Ｐゴシック"/>
            <family val="3"/>
            <charset val="128"/>
            <scheme val="minor"/>
          </rPr>
          <t>入所期間が１月を超える入所者が退所し、その居宅において療養を継続する場合において、当該入所者の退所後の主治の医師に対して、当該入所者の同意を得て、当該入所者の診療状況を示す文書を添えて当該入所者の紹介を行った場合に、入所者１人に
つき１回に限り算定する。
入所者が退所後にその居宅でなく、他の社会福祉施設等に入所する場合であって、当該入所者の同意を得て、当該社会福祉施設等に対して当該入所者の診療状況を示す文書を添えて当該入所者の処遇に必要な情報を提供したときも、同様に算定する。</t>
        </r>
      </text>
    </comment>
    <comment ref="C20" authorId="0" shapeId="0" xr:uid="{00000000-0006-0000-0600-00000C000000}">
      <text>
        <r>
          <rPr>
            <sz val="10"/>
            <color indexed="81"/>
            <rFont val="ＭＳ Ｐゴシック"/>
            <family val="3"/>
            <charset val="128"/>
            <scheme val="minor"/>
          </rPr>
          <t>入所期間が１月を超える入所者が退所し、その居宅において居宅サービスを利用する場合において、当該入所者の退所に先立って当該入所者が利用を希望する指定居宅介護支援事業者に対して、当該入所者の同意を得て、当該入所者の診療状況を示す文書を添えて当該入所者に係る居宅サービスに必要な情報を提供し、かつ、当該指定居宅介護支援事業者と連携して退所後の居宅サービスの利用に関する調整を行った
場合に、入所者１人につき１回を限度として算定する。</t>
        </r>
      </text>
    </comment>
    <comment ref="C21" authorId="0" shapeId="0" xr:uid="{00000000-0006-0000-0600-00000D000000}">
      <text>
        <r>
          <rPr>
            <sz val="10"/>
            <color indexed="81"/>
            <rFont val="ＭＳ Ｐゴシック"/>
            <family val="3"/>
            <charset val="128"/>
            <scheme val="minor"/>
          </rPr>
          <t>入所者の退所時に、介護医療院の医師が、診療に基づき、指定訪問看護、指定定期巡回・随時対応型訪問介護看護（訪問看護サービスを行う場合に限る。）又は指定看護小規模多機能型居宅介護（看護サービスを行う場合に限る。）の利用が必要であると認め、当該入所者の選定する指定訪問看護ステーション、指定定期巡回・随時対応型訪問介護看護事業所又は指定看護小規模多機能型居宅介護事業所に対して、当該入所者の同意を得て、訪問看護指示書を交付した場合に、入所者１人につき１回を限度として算定する。</t>
        </r>
      </text>
    </comment>
    <comment ref="B22" authorId="0" shapeId="0" xr:uid="{4AEE46E2-0503-46A5-B0A6-CC6DE025B643}">
      <text>
        <r>
          <rPr>
            <b/>
            <sz val="9"/>
            <color indexed="81"/>
            <rFont val="MS P ゴシック"/>
            <family val="3"/>
            <charset val="128"/>
          </rPr>
          <t xml:space="preserve">別に厚生労働大臣が定める基準に適合するものとして都道
府県知事に届け出た介護医療院において、入所者ごとの継続
的な栄養管理を強化して実施した場合、栄養マネジメント強
化加算として、１日につき所定単位数11単位を加算する。 </t>
        </r>
      </text>
    </comment>
    <comment ref="B23" authorId="0" shapeId="0" xr:uid="{00000000-0006-0000-0600-000010000000}">
      <text>
        <r>
          <rPr>
            <sz val="10"/>
            <color indexed="81"/>
            <rFont val="ＭＳ Ｐゴシック"/>
            <family val="3"/>
            <charset val="128"/>
            <scheme val="minor"/>
          </rPr>
          <t>別に厚生労働大臣が定める基準に適合する介護医療院において、医師の指示に基づき、医師、歯科医師、管理栄養士、看護師、介護支援専門員その他の職種の者が共同して、現に経管により食事を摂取している入所者ごとに経口による食事の摂取を進めるための経口移行計画を作成している場合であって、当該計画に従い、医師の
指示を受けた管理栄養士又は栄養士による栄養管理及び言語聴覚士又は看護職員による支援が行われた場合は、当該計画が作成された日から起算して180 日以内の期間に限り、１日につき所定単位数28 単位を加算する。
　ただし、栄養マネジメント加算を算定していない場合は算定しない。</t>
        </r>
      </text>
    </comment>
    <comment ref="C24" authorId="0" shapeId="0" xr:uid="{0B82774E-AB13-49A2-A9C1-96EB18286D99}">
      <text>
        <r>
          <rPr>
            <sz val="10"/>
            <color indexed="81"/>
            <rFont val="ＭＳ Ｐゴシック"/>
            <family val="3"/>
            <charset val="128"/>
            <scheme val="minor"/>
          </rPr>
          <t xml:space="preserve">別に厚生労働大臣が定める基準に適合する介護医療院において、現に経口により食事を摂取する者であって、摂食機能障害を有し、誤嚥が認められる入所者に対して、医師又は歯科医師の指示に基づき、医師、歯科医師、管理栄養士、看護師、介護支援専門員その他の職種の者が共同して、入所者の栄養管理をするための食事の観察及び会議等を行い、入所者ごとに、経口による継続的な食事の摂取を進めるための経口維持計を作成している場合であって、当該計画に従い、医師又は歯科医師の指示（歯科医師が指示を行う場合にあっては、当該指示を受ける管理栄養士等が医師の指導を受けている場合に限る。）を受けた管理栄養士又は栄養士が栄養管理を行った場合に、１月につき所定単位数を加算する。ただし、イからヘまでの注５又は経口移行加算を算定している場合は、算定しない。 </t>
        </r>
      </text>
    </comment>
    <comment ref="C25" authorId="0" shapeId="0" xr:uid="{00000000-0006-0000-0600-000012000000}">
      <text>
        <r>
          <rPr>
            <sz val="10"/>
            <color indexed="81"/>
            <rFont val="ＭＳ Ｐゴシック"/>
            <family val="3"/>
            <charset val="128"/>
            <scheme val="minor"/>
          </rPr>
          <t>協力歯科医療機関を定めている介護医療院が、経口維持加算（Ⅰ）を算定している場合であって、入所者の経口による継続的な食事の摂取を支援するための食事の観察及び会議等に、医師（介護医療院の人員、施設及び設備並びに運営に関する基準第４条第１項第１号に規定する医師を除く。）、歯科医師、歯科衛生士又は言語聴覚士が加わった場合は、１月につき所定単位数を加算する。
　経口による継続的な食事の摂取を進めるための経口維持計画が作成された日の属する月から起算して６月を超えた場合であっても、摂食機能障害を有し、誤嚥が認められる入所者であって、医師又は歯科医師の指示に基づき、継続して誤嚥防止のための食事の摂取を進めるための特別な管理が必要とされるものに対しては、引き続き該加算を算定できるものとする。</t>
        </r>
      </text>
    </comment>
    <comment ref="B26" authorId="0" shapeId="0" xr:uid="{F85730C4-8788-4B7B-A151-2C5039C4CBB8}">
      <text>
        <r>
          <rPr>
            <sz val="10"/>
            <color indexed="81"/>
            <rFont val="ＭＳ Ｐゴシック"/>
            <family val="3"/>
            <charset val="128"/>
          </rPr>
          <t>別に厚生労働大臣が定める基準に適合する介護医療院において、入所者に対し、歯科衛生士が口腔衛生の管理を行った
場合は、当該基準に掲げる区分に従い、１月につき次に掲げ る所定単位数を加算する。ただし、次に掲げるいずれかの加 
算を算定している場合においては、次に掲げるその他の加算は算定しない。
⑴口腔衛生管理加算(Ⅰ) 90単位 
⑵口腔衛生管理加算(Ⅱ)110単位</t>
        </r>
      </text>
    </comment>
    <comment ref="B28" authorId="0" shapeId="0" xr:uid="{00000000-0006-0000-0600-000015000000}">
      <text>
        <r>
          <rPr>
            <sz val="10"/>
            <color indexed="81"/>
            <rFont val="ＭＳ Ｐゴシック"/>
            <family val="3"/>
            <charset val="128"/>
            <scheme val="minor"/>
          </rPr>
          <t>次に掲げるいずれの基準にも適合するものとして都道府県知事に届け出た介護医療院が、別に厚生労働大臣が定める療養食を
提供したときは、１日につき３回を限度として、所定単位数6 単位を加算する。
   イ　食事の提供が管理栄養士又は栄養士によって管理されて
        いること。
   ロ　入所者の年齢、心身の状況によって適切な栄養量及び内容 
        の食事の提供が行われていること。
   ハ　食事の提供が、別に厚生労働大臣が定める基準に適合する
        介護医療院において行われていること。</t>
        </r>
      </text>
    </comment>
    <comment ref="B29" authorId="0" shapeId="0" xr:uid="{00000000-0006-0000-0600-000016000000}">
      <text>
        <r>
          <rPr>
            <sz val="10"/>
            <color indexed="81"/>
            <rFont val="ＭＳ Ｐゴシック"/>
            <family val="3"/>
            <charset val="128"/>
            <scheme val="minor"/>
          </rPr>
          <t>別に厚生労働大臣が定める基準に適合する介護医療院であって、
次に掲げる基準のいずれにも適合している場合にあっては、
 １日につき所定単位数10 単位を加算する。
    イ　入所者の家族との連絡調整を行っていること。
    ロ　入所者が利用を希望する指定居宅介護支援事業者に対して、
         入所者に係る居宅サービスに必要な情報の提供及び退所後
          の居宅サービスの利用に関する調整を行っていること。</t>
        </r>
        <r>
          <rPr>
            <sz val="9"/>
            <color indexed="81"/>
            <rFont val="MS P ゴシック"/>
            <family val="3"/>
            <charset val="128"/>
          </rPr>
          <t xml:space="preserve">
</t>
        </r>
      </text>
    </comment>
    <comment ref="B31" authorId="0" shapeId="0" xr:uid="{00000000-0006-0000-0600-000017000000}">
      <text>
        <r>
          <rPr>
            <sz val="10"/>
            <color indexed="81"/>
            <rFont val="ＭＳ Ｐゴシック"/>
            <family val="3"/>
            <charset val="128"/>
            <scheme val="minor"/>
          </rPr>
          <t>入所者の病状が重篤となり救命救急医療が必要となる場合において緊急的な治療管理としての投薬、検査、注射、処置等を行ったときに算定する。
 注)　同一の入所者について１月に１回、連続する３日を限度と
        して算定する。</t>
        </r>
      </text>
    </comment>
    <comment ref="B32" authorId="0" shapeId="0" xr:uid="{00000000-0006-0000-0600-000018000000}">
      <text>
        <r>
          <rPr>
            <sz val="10"/>
            <color indexed="81"/>
            <rFont val="ＭＳ Ｐゴシック"/>
            <family val="3"/>
            <charset val="128"/>
            <scheme val="minor"/>
          </rPr>
          <t xml:space="preserve">別に厚生労働大臣が定める基準に適合しているものとして
都道府県知事に届け出た介護医療院において、別に厚生労働大臣が定める者に対して、専門的な認知症ケアを行った場合は、
当該基準に掲げる区分に従い、１日につき次に掲げる所定単位数を
加算する。
</t>
        </r>
      </text>
    </comment>
    <comment ref="B34" authorId="0" shapeId="0" xr:uid="{00000000-0006-0000-0600-000019000000}">
      <text>
        <r>
          <rPr>
            <sz val="10"/>
            <color indexed="81"/>
            <rFont val="ＭＳ Ｐゴシック"/>
            <family val="3"/>
            <charset val="128"/>
            <scheme val="minor"/>
          </rPr>
          <t>医師が、認知症の行動・心理症状が認められるため、
在宅での生活が困難であり、緊急に入所することが適当であると
判断した者に対し、介護医療院サービスを行った場合は、
入所した日から起算して７日を限度として、１日につき所定単位数
200 単位を加算する。</t>
        </r>
      </text>
    </comment>
    <comment ref="C35" authorId="0" shapeId="0" xr:uid="{00000000-0006-0000-0600-00001A000000}">
      <text>
        <r>
          <rPr>
            <sz val="10"/>
            <color indexed="81"/>
            <rFont val="ＭＳ Ｐゴシック"/>
            <family val="3"/>
            <charset val="128"/>
            <scheme val="minor"/>
          </rPr>
          <t>別に厚生労働大臣が定める施設基準に適合しているものと
して都道府県知事に届け出た介護医療院において、
入所者に対して、介護医療院サービスを行った場合に、
当該施設基準に掲げる区分に従い、入所者の要介護状態区分に応じて、それぞれ１日につき次に掲げる所定単位数を加算する。
　ただし、次に掲げるいずれかの加算を算定している場合においては、次に掲げるその他の加算は算定しない。
　⑴ 重度認知症疾患療養体制加算（Ⅰ）
　　㈠要介護１又は要介護２　　　　　　　　 140 単位
　　㈡要介護３、要介護４又は要介護５ 　　40 単位</t>
        </r>
      </text>
    </comment>
    <comment ref="C36" authorId="0" shapeId="0" xr:uid="{00000000-0006-0000-0600-00001B000000}">
      <text>
        <r>
          <rPr>
            <sz val="10"/>
            <color indexed="81"/>
            <rFont val="ＭＳ Ｐゴシック"/>
            <family val="3"/>
            <charset val="128"/>
            <scheme val="minor"/>
          </rPr>
          <t>　㈠要介護１又は要介護２　　　　　　　 　200 単位
　㈡要介護３、要介護４又は要介護５　 100 単位</t>
        </r>
      </text>
    </comment>
    <comment ref="B37" authorId="0" shapeId="0" xr:uid="{4F62DD73-86B4-4535-9CC4-1CBE76D4A915}">
      <text>
        <r>
          <rPr>
            <sz val="10"/>
            <color indexed="81"/>
            <rFont val="ＭＳ Ｐゴシック"/>
            <family val="3"/>
            <charset val="128"/>
            <scheme val="minor"/>
          </rPr>
          <t xml:space="preserve">別に厚生労働大臣が定める基準に適合しているものとして都道府県知事に届け出た介護医療院において、継続的に入所者ごとの排せつに係る支援を行った場合は、当該基準に掲げる区分に従い、１月につき所定単位数を加算する。ただし、次に掲げるいずれかの加算を算定している場合においては、
次に掲げるその他の加算は算定しない。 
⑴排せつ支援加算(Ⅰ) 10単位
⑵排せつ支援加算(Ⅱ) 15単位
⑶排せつ支援加算(Ⅲ) 20単位
</t>
        </r>
      </text>
    </comment>
    <comment ref="B41" authorId="0" shapeId="0" xr:uid="{E7596765-7E31-4781-ABE5-C6A2375B6246}">
      <text>
        <r>
          <rPr>
            <sz val="10"/>
            <color indexed="81"/>
            <rFont val="MS P ゴシック"/>
            <family val="3"/>
            <charset val="128"/>
          </rPr>
          <t xml:space="preserve"> 別に厚生労働大臣が定める基準に適合しているものとして
都道府県知事に届け出た介護医療院において、継続的に入所
者ごとの自立支援を行った場合は、１月につき所定単位300単位を加算する。</t>
        </r>
      </text>
    </comment>
    <comment ref="B42" authorId="0" shapeId="0" xr:uid="{6ABEDB7A-F0CF-4CF5-B2E7-0AA90F59A188}">
      <text>
        <r>
          <rPr>
            <sz val="10"/>
            <color indexed="81"/>
            <rFont val="MS P ゴシック"/>
            <family val="3"/>
            <charset val="128"/>
          </rPr>
          <t>科学的介護推進体制加算
別に厚生労働大臣が定める基準に適合しているものとして
都道府県知事に届け出た介護医療院が、入所者に対し介護医
療院サービスを行った場合は、当該基準に掲げる区分に従い、
１月につき次に掲げる所定単位数を加算する。
ただし、次に掲げるいずれかの加算を算定している場合においては、
次に掲げるその他の加算は算定しない。
⑴科学的介護推進体制加算(Ⅰ) 40単位
⑵科学的介護推進体制加算(Ⅱ) 60単位</t>
        </r>
      </text>
    </comment>
    <comment ref="B44" authorId="0" shapeId="0" xr:uid="{6C51AAD2-81A8-467A-8326-231EE6CB5593}">
      <text>
        <r>
          <rPr>
            <sz val="10"/>
            <color indexed="81"/>
            <rFont val="ＭＳ Ｐゴシック"/>
            <family val="3"/>
            <charset val="128"/>
            <scheme val="minor"/>
          </rPr>
          <t xml:space="preserve"> 別に厚生労働大臣が定める基準に適合している介護医療院が、
次に掲げるいずれの基準にも適合する入所者に対し、
介護医療院サービスを行った場合にあっては、
入所した日から起算して 90日以内の期間に限り、
長期療養生活移行加算として、１日につき所定単位数を加算する。
イ 療養病床に１年以上入院していた者であること。
ロ 介護医療院への入所に当たって、当該入所者及びその家族等が、日常生活上の世話を行うことを目的とする施設としての取組について説明を受けていること。</t>
        </r>
      </text>
    </comment>
    <comment ref="B45" authorId="0" shapeId="0" xr:uid="{7490A7CE-DE17-4767-ABFE-33261C8BE31B}">
      <text>
        <r>
          <rPr>
            <b/>
            <sz val="9"/>
            <color indexed="81"/>
            <rFont val="MS P ゴシック"/>
            <family val="3"/>
            <charset val="128"/>
          </rPr>
          <t xml:space="preserve"> </t>
        </r>
        <r>
          <rPr>
            <sz val="10"/>
            <color indexed="81"/>
            <rFont val="MS P ゴシック"/>
            <family val="3"/>
            <charset val="128"/>
          </rPr>
          <t>別に厚生労働大臣が定める施設基準に適合しているものとして
都道府県知事に届け出た介護医療院が、入所者に対し、介護医
療院サービスを行った場合、安全対策体制加算として、入所初日
に限り所定単位数を加算する。</t>
        </r>
      </text>
    </comment>
    <comment ref="B46" authorId="0" shapeId="0" xr:uid="{FB49BB71-37C4-453E-A28D-5E1F12B9C42E}">
      <text>
        <r>
          <rPr>
            <sz val="10"/>
            <color indexed="81"/>
            <rFont val="ＭＳ Ｐゴシック"/>
            <family val="3"/>
            <charset val="128"/>
            <scheme val="minor"/>
          </rPr>
          <t>別に厚生労働大臣が定める基準に適合しているものとして
都道府県知事に届け出た介護医療院が、入所者に対し
介護医療院サービスを行った場合は、当該基準に掲げる
区分に従い、１日につき次に掲げる所定単位数を加算する。
　ただし、次に掲げるいずれかの加算を算定している場合に
おいては、次に掲げるその他の加算は算定しない。
　⑴ サービス提供体制強化加算（Ⅰ）　　22 単位
　⑵ サービス提供体制強化加算（Ⅱ）　 　18単位
　⑶ サービス提供体制強化加算（Ⅲ）　 　　6単位</t>
        </r>
      </text>
    </comment>
    <comment ref="B49" authorId="0" shapeId="0" xr:uid="{D27C3573-96FA-4815-881F-70E61F85680C}">
      <text>
        <r>
          <rPr>
            <sz val="10"/>
            <color indexed="81"/>
            <rFont val="ＭＳ Ｐゴシック"/>
            <family val="3"/>
            <charset val="128"/>
            <scheme val="minor"/>
          </rPr>
          <t xml:space="preserve">別に厚生労働大臣が定める基準に適合している介護職員の
賃金の改善等を実施しているものとして都道府県知事に届け出た
介護医療院が、入所者に対し、介護医療院サービスを行った場合は、
当該基準に掲げる区分に従い、次に掲げる単位数を所定単位数に加算する。
　ただし、次に掲げるいずれかの加算を算定している場合においては、次に掲げるその他の加算は算定しない。
　⑴ 介護職員処遇改善加算（Ⅰ） イからヰまでにより算定した
　　　単位数の1000 分の26 に相当する単位数
　⑵ 介護職員処遇改善加算（Ⅱ） イからヰまでにより算定した
　　　単位数の1000 分の19 に相当する単位数
　⑶ 介護職員処遇改善加算（Ⅲ） イからヰまでにより算定した
　　　単位数の1000 分の10 に相当する単位数
</t>
        </r>
      </text>
    </comment>
    <comment ref="B54" authorId="0" shapeId="0" xr:uid="{00000000-0006-0000-0600-000020000000}">
      <text>
        <r>
          <rPr>
            <sz val="10"/>
            <color indexed="81"/>
            <rFont val="ＭＳ Ｐゴシック"/>
            <family val="3"/>
            <charset val="128"/>
            <scheme val="minor"/>
          </rPr>
          <t>別に厚生労働大臣が定める基準に適合している介護職員等の
賃金の改善等を実施しているものとして都道府県知事に届け出た
介護医療院が、入所者に対し、介護医療院サービスを行った場合は、
当該基準に掲げる区分に従い、次に掲げる単位数を所定単位数に
加算する。
　ただし、次に掲げるいずれかの加算を算定している場合においては、次に掲げるその他の加算は算定しない。
（一）　介護職員等特定処遇改善加算（Ⅰ）
　　　　イからヰまでにより算定した単位数の1000 分の15 に
　　　　相当する単位数
（二）　介護職員等特定処遇改善加算（Ⅱ）　
　　　　イからヰまでにより算定した単位数の1000 分の11 に
　　　　相当する単位数</t>
        </r>
      </text>
    </comment>
    <comment ref="B57" authorId="0" shapeId="0" xr:uid="{958C3E57-C108-40C8-8BCE-FE3B91EEE166}">
      <text>
        <r>
          <rPr>
            <sz val="10"/>
            <color indexed="81"/>
            <rFont val="ＭＳ Ｐゴシック"/>
            <family val="3"/>
            <charset val="128"/>
            <scheme val="major"/>
          </rPr>
          <t>別に厚生労働大臣が定める基準を満たさない場合は、安全管理体制未実施減算として、１日につき５単位を所定単位数から減算する。</t>
        </r>
      </text>
    </comment>
    <comment ref="B58" authorId="0" shapeId="0" xr:uid="{00000000-0006-0000-0600-000021000000}">
      <text>
        <r>
          <rPr>
            <sz val="10"/>
            <color indexed="81"/>
            <rFont val="ＭＳ Ｐゴシック"/>
            <family val="3"/>
            <charset val="128"/>
            <scheme val="major"/>
          </rPr>
          <t>夜勤を行う職員の勤務条件基準を満たさない場合に減算
　-25 単位／日</t>
        </r>
      </text>
    </comment>
    <comment ref="B59" authorId="0" shapeId="0" xr:uid="{00000000-0006-0000-0600-000022000000}">
      <text>
        <r>
          <rPr>
            <sz val="10"/>
            <color indexed="81"/>
            <rFont val="ＭＳ Ｐゴシック"/>
            <family val="3"/>
            <charset val="128"/>
            <scheme val="minor"/>
          </rPr>
          <t>療養室に隣接する廊下の幅が、内法による測定で、
1.8m 未満（両側に療養室がある場合は2.7m未満）の場合に減算
　-25 単位／日</t>
        </r>
      </text>
    </comment>
    <comment ref="B60" authorId="0" shapeId="0" xr:uid="{448A6AF6-9419-46E4-B10D-FF93172C10E6}">
      <text>
        <r>
          <rPr>
            <sz val="10"/>
            <color indexed="81"/>
            <rFont val="ＭＳ Ｐゴシック"/>
            <family val="3"/>
            <charset val="128"/>
            <scheme val="minor"/>
          </rPr>
          <t>療養室に係る床面積の合計÷入所定員の数が８未満の場合に減算
　-25 単位／日</t>
        </r>
      </text>
    </comment>
    <comment ref="B61" authorId="0" shapeId="0" xr:uid="{7CD6072F-C801-49AD-ACED-66F8295819CC}">
      <text>
        <r>
          <rPr>
            <b/>
            <sz val="9"/>
            <color indexed="81"/>
            <rFont val="MS P ゴシック"/>
            <family val="3"/>
            <charset val="128"/>
          </rPr>
          <t xml:space="preserve">栄養管理について、別に厚生労働大臣が定める基準を満たさない場合は、１日につき14単位を所定単位数から減算する。
</t>
        </r>
        <r>
          <rPr>
            <sz val="9"/>
            <color indexed="81"/>
            <rFont val="MS P ゴシック"/>
            <family val="3"/>
            <charset val="128"/>
          </rPr>
          <t xml:space="preserve">
</t>
        </r>
      </text>
    </comment>
    <comment ref="B69" authorId="0" shapeId="0" xr:uid="{CCFFC678-891D-49B3-A074-9D9849A5F59A}">
      <text>
        <r>
          <rPr>
            <sz val="10"/>
            <color indexed="81"/>
            <rFont val="ＭＳ Ｐゴシック"/>
            <family val="3"/>
            <charset val="128"/>
            <scheme val="minor"/>
          </rPr>
          <t>【別表第二　１項】感染対策指導管理
　別に厚生労働大臣が定める基準を満たす指定短期入所療養介護事業所（指定居宅サービス基準第142 条第１項に規定する指定短期入所療養介護事業所をいい、介護老人保健施設、病院、診療所及び老人性認知症疾患療養病棟であるものを除く。以下この表において同じ。）、介護医療院又は指定介護予防短期入所療養介護事業所（介護予防サービス基準第187 条第１項に規定する指定介護予防短期入所療養介護事業所をいい、介護老人保健施設、病院、診療所及び老人性認知症疾患療養病棟であるものを除く。以下この表において同じ。）において、常時感染防止対策を行う場合に、指定短期入所療養介護、介護医療院サービス（介護保険法第48 条第１項第３号に規定する介護医療院サービスをいう。以下同じ。）又は介護予防指定短期入所療養介護を受けている利用者又は入所者について、所定単位数を算定する。</t>
        </r>
      </text>
    </comment>
    <comment ref="C70" authorId="0" shapeId="0" xr:uid="{A2D786AE-F156-490F-8B10-CA036004C3F0}">
      <text>
        <r>
          <rPr>
            <sz val="10"/>
            <color indexed="81"/>
            <rFont val="MS P ゴシック"/>
            <family val="3"/>
            <charset val="128"/>
          </rPr>
          <t>別に厚生労働大臣が定める基準を満たす指定短期入所療養介護事業所、介護医療院又は指定介護予防短期入所療養介護事業所において、常時褥瘡対策を行う場合に介護医療院サービス又は指定介護予防短期入所療養介護を受けている利用者又は入所者（日常生活の自立度が低い者に限る。）について、１日につき所定単位数を算定する</t>
        </r>
      </text>
    </comment>
    <comment ref="C71" authorId="0" shapeId="0" xr:uid="{AD3BC6A5-D588-4601-B90A-9C2D625645F6}">
      <text>
        <r>
          <rPr>
            <sz val="10"/>
            <color indexed="81"/>
            <rFont val="ＭＳ Ｐゴシック"/>
            <family val="3"/>
            <charset val="128"/>
          </rPr>
          <t xml:space="preserve">褥瘡対策指導管理(Ⅰ)に係る別に厚生労働大臣が定める基準を満たす介護医療院において、入所者ごとの褥瘡対策等に係る情報を厚生労働省に提出し、褥瘡対策の実施に当たって、当該情報その他褥瘡対策の適切かつ有効な実施のために必要な情報を活用し、かつ、施設入所時に褥瘡が発生するリスクがあるとされた入所者について、褥瘡の発生のない場合に、１月につき所定単位数を算定する。
</t>
        </r>
      </text>
    </comment>
    <comment ref="B72" authorId="0" shapeId="0" xr:uid="{00000000-0006-0000-0600-000026000000}">
      <text>
        <r>
          <rPr>
            <sz val="10"/>
            <color indexed="81"/>
            <rFont val="ＭＳ Ｐゴシック"/>
            <family val="3"/>
            <charset val="128"/>
            <scheme val="minor"/>
          </rPr>
          <t>【別表第二　３項】初期入所診療管理
介護医療院において、別に厚生労働大臣が定める基準に従い、入所者に対して、その入所に際して医師が必要な診察、検査等を行い、診療方針を定めて文書で説明を行った場合に、入所中１回（診療方針に重要な変更があった場合にあっては、２回）を限度として所定単位数を算定する</t>
        </r>
        <r>
          <rPr>
            <b/>
            <sz val="9"/>
            <color indexed="81"/>
            <rFont val="MS P ゴシック"/>
            <family val="3"/>
            <charset val="128"/>
          </rPr>
          <t>。</t>
        </r>
      </text>
    </comment>
    <comment ref="B73" authorId="0" shapeId="0" xr:uid="{00000000-0006-0000-0600-000027000000}">
      <text>
        <r>
          <rPr>
            <sz val="10"/>
            <color indexed="81"/>
            <rFont val="ＭＳ Ｐゴシック"/>
            <family val="3"/>
            <charset val="128"/>
            <scheme val="minor"/>
          </rPr>
          <t>【別表第二　４項】重度療養管理
　指定短期入所療養介護事業所において、指定短期入所
療養介護を受けている利用者（要介護４又は要介護５に該当する者に限る。）であって別に厚生労働大臣が定める状態にあるものに対して、計画的な医学的管理を継続して行い、
かつ療養上必要な処置を行った場合に、所定単位数を算定する。</t>
        </r>
      </text>
    </comment>
    <comment ref="B74" authorId="0" shapeId="0" xr:uid="{00000000-0006-0000-0600-000028000000}">
      <text>
        <r>
          <rPr>
            <sz val="10"/>
            <color indexed="81"/>
            <rFont val="ＭＳ Ｐゴシック"/>
            <family val="3"/>
            <charset val="128"/>
            <scheme val="minor"/>
          </rPr>
          <t>【別表第二　５項】特定施設管理
　指定短期入所療養介護事業所、介護医療院又は指定介護予防短期入所療養介護事業所において、後天性免疫不全症候群の病原体に感染している利用者又は入所者に対して、指定短期入所療養介護、介護医療院サービス又は指定介護予防短期入所療養介護を行う場合に、所定単位数を算定する。
個室又は２人部屋において、後天性免疫不全症候群の病原体に感染している利用者又は入所者に対して、指定短期入所療養介護、介護医療院サービス又は指定介護予防短期入所療養介護を行う場合は、所定単位数に個室の場合にあっては１日につき300 単位、２人部屋の場合にあっては１日につき150 単位を加算する。</t>
        </r>
      </text>
    </comment>
    <comment ref="B77" authorId="0" shapeId="0" xr:uid="{00000000-0006-0000-0600-000029000000}">
      <text>
        <r>
          <rPr>
            <sz val="10"/>
            <color indexed="81"/>
            <rFont val="ＭＳ Ｐゴシック"/>
            <family val="3"/>
            <charset val="128"/>
            <scheme val="minor"/>
          </rPr>
          <t>【別表第二　６項】重症皮膚潰瘍管理指導
　別に厚生労働大臣が定める基準を満たす指定別に厚生労働大臣が定める施設基準に適合しているものとして都道府県知事に届け出た指定短期入所療養介護事業所、介護医療院又は指定介護予防短期入所療養介護事業所において、指定短期入所療養介護、介護医療院サービス又は指定介護予防短期入所療養介護を受けている利用者又は入所者であって重症皮膚潰瘍を有しているものに対して、計画的な医学的管理を継続して行い、かつ、療養上必要な指導を行った場合に、所定単位数を算定する。</t>
        </r>
      </text>
    </comment>
    <comment ref="B78" authorId="0" shapeId="0" xr:uid="{F1373173-DEDB-42BC-82F5-D4AE884FB778}">
      <text>
        <r>
          <rPr>
            <sz val="10"/>
            <color indexed="81"/>
            <rFont val="ＭＳ Ｐゴシック"/>
            <family val="3"/>
            <charset val="128"/>
            <scheme val="minor"/>
          </rPr>
          <t>【別表第二　７項】薬剤管理指導
指定短期入所療養介護事業所、介護医療院又は指定介
護予防短期入所療養介護事業所であって、別に厚生労
働大臣が定める施設基準に適合しているものとして都道
府県知事に届け出たものにおいて、指定短期入所療養
介護、介護医療院サービス又は指定介護予防短期入所
療養介護を受けている利用者又は入所者に対して、投
薬又は注射及び薬学的管理指導を行った場合に、週１回
に限り、月に４回を限度として所定単位数を算定する</t>
        </r>
        <r>
          <rPr>
            <b/>
            <sz val="9"/>
            <color indexed="81"/>
            <rFont val="MS P ゴシック"/>
            <family val="3"/>
            <charset val="128"/>
          </rPr>
          <t>。</t>
        </r>
      </text>
    </comment>
    <comment ref="C79" authorId="0" shapeId="0" xr:uid="{DFFC3C79-A8B9-49F1-8FD0-C01EA5BB7A7D}">
      <text>
        <r>
          <rPr>
            <sz val="10"/>
            <color indexed="81"/>
            <rFont val="ＭＳ Ｐゴシック"/>
            <family val="3"/>
            <charset val="128"/>
            <scheme val="minor"/>
          </rPr>
          <t xml:space="preserve">介護医療院において、入所者ごとの服薬情報等の情報を厚生労働省に提出し、処方の実施に当たって、当該情報その他薬物療法の適切かつ有効な実施のために必要な情報を活用した場合に、１月につき所定単位数に20単位を加算する。
</t>
        </r>
      </text>
    </comment>
    <comment ref="C80" authorId="0" shapeId="0" xr:uid="{789CA6DA-CA45-4682-8D67-744E11487EB7}">
      <text>
        <r>
          <rPr>
            <sz val="10"/>
            <color indexed="81"/>
            <rFont val="ＭＳ Ｐゴシック"/>
            <family val="3"/>
            <charset val="128"/>
            <scheme val="minor"/>
          </rPr>
          <t>疼痛緩和のために別に厚生労働大臣が定める特別な薬剤の投薬又は注射が行われている利用者に対して、当該薬剤の使用に関する必要な薬学的管理指導を行った場合は、
１回につき所定単位数に50 単位を加算する。</t>
        </r>
      </text>
    </comment>
    <comment ref="B81" authorId="0" shapeId="0" xr:uid="{00000000-0006-0000-0600-00002C000000}">
      <text>
        <r>
          <rPr>
            <sz val="10"/>
            <color indexed="81"/>
            <rFont val="ＭＳ Ｐゴシック"/>
            <family val="3"/>
            <charset val="128"/>
            <scheme val="minor"/>
          </rPr>
          <t>【別表第二　８項】医学情報提供
　医学情報提供（Ⅰ）については、併設型小規模介護医療院（介護医療院の人員、施設及び設備並びに運営に関
する基準（平成30 年厚生労働省令第５号）第４条第７項に規定する併設型小規模介護医療院をいう。以下こ
の号において同じ。）である指定短期入所療養介護事業所、介護医療院若しくは指定介護予防短期入所療養介
護事業所が、指定短期入所療養介護、介護医療院サービス若しくは指定介護予防短期入所療養介護を受けて
いる利用者若しくは入所者の退所時に、診療に基づき、別の診療所での診療の必要を認め、別の診療所に対し
て、当該利用者若しくは入所者の同意を得て、当該利用者若しくは入所者の診療状況を示す文書を添えて当該
利用者若しくは入所者の紹介を行った場合又は介護医療院（併設型小規模介護医療院を除く。）である指定短期
入所療養介護事業所、介護医療院若しくは指定介護予防短期入所療養介護事業所が、指定短期入所療養介護、
介護医療院サービス若しくは指定介護予防短期入所療養介護を受けている利用者若しくは入所者の退所時に、
診療に基づき、別の病院での診療の必要を認め、別の病院に対して、当該利用者若しくは入所者の同意を得て、
当該利用者若しくは入所者の診療状況を示す文書を添えて当該利用者若しくは入所者の紹介を行った場合に、
所定単位数を算定する。
　医学情報提供（Ⅱ）については、併設型小規模介護医療院である指定短期入所療養介護事業所、介護医療院
若しくは指定介護予防短期入所療養介護事業所が、指定短期入所療養介護、介護医療院サービス若しくは指
定介護予防短期入所療養介護を受けている利用者若しくは入所者の退所時に、診療に基づき、病院での診療
の必要を認め、病院に対して、当該利用者若しくは入所者の同意を得て、当該利用者若しくは入所者の診療状
況を示す文書を添えて当該利用者若しくは入所者の紹介を行った場合又は介護医療院（併設型小規模介護医療
院を除く。）である指定短期入所療養介護事業所、介護医療院若しくは指定介護予防短期入所療養介護事業所
が、指定短期入所療養介護、介護医療院サービス若しくは指定介護予防短期入所療養介護を受けている利用
者若しくは入所者の退所時に、診療に基づき、診療所での診療の必要を認め、診療所に対して、当該利用者若し
くは入所者の同意を得て、当該利用者若しくは入所者の診療状況を示す文書を添えて当該利用者若しくは入所者
の紹介を行った場合に所定単位数を算定する。</t>
        </r>
      </text>
    </comment>
    <comment ref="B83" authorId="0" shapeId="0" xr:uid="{00000000-0006-0000-0600-00002D000000}">
      <text>
        <r>
          <rPr>
            <sz val="10"/>
            <color indexed="81"/>
            <rFont val="ＭＳ Ｐゴシック"/>
            <family val="3"/>
            <charset val="128"/>
            <scheme val="minor"/>
          </rPr>
          <t>【別表第二　９項】理学療法
　理学療法（Ⅰ）については、別に厚生労働大臣が定める施設基準に適合しているものとして都道府県知事に届け出た指定短期入所療養介護事業所、介護医療院又は指定介護予防短期入所療養介護事業所において、指定短期入所療養介護、介護医療院サービス又は指定介護予防短期入所療養介護を受けている利用者又は入所者に対して、理学療法を個別に行った場合に、所定単位数を
算定し、理学療法（Ⅱ）については、それ以外の指定短期入所療養介護事業所、介護医療院又は指定介護予防短期入所療養介護事業所において、指定短期入所療養介護、介護医療院サービス又は指定介護予防短期入所療養介護を受けている利用者又は入所者に対して、理学療法を個別に行った場合に算定する。
　理学療法については、利用者又は入所者１人につき１日３回（作業療法及び言語聴覚療法と併せて１日４回）に限り算定するものとし、その利用を開始又は入所した日から起算して４月を超えた期間において、１月に合計11回以上行った場合は、11 回目以降のものについては所定単位数の100 分の70 に相当する単位数を算定する。</t>
        </r>
      </text>
    </comment>
    <comment ref="C84" authorId="0" shapeId="0" xr:uid="{00000000-0006-0000-0600-00002E000000}">
      <text>
        <r>
          <rPr>
            <sz val="10"/>
            <color indexed="81"/>
            <rFont val="ＭＳ Ｐゴシック"/>
            <family val="3"/>
            <charset val="128"/>
            <scheme val="minor"/>
          </rPr>
          <t>【別表第二　９,10 項】理学療法・作業療法
　理学療法（Ⅰ）に係る別に厚生労働大臣が定める施設基準に適合しているものとして都道府県知事に届け出た指定短期入所療養介護事業所又は指定介護予防短期入所療養介護事業所において、医師、看護師、理学療法士等が共同してリハビリテーション計画を策定し、当該リハビリテーション計画に基づき理学療法（Ⅰ）を算定すべき理学療法を行った場合に、利用者が理学療法を必要とする状態の原因となった疾患等の治療等のために入院若しくは入所した病院、診療所若しくは介護保険施設を退院若しくは退所した日又は法第27 条第１項に基づく要介護
認定若しくは法第32 条第１項に基づく要支援認定を受けた日から初めて利用した月に限り、１月に１回を限度として所定単位数に480 単位を加算する。
　ただし、作業療法の注３の規定により加算する場合はこの限りではない</t>
        </r>
        <r>
          <rPr>
            <b/>
            <sz val="9"/>
            <color indexed="81"/>
            <rFont val="MS P ゴシック"/>
            <family val="3"/>
            <charset val="128"/>
          </rPr>
          <t>。</t>
        </r>
      </text>
    </comment>
    <comment ref="C85" authorId="0" shapeId="0" xr:uid="{00000000-0006-0000-0600-00002F000000}">
      <text>
        <r>
          <rPr>
            <sz val="10"/>
            <color indexed="81"/>
            <rFont val="ＭＳ Ｐゴシック"/>
            <family val="3"/>
            <charset val="128"/>
            <scheme val="minor"/>
          </rPr>
          <t>指定短期入所療養介護事業所又は指定介護予防短期入所療養介護事業所において、理学療法士等が指定短期入所療養介護又は指定介護予防短期入所療養介護を行う療養棟（指定施設サービス等の費用の額の算定に関する基準（平成12 年厚生省告示第21 号）別表の４のイからヘまでの注１に規定する療養棟をいう。10 において同じ。）において、基本的動作能力又は応用的動作能力若しくは社会的適応能力の回復を図るための日常動作
の訓練及び指導を月２回以上行った場合は、１月に１回を限度として所定単位数に300 単位を加算する。
　ただし、作業療法の注４の規定により加算する場合はこの限りでない。なお、当該加算の対象となる訓練及び指導を行った日については、所定単位数は算定しない。</t>
        </r>
        <r>
          <rPr>
            <sz val="9"/>
            <color indexed="81"/>
            <rFont val="MS P ゴシック"/>
            <family val="3"/>
            <charset val="128"/>
          </rPr>
          <t xml:space="preserve">
</t>
        </r>
      </text>
    </comment>
    <comment ref="C86" authorId="0" shapeId="0" xr:uid="{00000000-0006-0000-0600-000030000000}">
      <text>
        <r>
          <rPr>
            <sz val="10"/>
            <color indexed="81"/>
            <rFont val="ＭＳ Ｐゴシック"/>
            <family val="3"/>
            <charset val="128"/>
            <scheme val="minor"/>
          </rPr>
          <t>指定短期入所療養介護事業所、介護医療院又は指定介護予防短期入所療養介護事業所において、専従する常勤の理学療法士を２名以上配置し、理学療法（Ⅰ）を算定すべき理学療法を行った場合に、１回につき35 単位を所定単位数に加算する。</t>
        </r>
      </text>
    </comment>
    <comment ref="B88" authorId="0" shapeId="0" xr:uid="{00000000-0006-0000-0600-000031000000}">
      <text>
        <r>
          <rPr>
            <sz val="10"/>
            <color indexed="81"/>
            <rFont val="ＭＳ Ｐゴシック"/>
            <family val="3"/>
            <charset val="128"/>
            <scheme val="minor"/>
          </rPr>
          <t>【別表第二　10 項】作業療法
別に厚生労働大臣が定める施設基準に適合しているものとして都道府県知事に届け出た指定短期入所療養介護事業所、介護医療院又は指定介護予防短期入所療養介護事業所において、指定短期入所療養介護、介護医療院サービス又は指定介護予防短期入所療養介護を受けている利用者又は入所者に対して、作業療法を個別に行った場合に、所定単位数を算定する。
作業療法については、利用者又は入所者１人につき１日３回（理学療法及び言語聴覚療法と合わせて１日４回）に限り算定するものとし、その利用を開始又は入所した日から起算して４月を超えた期間において、１月に合計11 回以上行った場合は、11 回目以降のものについては、所定単位数の100 分の70 に相当する単位数を算定する。</t>
        </r>
      </text>
    </comment>
    <comment ref="C89" authorId="0" shapeId="0" xr:uid="{00000000-0006-0000-0600-000032000000}">
      <text>
        <r>
          <rPr>
            <sz val="10"/>
            <color indexed="81"/>
            <rFont val="ＭＳ Ｐゴシック"/>
            <family val="3"/>
            <charset val="128"/>
            <scheme val="minor"/>
          </rPr>
          <t>【別表第二　９,10 項】理学療法・作業療法
　作業療法に係る別に厚生労働大臣が定める施設基準に適合しているものとして都道府県知事に届け出た指定短期入所療養介護事業所又は指定介護予防短期入所療養介護事業所において、医師、看護師、作業療法士等が共同してリハビリテーション計画を策定し、当該リハビリテーション計画に基づき作業療法を算定すべき作業療法を行った場合に、利用者が作業療法を必要とする状態の原因となった疾患等の治療等のために入院若し
くは入所した病院、診療所若しくは介護保険施設を退院若しくは退所した日又は法第27 条第１項に基づく要介護認定若しくは法第32 条第１項に基づく要支援認定を受けた日から初めて利用した月に限り、１月に１回を限度として所定単位数に480 単位を加算する。
　ただし、理学療法の規定により加算する場合はこの限りではない。</t>
        </r>
      </text>
    </comment>
    <comment ref="C90" authorId="0" shapeId="0" xr:uid="{00000000-0006-0000-0600-000033000000}">
      <text>
        <r>
          <rPr>
            <sz val="10"/>
            <color indexed="81"/>
            <rFont val="ＭＳ Ｐゴシック"/>
            <family val="3"/>
            <charset val="128"/>
            <scheme val="minor"/>
          </rPr>
          <t>指定短期入所療養介護事業所又は指定介護予防短期入所療養介護事業所において、作業療法士等が指定短期入所療養介護又は指定介護予防短期入所療養介護を行う療養棟（指定施設サービス等の費用の額の算定に関する基準（平成12 年厚生省告示第21 号）別表の４のイからヘまでの注１に規定する療養棟をいう。10 において同じ。）において、基本的動作能力又は応用的動作能力若しくは社会的適応能力の回復を図るための日常動作
の訓練及び指導を月２回以上行った場合は、１月に１回を限度として所定単位数に300 単位を加算する。
　ただし、理学療法の規定により加算する場合はこの限りでない。なお、当該加算の対象となる訓練及び指導を行った日については、所定単位数は算定しない。</t>
        </r>
        <r>
          <rPr>
            <sz val="9"/>
            <color indexed="81"/>
            <rFont val="MS P ゴシック"/>
            <family val="3"/>
            <charset val="128"/>
          </rPr>
          <t xml:space="preserve">
</t>
        </r>
      </text>
    </comment>
    <comment ref="C91" authorId="0" shapeId="0" xr:uid="{00000000-0006-0000-0600-000034000000}">
      <text>
        <r>
          <rPr>
            <sz val="10"/>
            <color indexed="81"/>
            <rFont val="ＭＳ Ｐゴシック"/>
            <family val="3"/>
            <charset val="128"/>
            <scheme val="major"/>
          </rPr>
          <t>指定短期入所療養介護事業所、介護医療院又は指定介護予防短期入所療養介護事業所において、専従する常勤の作業療法士を２名以上配置し、作業療法を算定すべき作業療法を行った場合に、１回につき35 単位を所定単位数に加算する。</t>
        </r>
      </text>
    </comment>
    <comment ref="B92" authorId="0" shapeId="0" xr:uid="{00000000-0006-0000-0600-000035000000}">
      <text>
        <r>
          <rPr>
            <sz val="10"/>
            <color indexed="81"/>
            <rFont val="ＭＳ Ｐゴシック"/>
            <family val="3"/>
            <charset val="128"/>
            <scheme val="minor"/>
          </rPr>
          <t>【別表第二　11 項】言語聴覚療法
　別に厚生労働大臣が定める施設基準に適合しているもの
として都道府県知事に届け出た指定短期入所療養介護事業所、介護医療院又は指定介護予防短期入所療養介護事業所において、指定短期入所療養介護、介護医療院サービス又は指定介護予防短期入所療養介護を受けている利用者又は入所者に対して、言語聴覚療法を個別に行った場合に、所定単位数を算定する言語聴覚療法については、利用者又は入所者１人につき１日３回（理学療法及び作業療法と併せて１日４回）に限り算定するものとし、その利用を開始又は入所した日から起算して４月を超えた期間において、１月に合計11 回以上行った場合は、11 回目以降のものについては、所定単位数の100 分の70 に相当する単位数を算定する。　</t>
        </r>
      </text>
    </comment>
    <comment ref="C93" authorId="0" shapeId="0" xr:uid="{00000000-0006-0000-0600-000036000000}">
      <text>
        <r>
          <rPr>
            <sz val="10"/>
            <color indexed="81"/>
            <rFont val="ＭＳ Ｐゴシック"/>
            <family val="3"/>
            <charset val="128"/>
            <scheme val="minor"/>
          </rPr>
          <t>指定短期入所療養介護事業所、介護医療院又は指定介護予防短期入所療養介護事業所において、専従する常勤の言語聴覚士を２名以上配置して言語聴覚療法を行った場合に、
１回につき35 単位を所定単位数に加算する。</t>
        </r>
      </text>
    </comment>
    <comment ref="B94" authorId="0" shapeId="0" xr:uid="{00000000-0006-0000-0600-000037000000}">
      <text>
        <r>
          <rPr>
            <sz val="10"/>
            <color indexed="81"/>
            <rFont val="ＭＳ Ｐゴシック"/>
            <family val="3"/>
            <charset val="128"/>
            <scheme val="minor"/>
          </rPr>
          <t>【別表第二　12 項】集団コミュニケーション療法
　別に厚生労働大臣が定める施設基準に適合しているもの
として都道府県知事に届け出た指定短期入所療養介護
事業所、介護医療院又は指定介護予防短期入所療養介
護事業所において、指定短期入所療養介護、介護医療
院サービス又は指定介護予防短期入所療養介護を受け
ている利用者又は入所者に対して、集団コミュニケーション療法を行った場合に、所定単位数を算定する。
集団コミュニケーション療法については、利用者又は入所者１人につき１日３回に限り算定するものとする。</t>
        </r>
      </text>
    </comment>
    <comment ref="B95" authorId="0" shapeId="0" xr:uid="{00000000-0006-0000-0600-000038000000}">
      <text>
        <r>
          <rPr>
            <sz val="10"/>
            <color indexed="81"/>
            <rFont val="ＭＳ Ｐゴシック"/>
            <family val="3"/>
            <charset val="128"/>
            <scheme val="minor"/>
          </rPr>
          <t>【別表第二　13 項】摂食機能療法
　指定短期入所療養介護事業所、介護医療院又は指定介護予防短期入所療養介護事業所において、指定短期入所療養介護、介護医療院サービス又は指定介護予防短期入所療養介護を受けている利用者又は入所者であって摂食機能障害を有するものに対して、摂食機能療法を30 分以上行った場合に、１月に４回を限度として所定単位数を算定する。</t>
        </r>
      </text>
    </comment>
    <comment ref="B96" authorId="0" shapeId="0" xr:uid="{00000000-0006-0000-0600-000039000000}">
      <text>
        <r>
          <rPr>
            <sz val="10"/>
            <color indexed="81"/>
            <rFont val="ＭＳ Ｐゴシック"/>
            <family val="3"/>
            <charset val="128"/>
            <scheme val="minor"/>
          </rPr>
          <t>【別表第二　14 項】短期集中リハビリテーション
　介護医療院において、介護医療院サービスを受けている入所者に対して、医師又は医師の指示を受けた理学療法士、作業療法士又は言語聴覚士が、その入所した日から起算して３月以内の期間に集中的に理学療法、作業療法、言語聴覚療法又は摂食機能療法を行った場合に、所定単位数を算定する。
　ただし、理学療法、作業療法、言語聴覚療法又は摂食機能療法を算定する場合は、算定しない。</t>
        </r>
      </text>
    </comment>
    <comment ref="B97" authorId="0" shapeId="0" xr:uid="{00000000-0006-0000-0600-00003A000000}">
      <text>
        <r>
          <rPr>
            <sz val="10"/>
            <color indexed="81"/>
            <rFont val="ＭＳ Ｐゴシック"/>
            <family val="3"/>
            <charset val="128"/>
            <scheme val="minor"/>
          </rPr>
          <t>【別表第二　15 項】短期集中リハビリテーション
　別に厚生労働大臣が定める施設基準に適合しているものとして都道府県知事に届け出た介護医療院において、介護医療院サービスを受けている入所者のうち、認知症であると医師が判断した者であって、リハビリテーションによって生活機能の改善が見込まれると判断されたものに対して、医師又は医師の指示を受けた理学療法士、作業療法士若しくは言語聴覚士が、その入所した日から起算して３月以内の期間に集中的なリハビリテーションを個別に行った場合に、１週に３日を限度として所定単位数を算定する。</t>
        </r>
      </text>
    </comment>
    <comment ref="B98" authorId="0" shapeId="0" xr:uid="{C441B851-5E8D-43AF-974A-664D01321112}">
      <text>
        <r>
          <rPr>
            <sz val="10"/>
            <color indexed="81"/>
            <rFont val="ＭＳ Ｐゴシック"/>
            <family val="3"/>
            <charset val="128"/>
            <scheme val="minor"/>
          </rPr>
          <t>介護医療院において、入所者ごとのリハビリテーション実施計画の内容等の情報を厚生労働省に提出し、リハビリテーションの実施に当たって、当該情報その他リハビリテーションの適切かつ有効な実施のために必要な情報を活用している場合は、１月につき１回を限度として所定単位数に33単位を加算する。ただし、作業療法の注６又は言語聴覚療法の注４の規定により加算する場合はこの限りでない</t>
        </r>
      </text>
    </comment>
    <comment ref="B99" authorId="0" shapeId="0" xr:uid="{00000000-0006-0000-0600-00003B000000}">
      <text>
        <r>
          <rPr>
            <sz val="10"/>
            <color indexed="81"/>
            <rFont val="ＭＳ Ｐゴシック"/>
            <family val="3"/>
            <charset val="128"/>
            <scheme val="minor"/>
          </rPr>
          <t>【別表第二　16 項】精神科作業療法
　別に厚生労働大臣が定める施設基準に適合しているもの
として都道府県知事に届け出た指定短期入所療養介護事業所、介護医療院又は指定介護予防短期入所療養介護事業所において、指定短期入所療養介護、介護医療院サービス又は指定介護予防短期入所療養介護を受けている利用者又は入所者に対して、精神科作業療法を行った場合に、
所定単位数を算定する。</t>
        </r>
      </text>
    </comment>
    <comment ref="B100" authorId="0" shapeId="0" xr:uid="{00000000-0006-0000-0600-00003C000000}">
      <text>
        <r>
          <rPr>
            <sz val="10"/>
            <color indexed="81"/>
            <rFont val="ＭＳ Ｐゴシック"/>
            <family val="3"/>
            <charset val="128"/>
            <scheme val="minor"/>
          </rPr>
          <t>【別表第二　17 項】認知症入所精神療法
　指定短期入所療養介護事業所、介護医療院又は指定介
護予防短期入所療養介護事業所において、指定短期入
所療養介護、介護医療院サービス又は指定介護予防短
期入所療養介護を受けている利用者又は入所者に対し
て、認知症入院精神療法を行った場合に、所定単位数
を算定する。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00000000-0006-0000-0700-000001000000}">
      <text>
        <r>
          <rPr>
            <sz val="10"/>
            <color indexed="81"/>
            <rFont val="ＭＳ ゴシック"/>
            <family val="3"/>
            <charset val="128"/>
          </rPr>
          <t>別に厚生労働大臣が定める夜勤を行う職員の勤務条件に関する
基準を満たすものとして都道府県知事に届け出た介護医療院については、
当該基準に掲げる区分に従い、
１日につき次に掲げる単位数を所定単位数に加算する。
　イ夜間勤務等看護（Ⅰ） 23 単位
　ロ夜間勤務等看護（Ⅱ） 14 単位
　ハ夜間勤務等看護（Ⅲ） 14 単位
　ニ夜間勤務等看護（Ⅳ）  7 単位</t>
        </r>
        <r>
          <rPr>
            <b/>
            <sz val="9"/>
            <color indexed="81"/>
            <rFont val="MS P ゴシック"/>
            <family val="3"/>
            <charset val="128"/>
          </rPr>
          <t xml:space="preserve">
</t>
        </r>
      </text>
    </comment>
    <comment ref="B9" authorId="0" shapeId="0" xr:uid="{00000000-0006-0000-0700-000002000000}">
      <text>
        <r>
          <rPr>
            <sz val="10"/>
            <color indexed="81"/>
            <rFont val="ＭＳ ゴシック"/>
            <family val="3"/>
            <charset val="128"/>
          </rPr>
          <t>別に厚生労働大臣が定める基準に適合しているものとして
都道府県知事に届け出た介護医療院において、
若年性認知症患者に対して介護医療院サービスを行った場合は、
若年性認知症患者受入加算として、１日につき120単位を
所定単位数に加算する。
ただし、認知症行動・心理症状緊急対応加算を算定している場合は、
算定しない。</t>
        </r>
      </text>
    </comment>
    <comment ref="B10" authorId="0" shapeId="0" xr:uid="{00000000-0006-0000-0700-000003000000}">
      <text>
        <r>
          <rPr>
            <sz val="10"/>
            <color indexed="81"/>
            <rFont val="ＭＳ ゴシック"/>
            <family val="3"/>
            <charset val="128"/>
          </rPr>
          <t>入所者に対して居宅における外泊を認めた場合は、
１月に６日を限度として所定単位数に代えて
１日につき362単位を算定する。
ただし、外泊の初日及び最終日は、算定できない。</t>
        </r>
      </text>
    </comment>
    <comment ref="B11" authorId="0" shapeId="0" xr:uid="{00000000-0006-0000-0700-000004000000}">
      <text>
        <r>
          <rPr>
            <sz val="10"/>
            <color indexed="81"/>
            <rFont val="ＭＳ ゴシック"/>
            <family val="3"/>
            <charset val="128"/>
          </rPr>
          <t>入所者であって、退所が見込まれる者をその居宅において試行的に退所させ、
介護医療院が居宅サービスを提供する場合は、
１月に６日を限度として所定単位数に代えて１日につき800 単位を算定する。
ただし、試行的な退所に係る初日及び最終日は算定せず、
外泊時費用を算定している場合は算定しない。</t>
        </r>
      </text>
    </comment>
    <comment ref="B12" authorId="0" shapeId="0" xr:uid="{00000000-0006-0000-0700-000005000000}">
      <text>
        <r>
          <rPr>
            <sz val="10"/>
            <color indexed="81"/>
            <rFont val="ＭＳ ゴシック"/>
            <family val="3"/>
            <charset val="128"/>
          </rPr>
          <t>入所者に対し専門的な診療が必要になった場合であって、
当該入所者に対し病院又は診療所において当該診療が
行われた場合は、１月に４日を限度として所定単位数に代えて
１日につき362単位を算定する。</t>
        </r>
      </text>
    </comment>
    <comment ref="B14" authorId="0" shapeId="0" xr:uid="{00000000-0006-0000-0700-000006000000}">
      <text>
        <r>
          <rPr>
            <sz val="10"/>
            <color indexed="81"/>
            <rFont val="MS P ゴシック"/>
            <family val="3"/>
            <charset val="128"/>
          </rPr>
          <t>入所した日から起算して30 日以内の期間について、
初期加算として、１日につき所定単位数30 単位を
加算する。</t>
        </r>
      </text>
    </comment>
    <comment ref="B15" authorId="0" shapeId="0" xr:uid="{00000000-0006-0000-0700-000007000000}">
      <text>
        <r>
          <rPr>
            <sz val="10"/>
            <color indexed="81"/>
            <rFont val="ＭＳ Ｐゴシック"/>
            <family val="3"/>
            <charset val="128"/>
            <scheme val="minor"/>
          </rPr>
          <t>別に厚生労働大臣が定める基準に適合する介護医療院に入所
（以下この注において「一次入所」という。）している者が退所し、
当該者が病院又は診療所に入院した場合であって、
当該者が退院した後に再度当該介護医療院に入所（以下この注に
おいて「二次入所」という。）する際、二次入所において必要となる栄養管理が、一次入所の際に必要としていた栄養管理とは大きく異なるため、当該介護医療院の管理栄養士が当該病院又は診療所の管理栄養士と連携し当該者に関する栄養ケア計画を策定した場合に、
入所者１人につき１回を限度として所定単位数400単位数を加算する。　　ただし、栄養マネジメント加算を算定していない場合は、算定しない。</t>
        </r>
      </text>
    </comment>
    <comment ref="C16" authorId="0" shapeId="0" xr:uid="{00000000-0006-0000-0700-000008000000}">
      <text>
        <r>
          <rPr>
            <sz val="10"/>
            <color indexed="81"/>
            <rFont val="ＭＳ Ｐゴシック"/>
            <family val="3"/>
            <charset val="128"/>
            <scheme val="minor"/>
          </rPr>
          <t>入所期間が１月を超えると見込まれる入所者の退所に先立って
当該入所者が退所後生活する居宅を訪問し、当該入所者及び
その家族等に対して退所後の療養上の指導を行った場合に、
入所中１回（入所後早期に退所前訪問指導の必要があると認められる入所者にあっては、２回）を限度として算定する。
　入所者が退所後にその居宅でなく、他の社会福祉施設等に入所する場合であって、当該入所者の同意を得て、当該社会福祉施設等を訪問し、連絡調整、情報提供等を行ったときも、同様に算定する。</t>
        </r>
      </text>
    </comment>
    <comment ref="C17" authorId="0" shapeId="0" xr:uid="{00000000-0006-0000-0700-000009000000}">
      <text>
        <r>
          <rPr>
            <sz val="10"/>
            <color indexed="81"/>
            <rFont val="ＭＳ Ｐゴシック"/>
            <family val="3"/>
            <charset val="128"/>
            <scheme val="minor"/>
          </rPr>
          <t>入所者の退所後30 日以内に当該入所者の居宅を訪問し、
当該入所者及びその家族等に対して療養上の指導を行った場合に、退所後１回を限度として算定する。
入所者が退所後にその居宅でなく、他の社会福祉施設等に入所する場合であって、当該入所者の同意を得て、当該社会福祉施設等を訪問し、連絡調整、情報提供等を行ったときも、同様に算定する。</t>
        </r>
      </text>
    </comment>
    <comment ref="C18" authorId="0" shapeId="0" xr:uid="{00000000-0006-0000-0700-00000A000000}">
      <text>
        <r>
          <rPr>
            <sz val="10"/>
            <color indexed="81"/>
            <rFont val="ＭＳ Ｐゴシック"/>
            <family val="3"/>
            <charset val="128"/>
            <scheme val="minor"/>
          </rPr>
          <t>入所期間が１月を超える入所者が退所し、その居宅において療養を継続する場合において、当該入所者の退所時に、当該入所者及びその家族等に対して、退所後の療養上の指導を行った場合に、入所者１人につき１回を限度として算定する。</t>
        </r>
      </text>
    </comment>
    <comment ref="C19" authorId="0" shapeId="0" xr:uid="{00000000-0006-0000-0700-00000B000000}">
      <text>
        <r>
          <rPr>
            <sz val="10"/>
            <color indexed="81"/>
            <rFont val="ＭＳ Ｐゴシック"/>
            <family val="3"/>
            <charset val="128"/>
            <scheme val="minor"/>
          </rPr>
          <t>入所期間が１月を超える入所者が退所し、その居宅において療養を継続する場合において、当該入所者の退所後の主治の医師に対して、当該入所者の同意を得て、当該入所者の診療状況を示す文書を添えて当該入所者の紹介を行った場合に、入所者１人に
つき１回に限り算定する。
入所者が退所後にその居宅でなく、他の社会福祉施設等に入所する場合であって、当該入所者の同意を得て、当該社会福祉施設等に対して当該入所者の診療状況を示す文書を添えて当該入所者の処遇に必要な情報を提供したときも、同様に算定する。</t>
        </r>
      </text>
    </comment>
    <comment ref="C20" authorId="0" shapeId="0" xr:uid="{00000000-0006-0000-0700-00000C000000}">
      <text>
        <r>
          <rPr>
            <sz val="10"/>
            <color indexed="81"/>
            <rFont val="ＭＳ Ｐゴシック"/>
            <family val="3"/>
            <charset val="128"/>
            <scheme val="minor"/>
          </rPr>
          <t>入所期間が１月を超える入所者が退所し、その居宅において居宅サービスを利用する場合において、当該入所者の退所に先立って当該入所者が利用を希望する指定居宅介護支援事業者に対して、当該入所者の同意を得て、当該入所者の診療状況を示す文書を添えて当該入所者に係る居宅サービスに必要な情報を提供し、かつ、当該指定居宅介護支援事業者と連携して退所後の居宅サービスの利用に関する調整を行った
場合に、入所者１人につき１回を限度として算定する。</t>
        </r>
      </text>
    </comment>
    <comment ref="C21" authorId="0" shapeId="0" xr:uid="{00000000-0006-0000-0700-00000D000000}">
      <text>
        <r>
          <rPr>
            <sz val="10"/>
            <color indexed="81"/>
            <rFont val="ＭＳ Ｐゴシック"/>
            <family val="3"/>
            <charset val="128"/>
            <scheme val="minor"/>
          </rPr>
          <t>入所者の退所時に、介護医療院の医師が、診療に基づき、指定訪問看護、指定定期巡回・随時対応型訪問介護看護（訪問看護サービスを行う場合に限る。）又は指定看護小規模多機能型居宅介護（看護サービスを行う場合に限る。）の利用が必要であると認め、当該入所者の選定する指定訪問看護ステーション、指定定期巡回・随時対応型訪問介護看護事業所又は指定看護小規模多機能型居宅介護事業所に対して、当該入所者の同意を得て、訪問看護指示書を交付した場合に、入所者１人につき１回を限度として算定する。</t>
        </r>
      </text>
    </comment>
    <comment ref="B22" authorId="0" shapeId="0" xr:uid="{4DFCA068-CF48-4C49-BCB5-512B30465FBC}">
      <text>
        <r>
          <rPr>
            <b/>
            <sz val="9"/>
            <color indexed="81"/>
            <rFont val="MS P ゴシック"/>
            <family val="3"/>
            <charset val="128"/>
          </rPr>
          <t xml:space="preserve">別に厚生労働大臣が定める基準に適合するものとして都道
府県知事に届け出た介護医療院において、入所者ごとの継続
的な栄養管理を強化して実施した場合、栄養マネジメント強
化加算として、１日につき所定単位数11単位を加算する。 </t>
        </r>
      </text>
    </comment>
    <comment ref="B23" authorId="0" shapeId="0" xr:uid="{00000000-0006-0000-0700-000010000000}">
      <text>
        <r>
          <rPr>
            <sz val="10"/>
            <color indexed="81"/>
            <rFont val="ＭＳ Ｐゴシック"/>
            <family val="3"/>
            <charset val="128"/>
            <scheme val="minor"/>
          </rPr>
          <t>別に厚生労働大臣が定める基準に適合する介護医療院において、医師の指示に基づき、医師、歯科医師、管理栄養士、看護師、介護支援専門員その他の職種の者が共同して、現に経管により食事を摂取している入所者ごとに経口による食事の摂取を進めるための経口移行計画を作成している場合であって、当該計画に従い、医師の
指示を受けた管理栄養士又は栄養士による栄養管理及び言語聴覚士又は看護職員による支援が行われた場合は、当該計画が作成された日から起算して180 日以内の期間に限り、１日につき所定単位数28 単位を加算する。
　ただし、栄養マネジメント加算を算定していない場合は算定しない。</t>
        </r>
      </text>
    </comment>
    <comment ref="C24" authorId="0" shapeId="0" xr:uid="{85F3599D-041F-4EA7-A337-0E29982639D6}">
      <text>
        <r>
          <rPr>
            <sz val="10"/>
            <color indexed="81"/>
            <rFont val="ＭＳ Ｐゴシック"/>
            <family val="3"/>
            <charset val="128"/>
            <scheme val="minor"/>
          </rPr>
          <t xml:space="preserve">別に厚生労働大臣が定める基準に適合する介護医療院において、現に経口により食事を摂取する者であって、摂食機能障害を有し、誤嚥が認められる入所者に対して、医師又は歯科医師の指示に基づき、医師、歯科医師、管理栄養士、看護師、介護支援専門員その他の職種の者が共同して、入所者の栄養管理をするための食事の観察及び会議等を行い、入所者ごとに、経口による継続的な食事の摂取を進めるための経口維持計を作成している場合であって、当該計画に従い、医師又は歯科医師の指示（歯科医師が指示を行う場合にあっては、当該指示を受ける管理栄養士等が医師の指導を受けている場合に限る。）を受けた管理栄養士又は栄養士が栄養管理を行った場合に、１月につき所定単位数を加算する。ただし、イからヘまでの注５又は経口移行加算を算定している場合は、算定しない。 </t>
        </r>
      </text>
    </comment>
    <comment ref="C25" authorId="0" shapeId="0" xr:uid="{00000000-0006-0000-0700-000012000000}">
      <text>
        <r>
          <rPr>
            <sz val="10"/>
            <color indexed="81"/>
            <rFont val="ＭＳ Ｐゴシック"/>
            <family val="3"/>
            <charset val="128"/>
            <scheme val="minor"/>
          </rPr>
          <t>協力歯科医療機関を定めている介護医療院が、経口維持加算（Ⅰ）を算定している場合であって、入所者の経口による継続的な食事の摂取を支援するための食事の観察及び会議等に、医師（介護医療院の人員、施設及び設備並びに運営に関する基準第４条第１項第１号に規定する医師を除く。）、歯科医師、歯科衛生士又は言語聴覚士が加わった場合は、１月につき所定単位数を加算する。
　経口による継続的な食事の摂取を進めるための経口維持計画が作成された日の属する月から起算して６月を超えた場合であっても、摂食機能障害を有し、誤嚥が認められる入所者であって、医師又は歯科医師の指示に基づき、継続して誤嚥防止のための食事の摂取を進めるための特別な管理が必要とされるものに対しては、引き続き該加算を算定できるものとする。</t>
        </r>
      </text>
    </comment>
    <comment ref="B26" authorId="0" shapeId="0" xr:uid="{7A25808C-72B8-404C-B04D-760ED40EE859}">
      <text>
        <r>
          <rPr>
            <sz val="10"/>
            <color indexed="81"/>
            <rFont val="ＭＳ Ｐゴシック"/>
            <family val="3"/>
            <charset val="128"/>
          </rPr>
          <t>別に厚生労働大臣が定める基準に適合する介護医療院において、入所者に対し、歯科衛生士が口腔衛生の管理を行った
場合は、当該基準に掲げる区分に従い、１月につき次に掲げ る所定単位数を加算する。ただし、次に掲げるいずれかの加 
算を算定している場合においては、次に掲げるその他の加算は算定しない。
⑴口腔衛生管理加算(Ⅰ) 90単位 
⑵口腔衛生管理加算(Ⅱ)110単位</t>
        </r>
      </text>
    </comment>
    <comment ref="B28" authorId="0" shapeId="0" xr:uid="{00000000-0006-0000-0700-000015000000}">
      <text>
        <r>
          <rPr>
            <sz val="10"/>
            <color indexed="81"/>
            <rFont val="ＭＳ Ｐゴシック"/>
            <family val="3"/>
            <charset val="128"/>
            <scheme val="minor"/>
          </rPr>
          <t>次に掲げるいずれの基準にも適合するものとして都道府県知事に届け出た介護医療院が、別に厚生労働大臣が定める療養食を
提供したときは、１日につき３回を限度として、所定単位数6 単位を加算する。
   イ　食事の提供が管理栄養士又は栄養士によって管理されて
        いること。
   ロ　入所者の年齢、心身の状況によって適切な栄養量及び内容 
        の食事の提供が行われていること。
   ハ　食事の提供が、別に厚生労働大臣が定める基準に適合する
        介護医療院において行われていること。</t>
        </r>
      </text>
    </comment>
    <comment ref="B29" authorId="0" shapeId="0" xr:uid="{00000000-0006-0000-0700-000016000000}">
      <text>
        <r>
          <rPr>
            <sz val="10"/>
            <color indexed="81"/>
            <rFont val="ＭＳ Ｐゴシック"/>
            <family val="3"/>
            <charset val="128"/>
            <scheme val="minor"/>
          </rPr>
          <t>別に厚生労働大臣が定める基準に適合する介護医療院であって、
次に掲げる基準のいずれにも適合している場合にあっては、
 １日につき所定単位数10 単位を加算する。
    イ　入所者の家族との連絡調整を行っていること。
    ロ　入所者が利用を希望する指定居宅介護支援事業者に対して、
         入所者に係る居宅サービスに必要な情報の提供及び退所後
          の居宅サービスの利用に関する調整を行っていること。</t>
        </r>
        <r>
          <rPr>
            <sz val="9"/>
            <color indexed="81"/>
            <rFont val="MS P ゴシック"/>
            <family val="3"/>
            <charset val="128"/>
          </rPr>
          <t xml:space="preserve">
</t>
        </r>
      </text>
    </comment>
    <comment ref="B31" authorId="0" shapeId="0" xr:uid="{00000000-0006-0000-0700-000017000000}">
      <text>
        <r>
          <rPr>
            <sz val="10"/>
            <color indexed="81"/>
            <rFont val="ＭＳ Ｐゴシック"/>
            <family val="3"/>
            <charset val="128"/>
            <scheme val="minor"/>
          </rPr>
          <t>入所者の病状が重篤となり救命救急医療が必要となる場合において緊急的な治療管理としての投薬、検査、注射、処置等を行ったときに算定する。
 注)　同一の入所者について１月に１回、連続する３日を限度と
        して算定する。</t>
        </r>
      </text>
    </comment>
    <comment ref="B32" authorId="0" shapeId="0" xr:uid="{00000000-0006-0000-0700-000018000000}">
      <text>
        <r>
          <rPr>
            <sz val="10"/>
            <color indexed="81"/>
            <rFont val="ＭＳ Ｐゴシック"/>
            <family val="3"/>
            <charset val="128"/>
            <scheme val="minor"/>
          </rPr>
          <t xml:space="preserve">別に厚生労働大臣が定める基準に適合しているものとして
都道府県知事に届け出た介護医療院において、別に厚生労働大臣が定める者に対して、専門的な認知症ケアを行った場合は、
当該基準に掲げる区分に従い、１日につき次に掲げる所定単位数を
加算する。
</t>
        </r>
      </text>
    </comment>
    <comment ref="B34" authorId="0" shapeId="0" xr:uid="{00000000-0006-0000-0700-000019000000}">
      <text>
        <r>
          <rPr>
            <sz val="10"/>
            <color indexed="81"/>
            <rFont val="ＭＳ Ｐゴシック"/>
            <family val="3"/>
            <charset val="128"/>
            <scheme val="minor"/>
          </rPr>
          <t>医師が、認知症の行動・心理症状が認められるため、
在宅での生活が困難であり、緊急に入所することが適当であると
判断した者に対し、介護医療院サービスを行った場合は、
入所した日から起算して７日を限度として、１日につき所定単位数
200 単位を加算する。</t>
        </r>
      </text>
    </comment>
    <comment ref="C35" authorId="0" shapeId="0" xr:uid="{00000000-0006-0000-0700-00001A000000}">
      <text>
        <r>
          <rPr>
            <sz val="10"/>
            <color indexed="81"/>
            <rFont val="ＭＳ Ｐゴシック"/>
            <family val="3"/>
            <charset val="128"/>
            <scheme val="minor"/>
          </rPr>
          <t>別に厚生労働大臣が定める施設基準に適合しているものと
して都道府県知事に届け出た介護医療院において、
入所者に対して、介護医療院サービスを行った場合に、
当該施設基準に掲げる区分に従い、入所者の要介護状態区分に応じて、それぞれ１日につき次に掲げる所定単位数を加算する。
　ただし、次に掲げるいずれかの加算を算定している場合においては、次に掲げるその他の加算は算定しない。
　⑴ 重度認知症疾患療養体制加算（Ⅰ）
　　㈠要介護１又は要介護２　　　　　　　　 140 単位
　　㈡要介護３、要介護４又は要介護５ 　　40 単位</t>
        </r>
      </text>
    </comment>
    <comment ref="C36" authorId="0" shapeId="0" xr:uid="{00000000-0006-0000-0700-00001B000000}">
      <text>
        <r>
          <rPr>
            <sz val="10"/>
            <color indexed="81"/>
            <rFont val="ＭＳ Ｐゴシック"/>
            <family val="3"/>
            <charset val="128"/>
            <scheme val="minor"/>
          </rPr>
          <t>　㈠要介護１又は要介護２　　　　　　　 　200 単位
　㈡要介護３、要介護４又は要介護５　 100 単位</t>
        </r>
      </text>
    </comment>
    <comment ref="B37" authorId="0" shapeId="0" xr:uid="{10B678D2-CD92-4BC5-BF4B-985724761293}">
      <text>
        <r>
          <rPr>
            <sz val="10"/>
            <color indexed="81"/>
            <rFont val="ＭＳ Ｐゴシック"/>
            <family val="3"/>
            <charset val="128"/>
            <scheme val="minor"/>
          </rPr>
          <t xml:space="preserve">別に厚生労働大臣が定める基準に適合しているものとして都道府県知事に届け出た介護医療院において、継続的に入所者ごとの排せつに係る支援を行った場合は、当該基準に掲げる区分に従い、１月につき所定単位数を加算する。ただし、次に掲げるいずれかの加算を算定している場合においては、
次に掲げるその他の加算は算定しない。 
⑴排せつ支援加算(Ⅰ) 10単位
⑵排せつ支援加算(Ⅱ) 15単位
⑶排せつ支援加算(Ⅲ) 20単位
</t>
        </r>
      </text>
    </comment>
    <comment ref="B41" authorId="0" shapeId="0" xr:uid="{D972F9C3-22DD-4FA6-BB1F-C86B8ECC59E0}">
      <text>
        <r>
          <rPr>
            <sz val="10"/>
            <color indexed="81"/>
            <rFont val="MS P ゴシック"/>
            <family val="3"/>
            <charset val="128"/>
          </rPr>
          <t xml:space="preserve"> 別に厚生労働大臣が定める基準に適合しているものとして
都道府県知事に届け出た介護医療院において、継続的に入所
者ごとの自立支援を行った場合は、１月につき所定単位300単位を加算する。</t>
        </r>
      </text>
    </comment>
    <comment ref="B42" authorId="0" shapeId="0" xr:uid="{237C9823-681F-4D19-8EEF-0DB32011A21B}">
      <text>
        <r>
          <rPr>
            <sz val="10"/>
            <color indexed="81"/>
            <rFont val="MS P ゴシック"/>
            <family val="3"/>
            <charset val="128"/>
          </rPr>
          <t>科学的介護推進体制加算
別に厚生労働大臣が定める基準に適合しているものとして
都道府県知事に届け出た介護医療院が、入所者に対し介護医
療院サービスを行った場合は、当該基準に掲げる区分に従い、
１月につき次に掲げる所定単位数を加算する。
ただし、次に掲げるいずれかの加算を算定している場合においては、
次に掲げるその他の加算は算定しない。
⑴科学的介護推進体制加算(Ⅰ) 40単位
⑵科学的介護推進体制加算(Ⅱ) 60単位</t>
        </r>
      </text>
    </comment>
    <comment ref="B44" authorId="0" shapeId="0" xr:uid="{5F1E1CF9-3E43-4865-AFDB-7A689A2C4D15}">
      <text>
        <r>
          <rPr>
            <sz val="10"/>
            <color indexed="81"/>
            <rFont val="ＭＳ Ｐゴシック"/>
            <family val="3"/>
            <charset val="128"/>
            <scheme val="minor"/>
          </rPr>
          <t xml:space="preserve"> 別に厚生労働大臣が定める基準に適合している介護医療院が、
次に掲げるいずれの基準にも適合する入所者に対し、
介護医療院サービスを行った場合にあっては、
入所した日から起算して 90日以内の期間に限り、
長期療養生活移行加算として、１日につき所定単位数を加算する。
イ 療養病床に１年以上入院していた者であること。
ロ 介護医療院への入所に当たって、当該入所者及びその家族等が、日常生活上の世話を行うことを目的とする施設としての取組について説明を受けていること。</t>
        </r>
      </text>
    </comment>
    <comment ref="B45" authorId="0" shapeId="0" xr:uid="{372649CD-AE03-4930-A074-4D40CC5A17B3}">
      <text>
        <r>
          <rPr>
            <b/>
            <sz val="9"/>
            <color indexed="81"/>
            <rFont val="MS P ゴシック"/>
            <family val="3"/>
            <charset val="128"/>
          </rPr>
          <t xml:space="preserve"> </t>
        </r>
        <r>
          <rPr>
            <sz val="10"/>
            <color indexed="81"/>
            <rFont val="MS P ゴシック"/>
            <family val="3"/>
            <charset val="128"/>
          </rPr>
          <t>別に厚生労働大臣が定める施設基準に適合しているものとして
都道府県知事に届け出た介護医療院が、入所者に対し、介護医
療院サービスを行った場合、安全対策体制加算として、入所初日
に限り所定単位数を加算する。</t>
        </r>
      </text>
    </comment>
    <comment ref="B46" authorId="0" shapeId="0" xr:uid="{B8E58B66-CD5C-4DF1-B8CB-F3C1281D14CB}">
      <text>
        <r>
          <rPr>
            <sz val="10"/>
            <color indexed="81"/>
            <rFont val="ＭＳ Ｐゴシック"/>
            <family val="3"/>
            <charset val="128"/>
            <scheme val="minor"/>
          </rPr>
          <t>別に厚生労働大臣が定める基準に適合しているものとして
都道府県知事に届け出た介護医療院が、入所者に対し
介護医療院サービスを行った場合は、当該基準に掲げる
区分に従い、１日につき次に掲げる所定単位数を加算する。
　ただし、次に掲げるいずれかの加算を算定している場合に
おいては、次に掲げるその他の加算は算定しない。
　⑴ サービス提供体制強化加算（Ⅰ）　　22 単位
　⑵ サービス提供体制強化加算（Ⅱ）　 　18単位
　⑶ サービス提供体制強化加算（Ⅲ）　 　　6単位</t>
        </r>
      </text>
    </comment>
    <comment ref="B49" authorId="0" shapeId="0" xr:uid="{2666CFA6-1366-4B70-8198-F27695072C25}">
      <text>
        <r>
          <rPr>
            <sz val="10"/>
            <color indexed="81"/>
            <rFont val="ＭＳ Ｐゴシック"/>
            <family val="3"/>
            <charset val="128"/>
            <scheme val="minor"/>
          </rPr>
          <t xml:space="preserve">別に厚生労働大臣が定める基準に適合している介護職員の
賃金の改善等を実施しているものとして都道府県知事に届け出た
介護医療院が、入所者に対し、介護医療院サービスを行った場合は、
当該基準に掲げる区分に従い、次に掲げる単位数を所定単位数に加算する。
　ただし、次に掲げるいずれかの加算を算定している場合においては、次に掲げるその他の加算は算定しない。
　⑴ 介護職員処遇改善加算（Ⅰ） イからヰまでにより算定した
　　　単位数の1000 分の26 に相当する単位数
　⑵ 介護職員処遇改善加算（Ⅱ） イからヰまでにより算定した
　　　単位数の1000 分の19 に相当する単位数
　⑶ 介護職員処遇改善加算（Ⅲ） イからヰまでにより算定した
　　　単位数の1000 分の10 に相当する単位数
</t>
        </r>
      </text>
    </comment>
    <comment ref="B54" authorId="0" shapeId="0" xr:uid="{00000000-0006-0000-0700-000020000000}">
      <text>
        <r>
          <rPr>
            <sz val="10"/>
            <color indexed="81"/>
            <rFont val="ＭＳ Ｐゴシック"/>
            <family val="3"/>
            <charset val="128"/>
            <scheme val="minor"/>
          </rPr>
          <t>別に厚生労働大臣が定める基準に適合している介護職員等の
賃金の改善等を実施しているものとして都道府県知事に届け出た
介護医療院が、入所者に対し、介護医療院サービスを行った場合は、
当該基準に掲げる区分に従い、次に掲げる単位数を所定単位数に
加算する。
　ただし、次に掲げるいずれかの加算を算定している場合においては、次に掲げるその他の加算は算定しない。
（一）　介護職員等特定処遇改善加算（Ⅰ）
　　　　イからヰまでにより算定した単位数の1000 分の15 に
　　　　相当する単位数
（二）　介護職員等特定処遇改善加算（Ⅱ）　
　　　　イからヰまでにより算定した単位数の1000 分の11 に
　　　　相当する単位数</t>
        </r>
      </text>
    </comment>
    <comment ref="B57" authorId="0" shapeId="0" xr:uid="{D5AC2FDF-DB96-4BDB-ADB6-215EDED7DB90}">
      <text>
        <r>
          <rPr>
            <sz val="10"/>
            <color indexed="81"/>
            <rFont val="ＭＳ Ｐゴシック"/>
            <family val="3"/>
            <charset val="128"/>
            <scheme val="major"/>
          </rPr>
          <t>別に厚生労働大臣が定める基準を満たさない場合は、安全管理体制未実施減算として、１日につき５単位を所定単位数から減算する。</t>
        </r>
      </text>
    </comment>
    <comment ref="B58" authorId="0" shapeId="0" xr:uid="{00000000-0006-0000-0700-000021000000}">
      <text>
        <r>
          <rPr>
            <sz val="10"/>
            <color indexed="81"/>
            <rFont val="ＭＳ Ｐゴシック"/>
            <family val="3"/>
            <charset val="128"/>
            <scheme val="major"/>
          </rPr>
          <t>夜勤を行う職員の勤務条件基準を満たさない場合に減算
　-25 単位／日</t>
        </r>
      </text>
    </comment>
    <comment ref="B59" authorId="0" shapeId="0" xr:uid="{00000000-0006-0000-0700-000022000000}">
      <text>
        <r>
          <rPr>
            <sz val="10"/>
            <color indexed="81"/>
            <rFont val="ＭＳ Ｐゴシック"/>
            <family val="3"/>
            <charset val="128"/>
            <scheme val="minor"/>
          </rPr>
          <t>療養室に隣接する廊下の幅が、内法による測定で、
1.8m 未満（両側に療養室がある場合は2.7m未満）の場合に減算
　-25 単位／日</t>
        </r>
      </text>
    </comment>
    <comment ref="B60" authorId="0" shapeId="0" xr:uid="{BBA53650-38AB-4E2B-A772-9F849FD5E357}">
      <text>
        <r>
          <rPr>
            <sz val="10"/>
            <color indexed="81"/>
            <rFont val="ＭＳ Ｐゴシック"/>
            <family val="3"/>
            <charset val="128"/>
            <scheme val="minor"/>
          </rPr>
          <t>療養室に係る床面積の合計÷入所定員の数が８未満の場合に減算
　-25 単位／日</t>
        </r>
      </text>
    </comment>
    <comment ref="B61" authorId="0" shapeId="0" xr:uid="{B862068C-E379-42CB-97A4-18F1450A47D2}">
      <text>
        <r>
          <rPr>
            <b/>
            <sz val="9"/>
            <color indexed="81"/>
            <rFont val="MS P ゴシック"/>
            <family val="3"/>
            <charset val="128"/>
          </rPr>
          <t xml:space="preserve">栄養管理について、別に厚生労働大臣が定める基準を満たさない場合は、１日につき14単位を所定単位数から減算する。
</t>
        </r>
        <r>
          <rPr>
            <sz val="9"/>
            <color indexed="81"/>
            <rFont val="MS P ゴシック"/>
            <family val="3"/>
            <charset val="128"/>
          </rPr>
          <t xml:space="preserve">
</t>
        </r>
      </text>
    </comment>
    <comment ref="B69" authorId="0" shapeId="0" xr:uid="{4A03D0F1-DB3B-407D-BA16-028BEE46793D}">
      <text>
        <r>
          <rPr>
            <sz val="10"/>
            <color indexed="81"/>
            <rFont val="ＭＳ Ｐゴシック"/>
            <family val="3"/>
            <charset val="128"/>
            <scheme val="minor"/>
          </rPr>
          <t>【別表第二　１項】感染対策指導管理
　別に厚生労働大臣が定める基準を満たす指定短期入所療養介護事業所（指定居宅サービス基準第142 条第１項に規定する指定短期入所療養介護事業所をいい、介護老人保健施設、病院、診療所及び老人性認知症疾患療養病棟であるものを除く。以下この表において同じ。）、介護医療院又は指定介護予防短期入所療養介護事業所（介護予防サービス基準第187 条第１項に規定する指定介護予防短期入所療養介護事業所をいい、介護老人保健施設、病院、診療所及び老人性認知症疾患療養病棟であるものを除く。以下この表において同じ。）において、常時感染防止対策を行う場合に、指定短期入所療養介護、介護医療院サービス（介護保険法第48 条第１項第３号に規定する介護医療院サービスをいう。以下同じ。）又は介護予防指定短期入所療養介護を受けている利用者又は入所者について、所定単位数を算定する。</t>
        </r>
      </text>
    </comment>
    <comment ref="C70" authorId="0" shapeId="0" xr:uid="{BA411AB8-E478-4DDD-92CB-8791BFCA5EDF}">
      <text>
        <r>
          <rPr>
            <sz val="10"/>
            <color indexed="81"/>
            <rFont val="MS P ゴシック"/>
            <family val="3"/>
            <charset val="128"/>
          </rPr>
          <t>別に厚生労働大臣が定める基準を満たす指定短期入所療養介護事業所、介護医療院又は指定介護予防短期入所療養介護事業所において、常時褥瘡対策を行う場合に介護医療院サービス又は指定介護予防短期入所療養介護を受けている利用者又は入所者（日常生活の自立度が低い者に限る。）について、１日につき所定単位数を算定する</t>
        </r>
      </text>
    </comment>
    <comment ref="C71" authorId="0" shapeId="0" xr:uid="{BA9DBA1C-FBE9-447F-84B6-9363BFC04EEC}">
      <text>
        <r>
          <rPr>
            <sz val="10"/>
            <color indexed="81"/>
            <rFont val="ＭＳ Ｐゴシック"/>
            <family val="3"/>
            <charset val="128"/>
          </rPr>
          <t xml:space="preserve">褥瘡対策指導管理(Ⅰ)に係る別に厚生労働大臣が定める基準を満たす介護医療院において、入所者ごとの褥瘡対策等に係る情報を厚生労働省に提出し、褥瘡対策の実施に当たって、当該情報その他褥瘡対策の適切かつ有効な実施のために必要な情報を活用し、かつ、施設入所時に褥瘡が発生するリスクがあるとされた入所者について、褥瘡の発生のない場合に、１月につき所定単位数を算定する。
</t>
        </r>
      </text>
    </comment>
    <comment ref="B72" authorId="0" shapeId="0" xr:uid="{00000000-0006-0000-0700-000026000000}">
      <text>
        <r>
          <rPr>
            <sz val="10"/>
            <color indexed="81"/>
            <rFont val="ＭＳ Ｐゴシック"/>
            <family val="3"/>
            <charset val="128"/>
            <scheme val="minor"/>
          </rPr>
          <t>【別表第二　３項】初期入所診療管理
介護医療院において、別に厚生労働大臣が定める基準に従い、入所者に対して、その入所に際して医師が必要な診察、検査等を行い、診療方針を定めて文書で説明を行った場合に、入所中１回（診療方針に重要な変更があった場合にあっては、２回）を限度として所定単位数を算定する</t>
        </r>
        <r>
          <rPr>
            <b/>
            <sz val="9"/>
            <color indexed="81"/>
            <rFont val="MS P ゴシック"/>
            <family val="3"/>
            <charset val="128"/>
          </rPr>
          <t>。</t>
        </r>
      </text>
    </comment>
    <comment ref="B73" authorId="0" shapeId="0" xr:uid="{00000000-0006-0000-0700-000027000000}">
      <text>
        <r>
          <rPr>
            <sz val="10"/>
            <color indexed="81"/>
            <rFont val="ＭＳ Ｐゴシック"/>
            <family val="3"/>
            <charset val="128"/>
            <scheme val="minor"/>
          </rPr>
          <t>【別表第二　４項】重度療養管理
　指定短期入所療養介護事業所において、指定短期入所
療養介護を受けている利用者（要介護４又は要介護５に該当する者に限る。）であって別に厚生労働大臣が定める状態にあるものに対して、計画的な医学的管理を継続して行い、
かつ療養上必要な処置を行った場合に、所定単位数を算定する。</t>
        </r>
      </text>
    </comment>
    <comment ref="B74" authorId="0" shapeId="0" xr:uid="{00000000-0006-0000-0700-000028000000}">
      <text>
        <r>
          <rPr>
            <sz val="10"/>
            <color indexed="81"/>
            <rFont val="ＭＳ Ｐゴシック"/>
            <family val="3"/>
            <charset val="128"/>
            <scheme val="minor"/>
          </rPr>
          <t>【別表第二　５項】特定施設管理
　指定短期入所療養介護事業所、介護医療院又は指定介護予防短期入所療養介護事業所において、後天性免疫不全症候群の病原体に感染している利用者又は入所者に対して、指定短期入所療養介護、介護医療院サービス又は指定介護予防短期入所療養介護を行う場合に、所定単位数を算定する。
個室又は２人部屋において、後天性免疫不全症候群の病原体に感染している利用者又は入所者に対して、指定短期入所療養介護、介護医療院サービス又は指定介護予防短期入所療養介護を行う場合は、所定単位数に個室の場合にあっては１日につき300 単位、２人部屋の場合にあっては１日につき150 単位を加算する。</t>
        </r>
      </text>
    </comment>
    <comment ref="B77" authorId="0" shapeId="0" xr:uid="{00000000-0006-0000-0700-000029000000}">
      <text>
        <r>
          <rPr>
            <sz val="10"/>
            <color indexed="81"/>
            <rFont val="ＭＳ Ｐゴシック"/>
            <family val="3"/>
            <charset val="128"/>
            <scheme val="minor"/>
          </rPr>
          <t>【別表第二　６項】重症皮膚潰瘍管理指導
　別に厚生労働大臣が定める基準を満たす指定別に厚生労働大臣が定める施設基準に適合しているものとして都道府県知事に届け出た指定短期入所療養介護事業所、介護医療院又は指定介護予防短期入所療養介護事業所において、指定短期入所療養介護、介護医療院サービス又は指定介護予防短期入所療養介護を受けている利用者又は入所者であって重症皮膚潰瘍を有しているものに対して、計画的な医学的管理を継続して行い、かつ、療養上必要な指導を行った場合に、所定単位数を算定する。</t>
        </r>
      </text>
    </comment>
    <comment ref="B78" authorId="0" shapeId="0" xr:uid="{75B8ACC8-8255-4938-9D7B-FC83DFD81335}">
      <text>
        <r>
          <rPr>
            <sz val="10"/>
            <color indexed="81"/>
            <rFont val="ＭＳ Ｐゴシック"/>
            <family val="3"/>
            <charset val="128"/>
            <scheme val="minor"/>
          </rPr>
          <t>【別表第二　７項】薬剤管理指導
指定短期入所療養介護事業所、介護医療院又は指定介
護予防短期入所療養介護事業所であって、別に厚生労
働大臣が定める施設基準に適合しているものとして都道
府県知事に届け出たものにおいて、指定短期入所療養
介護、介護医療院サービス又は指定介護予防短期入所
療養介護を受けている利用者又は入所者に対して、投
薬又は注射及び薬学的管理指導を行った場合に、週１回
に限り、月に４回を限度として所定単位数を算定する</t>
        </r>
        <r>
          <rPr>
            <b/>
            <sz val="9"/>
            <color indexed="81"/>
            <rFont val="MS P ゴシック"/>
            <family val="3"/>
            <charset val="128"/>
          </rPr>
          <t>。</t>
        </r>
      </text>
    </comment>
    <comment ref="C79" authorId="0" shapeId="0" xr:uid="{F643752F-F2FA-4F72-BC52-0206B55071CC}">
      <text>
        <r>
          <rPr>
            <sz val="10"/>
            <color indexed="81"/>
            <rFont val="ＭＳ Ｐゴシック"/>
            <family val="3"/>
            <charset val="128"/>
            <scheme val="minor"/>
          </rPr>
          <t xml:space="preserve">介護医療院において、入所者ごとの服薬情報等の情報を厚生労働省に提出し、処方の実施に当たって、当該情報その他薬物療法の適切かつ有効な実施のために必要な情報を活用した場合に、１月につき所定単位数に20単位を加算する。
</t>
        </r>
      </text>
    </comment>
    <comment ref="C80" authorId="0" shapeId="0" xr:uid="{650AC30D-536D-46E7-B7F9-4091202C055B}">
      <text>
        <r>
          <rPr>
            <sz val="10"/>
            <color indexed="81"/>
            <rFont val="ＭＳ Ｐゴシック"/>
            <family val="3"/>
            <charset val="128"/>
            <scheme val="minor"/>
          </rPr>
          <t>疼痛緩和のために別に厚生労働大臣が定める特別な薬剤の投薬又は注射が行われている利用者に対して、当該薬剤の使用に関する必要な薬学的管理指導を行った場合は、
１回につき所定単位数に50 単位を加算する。</t>
        </r>
      </text>
    </comment>
    <comment ref="B81" authorId="0" shapeId="0" xr:uid="{00000000-0006-0000-0700-00002C000000}">
      <text>
        <r>
          <rPr>
            <sz val="10"/>
            <color indexed="81"/>
            <rFont val="ＭＳ Ｐゴシック"/>
            <family val="3"/>
            <charset val="128"/>
            <scheme val="minor"/>
          </rPr>
          <t>【別表第二　８項】医学情報提供
　医学情報提供（Ⅰ）については、併設型小規模介護医療院（介護医療院の人員、施設及び設備並びに運営に関
する基準（平成30 年厚生労働省令第５号）第４条第７項に規定する併設型小規模介護医療院をいう。以下こ
の号において同じ。）である指定短期入所療養介護事業所、介護医療院若しくは指定介護予防短期入所療養介
護事業所が、指定短期入所療養介護、介護医療院サービス若しくは指定介護予防短期入所療養介護を受けて
いる利用者若しくは入所者の退所時に、診療に基づき、別の診療所での診療の必要を認め、別の診療所に対し
て、当該利用者若しくは入所者の同意を得て、当該利用者若しくは入所者の診療状況を示す文書を添えて当該
利用者若しくは入所者の紹介を行った場合又は介護医療院（併設型小規模介護医療院を除く。）である指定短期
入所療養介護事業所、介護医療院若しくは指定介護予防短期入所療養介護事業所が、指定短期入所療養介護、
介護医療院サービス若しくは指定介護予防短期入所療養介護を受けている利用者若しくは入所者の退所時に、
診療に基づき、別の病院での診療の必要を認め、別の病院に対して、当該利用者若しくは入所者の同意を得て、
当該利用者若しくは入所者の診療状況を示す文書を添えて当該利用者若しくは入所者の紹介を行った場合に、
所定単位数を算定する。
　医学情報提供（Ⅱ）については、併設型小規模介護医療院である指定短期入所療養介護事業所、介護医療院
若しくは指定介護予防短期入所療養介護事業所が、指定短期入所療養介護、介護医療院サービス若しくは指
定介護予防短期入所療養介護を受けている利用者若しくは入所者の退所時に、診療に基づき、病院での診療
の必要を認め、病院に対して、当該利用者若しくは入所者の同意を得て、当該利用者若しくは入所者の診療状
況を示す文書を添えて当該利用者若しくは入所者の紹介を行った場合又は介護医療院（併設型小規模介護医療
院を除く。）である指定短期入所療養介護事業所、介護医療院若しくは指定介護予防短期入所療養介護事業所
が、指定短期入所療養介護、介護医療院サービス若しくは指定介護予防短期入所療養介護を受けている利用
者若しくは入所者の退所時に、診療に基づき、診療所での診療の必要を認め、診療所に対して、当該利用者若し
くは入所者の同意を得て、当該利用者若しくは入所者の診療状況を示す文書を添えて当該利用者若しくは入所者
の紹介を行った場合に所定単位数を算定する。</t>
        </r>
      </text>
    </comment>
    <comment ref="B83" authorId="0" shapeId="0" xr:uid="{00000000-0006-0000-0700-00002D000000}">
      <text>
        <r>
          <rPr>
            <sz val="10"/>
            <color indexed="81"/>
            <rFont val="ＭＳ Ｐゴシック"/>
            <family val="3"/>
            <charset val="128"/>
            <scheme val="minor"/>
          </rPr>
          <t>【別表第二　９項】理学療法
　理学療法（Ⅰ）については、別に厚生労働大臣が定める施設基準に適合しているものとして都道府県知事に届け出た指定短期入所療養介護事業所、介護医療院又は指定介護予防短期入所療養介護事業所において、指定短期入所療養介護、介護医療院サービス又は指定介護予防短期入所療養介護を受けている利用者又は入所者に対して、理学療法を個別に行った場合に、所定単位数を
算定し、理学療法（Ⅱ）については、それ以外の指定短期入所療養介護事業所、介護医療院又は指定介護予防短期入所療養介護事業所において、指定短期入所療養介護、介護医療院サービス又は指定介護予防短期入所療養介護を受けている利用者又は入所者に対して、理学療法を個別に行った場合に算定する。
　理学療法については、利用者又は入所者１人につき１日３回（作業療法及び言語聴覚療法と併せて１日４回）に限り算定するものとし、その利用を開始又は入所した日から起算して４月を超えた期間において、１月に合計11回以上行った場合は、11 回目以降のものについては所定単位数の100 分の70 に相当する単位数を算定する。</t>
        </r>
      </text>
    </comment>
    <comment ref="C84" authorId="0" shapeId="0" xr:uid="{00000000-0006-0000-0700-00002E000000}">
      <text>
        <r>
          <rPr>
            <sz val="10"/>
            <color indexed="81"/>
            <rFont val="ＭＳ Ｐゴシック"/>
            <family val="3"/>
            <charset val="128"/>
            <scheme val="minor"/>
          </rPr>
          <t>【別表第二　９,10 項】理学療法・作業療法
　理学療法（Ⅰ）に係る別に厚生労働大臣が定める施設基準に適合しているものとして都道府県知事に届け出た指定短期入所療養介護事業所又は指定介護予防短期入所療養介護事業所において、医師、看護師、理学療法士等が共同してリハビリテーション計画を策定し、当該リハビリテーション計画に基づき理学療法（Ⅰ）を算定すべき理学療法を行った場合に、利用者が理学療法を必要とする状態の原因となった疾患等の治療等のために入院若しくは入所した病院、診療所若しくは介護保険施設を退院若しくは退所した日又は法第27 条第１項に基づく要介護
認定若しくは法第32 条第１項に基づく要支援認定を受けた日から初めて利用した月に限り、１月に１回を限度として所定単位数に480 単位を加算する。
　ただし、作業療法の注３の規定により加算する場合はこの限りではない</t>
        </r>
        <r>
          <rPr>
            <b/>
            <sz val="9"/>
            <color indexed="81"/>
            <rFont val="MS P ゴシック"/>
            <family val="3"/>
            <charset val="128"/>
          </rPr>
          <t>。</t>
        </r>
      </text>
    </comment>
    <comment ref="C85" authorId="0" shapeId="0" xr:uid="{00000000-0006-0000-0700-00002F000000}">
      <text>
        <r>
          <rPr>
            <sz val="10"/>
            <color indexed="81"/>
            <rFont val="ＭＳ Ｐゴシック"/>
            <family val="3"/>
            <charset val="128"/>
            <scheme val="minor"/>
          </rPr>
          <t>指定短期入所療養介護事業所又は指定介護予防短期入所療養介護事業所において、理学療法士等が指定短期入所療養介護又は指定介護予防短期入所療養介護を行う療養棟（指定施設サービス等の費用の額の算定に関する基準（平成12 年厚生省告示第21 号）別表の４のイからヘまでの注１に規定する療養棟をいう。10 において同じ。）において、基本的動作能力又は応用的動作能力若しくは社会的適応能力の回復を図るための日常動作
の訓練及び指導を月２回以上行った場合は、１月に１回を限度として所定単位数に300 単位を加算する。
　ただし、作業療法の注４の規定により加算する場合はこの限りでない。なお、当該加算の対象となる訓練及び指導を行った日については、所定単位数は算定しない。</t>
        </r>
        <r>
          <rPr>
            <sz val="9"/>
            <color indexed="81"/>
            <rFont val="MS P ゴシック"/>
            <family val="3"/>
            <charset val="128"/>
          </rPr>
          <t xml:space="preserve">
</t>
        </r>
      </text>
    </comment>
    <comment ref="C86" authorId="0" shapeId="0" xr:uid="{00000000-0006-0000-0700-000030000000}">
      <text>
        <r>
          <rPr>
            <sz val="10"/>
            <color indexed="81"/>
            <rFont val="ＭＳ Ｐゴシック"/>
            <family val="3"/>
            <charset val="128"/>
            <scheme val="minor"/>
          </rPr>
          <t>指定短期入所療養介護事業所、介護医療院又は指定介護予防短期入所療養介護事業所において、専従する常勤の理学療法士を２名以上配置し、理学療法（Ⅰ）を算定すべき理学療法を行った場合に、１回につき35 単位を所定単位数に加算する。</t>
        </r>
      </text>
    </comment>
    <comment ref="B88" authorId="0" shapeId="0" xr:uid="{00000000-0006-0000-0700-000031000000}">
      <text>
        <r>
          <rPr>
            <sz val="10"/>
            <color indexed="81"/>
            <rFont val="ＭＳ Ｐゴシック"/>
            <family val="3"/>
            <charset val="128"/>
            <scheme val="minor"/>
          </rPr>
          <t>【別表第二　10 項】作業療法
別に厚生労働大臣が定める施設基準に適合しているものとして都道府県知事に届け出た指定短期入所療養介護事業所、介護医療院又は指定介護予防短期入所療養介護事業所において、指定短期入所療養介護、介護医療院サービス又は指定介護予防短期入所療養介護を受けている利用者又は入所者に対して、作業療法を個別に行った場合に、所定単位数を算定する。
作業療法については、利用者又は入所者１人につき１日３回（理学療法及び言語聴覚療法と合わせて１日４回）に限り算定するものとし、その利用を開始又は入所した日から起算して４月を超えた期間において、１月に合計11 回以上行った場合は、11 回目以降のものについては、所定単位数の100 分の70 に相当する単位数を算定する。</t>
        </r>
      </text>
    </comment>
    <comment ref="C89" authorId="0" shapeId="0" xr:uid="{00000000-0006-0000-0700-000032000000}">
      <text>
        <r>
          <rPr>
            <sz val="10"/>
            <color indexed="81"/>
            <rFont val="ＭＳ Ｐゴシック"/>
            <family val="3"/>
            <charset val="128"/>
            <scheme val="minor"/>
          </rPr>
          <t>【別表第二　９,10 項】理学療法・作業療法
　作業療法に係る別に厚生労働大臣が定める施設基準に適合しているものとして都道府県知事に届け出た指定短期入所療養介護事業所又は指定介護予防短期入所療養介護事業所において、医師、看護師、作業療法士等が共同してリハビリテーション計画を策定し、当該リハビリテーション計画に基づき作業療法を算定すべき作業療法を行った場合に、利用者が作業療法を必要とする状態の原因となった疾患等の治療等のために入院若し
くは入所した病院、診療所若しくは介護保険施設を退院若しくは退所した日又は法第27 条第１項に基づく要介護認定若しくは法第32 条第１項に基づく要支援認定を受けた日から初めて利用した月に限り、１月に１回を限度として所定単位数に480 単位を加算する。
　ただし、理学療法の規定により加算する場合はこの限りではない。</t>
        </r>
      </text>
    </comment>
    <comment ref="C90" authorId="0" shapeId="0" xr:uid="{00000000-0006-0000-0700-000033000000}">
      <text>
        <r>
          <rPr>
            <sz val="10"/>
            <color indexed="81"/>
            <rFont val="ＭＳ Ｐゴシック"/>
            <family val="3"/>
            <charset val="128"/>
            <scheme val="minor"/>
          </rPr>
          <t>指定短期入所療養介護事業所又は指定介護予防短期入所療養介護事業所において、作業療法士等が指定短期入所療養介護又は指定介護予防短期入所療養介護を行う療養棟（指定施設サービス等の費用の額の算定に関する基準（平成12 年厚生省告示第21 号）別表の４のイからヘまでの注１に規定する療養棟をいう。10 において同じ。）において、基本的動作能力又は応用的動作能力若しくは社会的適応能力の回復を図るための日常動作
の訓練及び指導を月２回以上行った場合は、１月に１回を限度として所定単位数に300 単位を加算する。
　ただし、理学療法の規定により加算する場合はこの限りでない。なお、当該加算の対象となる訓練及び指導を行った日については、所定単位数は算定しない。</t>
        </r>
        <r>
          <rPr>
            <sz val="9"/>
            <color indexed="81"/>
            <rFont val="MS P ゴシック"/>
            <family val="3"/>
            <charset val="128"/>
          </rPr>
          <t xml:space="preserve">
</t>
        </r>
      </text>
    </comment>
    <comment ref="C91" authorId="0" shapeId="0" xr:uid="{00000000-0006-0000-0700-000034000000}">
      <text>
        <r>
          <rPr>
            <sz val="10"/>
            <color indexed="81"/>
            <rFont val="ＭＳ Ｐゴシック"/>
            <family val="3"/>
            <charset val="128"/>
            <scheme val="major"/>
          </rPr>
          <t>指定短期入所療養介護事業所、介護医療院又は指定介護予防短期入所療養介護事業所において、専従する常勤の作業療法士を２名以上配置し、作業療法を算定すべき作業療法を行った場合に、１回につき35 単位を所定単位数に加算する。</t>
        </r>
      </text>
    </comment>
    <comment ref="B92" authorId="0" shapeId="0" xr:uid="{00000000-0006-0000-0700-000035000000}">
      <text>
        <r>
          <rPr>
            <sz val="10"/>
            <color indexed="81"/>
            <rFont val="ＭＳ Ｐゴシック"/>
            <family val="3"/>
            <charset val="128"/>
            <scheme val="minor"/>
          </rPr>
          <t>【別表第二　11 項】言語聴覚療法
　別に厚生労働大臣が定める施設基準に適合しているもの
として都道府県知事に届け出た指定短期入所療養介護事業所、介護医療院又は指定介護予防短期入所療養介護事業所において、指定短期入所療養介護、介護医療院サービス又は指定介護予防短期入所療養介護を受けている利用者又は入所者に対して、言語聴覚療法を個別に行った場合に、所定単位数を算定する言語聴覚療法については、利用者又は入所者１人につき１日３回（理学療法及び作業療法と併せて１日４回）に限り算定するものとし、その利用を開始又は入所した日から起算して４月を超えた期間において、１月に合計11 回以上行った場合は、11 回目以降のものについては、所定単位数の100 分の70 に相当する単位数を算定する。　</t>
        </r>
      </text>
    </comment>
    <comment ref="C93" authorId="0" shapeId="0" xr:uid="{00000000-0006-0000-0700-000036000000}">
      <text>
        <r>
          <rPr>
            <sz val="10"/>
            <color indexed="81"/>
            <rFont val="ＭＳ Ｐゴシック"/>
            <family val="3"/>
            <charset val="128"/>
            <scheme val="minor"/>
          </rPr>
          <t>指定短期入所療養介護事業所、介護医療院又は指定介護予防短期入所療養介護事業所において、専従する常勤の言語聴覚士を２名以上配置して言語聴覚療法を行った場合に、
１回につき35 単位を所定単位数に加算する。</t>
        </r>
      </text>
    </comment>
    <comment ref="B94" authorId="0" shapeId="0" xr:uid="{00000000-0006-0000-0700-000037000000}">
      <text>
        <r>
          <rPr>
            <sz val="10"/>
            <color indexed="81"/>
            <rFont val="ＭＳ Ｐゴシック"/>
            <family val="3"/>
            <charset val="128"/>
            <scheme val="minor"/>
          </rPr>
          <t>【別表第二　12 項】集団コミュニケーション療法
　別に厚生労働大臣が定める施設基準に適合しているもの
として都道府県知事に届け出た指定短期入所療養介護
事業所、介護医療院又は指定介護予防短期入所療養介
護事業所において、指定短期入所療養介護、介護医療
院サービス又は指定介護予防短期入所療養介護を受け
ている利用者又は入所者に対して、集団コミュニケーション療法を行った場合に、所定単位数を算定する。
集団コミュニケーション療法については、利用者又は入所者１人につき１日３回に限り算定するものとする。</t>
        </r>
      </text>
    </comment>
    <comment ref="B95" authorId="0" shapeId="0" xr:uid="{00000000-0006-0000-0700-000038000000}">
      <text>
        <r>
          <rPr>
            <sz val="10"/>
            <color indexed="81"/>
            <rFont val="ＭＳ Ｐゴシック"/>
            <family val="3"/>
            <charset val="128"/>
            <scheme val="minor"/>
          </rPr>
          <t>【別表第二　13 項】摂食機能療法
　指定短期入所療養介護事業所、介護医療院又は指定介護予防短期入所療養介護事業所において、指定短期入所療養介護、介護医療院サービス又は指定介護予防短期入所療養介護を受けている利用者又は入所者であって摂食機能障害を有するものに対して、摂食機能療法を30 分以上行った場合に、１月に４回を限度として所定単位数を算定する。</t>
        </r>
      </text>
    </comment>
    <comment ref="B96" authorId="0" shapeId="0" xr:uid="{00000000-0006-0000-0700-000039000000}">
      <text>
        <r>
          <rPr>
            <sz val="10"/>
            <color indexed="81"/>
            <rFont val="ＭＳ Ｐゴシック"/>
            <family val="3"/>
            <charset val="128"/>
            <scheme val="minor"/>
          </rPr>
          <t>【別表第二　14 項】短期集中リハビリテーション
　介護医療院において、介護医療院サービスを受けている入所者に対して、医師又は医師の指示を受けた理学療法士、作業療法士又は言語聴覚士が、その入所した日から起算して３月以内の期間に集中的に理学療法、作業療法、言語聴覚療法又は摂食機能療法を行った場合に、所定単位数を算定する。
　ただし、理学療法、作業療法、言語聴覚療法又は摂食機能療法を算定する場合は、算定しない。</t>
        </r>
      </text>
    </comment>
    <comment ref="B97" authorId="0" shapeId="0" xr:uid="{00000000-0006-0000-0700-00003A000000}">
      <text>
        <r>
          <rPr>
            <sz val="10"/>
            <color indexed="81"/>
            <rFont val="ＭＳ Ｐゴシック"/>
            <family val="3"/>
            <charset val="128"/>
            <scheme val="minor"/>
          </rPr>
          <t>【別表第二　15 項】短期集中リハビリテーション
　別に厚生労働大臣が定める施設基準に適合しているものとして都道府県知事に届け出た介護医療院において、介護医療院サービスを受けている入所者のうち、認知症であると医師が判断した者であって、リハビリテーションによって生活機能の改善が見込まれると判断されたものに対して、医師又は医師の指示を受けた理学療法士、作業療法士若しくは言語聴覚士が、その入所した日から起算して３月以内の期間に集中的なリハビリテーションを個別に行った場合に、１週に３日を限度として所定単位数を算定する。</t>
        </r>
      </text>
    </comment>
    <comment ref="B98" authorId="0" shapeId="0" xr:uid="{0183790D-DCCC-4F66-B62F-1F8DB56FB060}">
      <text>
        <r>
          <rPr>
            <sz val="10"/>
            <color indexed="81"/>
            <rFont val="ＭＳ Ｐゴシック"/>
            <family val="3"/>
            <charset val="128"/>
            <scheme val="minor"/>
          </rPr>
          <t>介護医療院において、入所者ごとのリハビリテーション実施計画の内容等の情報を厚生労働省に提出し、リハビリテーションの実施に当たって、当該情報その他リハビリテーションの適切かつ有効な実施のために必要な情報を活用している場合は、１月につき１回を限度として所定単位数に33単位を加算する。ただし、作業療法の注６又は言語聴覚療法の注４の規定により加算する場合はこの限りでない</t>
        </r>
      </text>
    </comment>
    <comment ref="B99" authorId="0" shapeId="0" xr:uid="{00000000-0006-0000-0700-00003B000000}">
      <text>
        <r>
          <rPr>
            <sz val="10"/>
            <color indexed="81"/>
            <rFont val="ＭＳ Ｐゴシック"/>
            <family val="3"/>
            <charset val="128"/>
            <scheme val="minor"/>
          </rPr>
          <t>【別表第二　16 項】精神科作業療法
　別に厚生労働大臣が定める施設基準に適合しているもの
として都道府県知事に届け出た指定短期入所療養介護事業所、介護医療院又は指定介護予防短期入所療養介護事業所において、指定短期入所療養介護、介護医療院サービス又は指定介護予防短期入所療養介護を受けている利用者又は入所者に対して、精神科作業療法を行った場合に、
所定単位数を算定する。</t>
        </r>
      </text>
    </comment>
    <comment ref="B100" authorId="0" shapeId="0" xr:uid="{00000000-0006-0000-0700-00003C000000}">
      <text>
        <r>
          <rPr>
            <sz val="10"/>
            <color indexed="81"/>
            <rFont val="ＭＳ Ｐゴシック"/>
            <family val="3"/>
            <charset val="128"/>
            <scheme val="minor"/>
          </rPr>
          <t>【別表第二　17 項】認知症入所精神療法
　指定短期入所療養介護事業所、介護医療院又は指定介
護予防短期入所療養介護事業所において、指定短期入
所療養介護、介護医療院サービス又は指定介護予防短
期入所療養介護を受けている利用者又は入所者に対し
て、認知症入院精神療法を行った場合に、所定単位数
を算定する。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00000000-0006-0000-0800-000001000000}">
      <text>
        <r>
          <rPr>
            <sz val="10"/>
            <color indexed="81"/>
            <rFont val="ＭＳ ゴシック"/>
            <family val="3"/>
            <charset val="128"/>
          </rPr>
          <t>別に厚生労働大臣が定める夜勤を行う職員の勤務条件に関する
基準を満たすものとして都道府県知事に届け出た介護医療院については、
当該基準に掲げる区分に従い、
１日につき次に掲げる単位数を所定単位数に加算する。
　イ夜間勤務等看護（Ⅰ） 23 単位
　ロ夜間勤務等看護（Ⅱ） 14 単位
　ハ夜間勤務等看護（Ⅲ） 14 単位
　ニ夜間勤務等看護（Ⅳ）  7 単位</t>
        </r>
        <r>
          <rPr>
            <b/>
            <sz val="9"/>
            <color indexed="81"/>
            <rFont val="MS P ゴシック"/>
            <family val="3"/>
            <charset val="128"/>
          </rPr>
          <t xml:space="preserve">
</t>
        </r>
      </text>
    </comment>
    <comment ref="B9" authorId="0" shapeId="0" xr:uid="{00000000-0006-0000-0800-000002000000}">
      <text>
        <r>
          <rPr>
            <sz val="10"/>
            <color indexed="81"/>
            <rFont val="ＭＳ ゴシック"/>
            <family val="3"/>
            <charset val="128"/>
          </rPr>
          <t>別に厚生労働大臣が定める基準に適合しているものとして
都道府県知事に届け出た介護医療院において、
若年性認知症患者に対して介護医療院サービスを行った場合は、
若年性認知症患者受入加算として、１日につき120単位を
所定単位数に加算する。
ただし、認知症行動・心理症状緊急対応加算を算定している場合は、
算定しない。</t>
        </r>
      </text>
    </comment>
    <comment ref="B10" authorId="0" shapeId="0" xr:uid="{00000000-0006-0000-0800-000003000000}">
      <text>
        <r>
          <rPr>
            <sz val="10"/>
            <color indexed="81"/>
            <rFont val="ＭＳ ゴシック"/>
            <family val="3"/>
            <charset val="128"/>
          </rPr>
          <t>入所者に対して居宅における外泊を認めた場合は、
１月に６日を限度として所定単位数に代えて
１日につき362単位を算定する。
ただし、外泊の初日及び最終日は、算定できない。</t>
        </r>
      </text>
    </comment>
    <comment ref="B11" authorId="0" shapeId="0" xr:uid="{00000000-0006-0000-0800-000004000000}">
      <text>
        <r>
          <rPr>
            <sz val="10"/>
            <color indexed="81"/>
            <rFont val="ＭＳ ゴシック"/>
            <family val="3"/>
            <charset val="128"/>
          </rPr>
          <t>入所者であって、退所が見込まれる者をその居宅において試行的に退所させ、
介護医療院が居宅サービスを提供する場合は、
１月に６日を限度として所定単位数に代えて１日につき800 単位を算定する。
ただし、試行的な退所に係る初日及び最終日は算定せず、
外泊時費用を算定している場合は算定しない。</t>
        </r>
      </text>
    </comment>
    <comment ref="B12" authorId="0" shapeId="0" xr:uid="{00000000-0006-0000-0800-000005000000}">
      <text>
        <r>
          <rPr>
            <sz val="10"/>
            <color indexed="81"/>
            <rFont val="ＭＳ ゴシック"/>
            <family val="3"/>
            <charset val="128"/>
          </rPr>
          <t>入所者に対し専門的な診療が必要になった場合であって、
当該入所者に対し病院又は診療所において当該診療が
行われた場合は、１月に４日を限度として所定単位数に代えて
１日につき362単位を算定する。</t>
        </r>
      </text>
    </comment>
    <comment ref="B14" authorId="0" shapeId="0" xr:uid="{00000000-0006-0000-0800-000006000000}">
      <text>
        <r>
          <rPr>
            <sz val="10"/>
            <color indexed="81"/>
            <rFont val="MS P ゴシック"/>
            <family val="3"/>
            <charset val="128"/>
          </rPr>
          <t>入所した日から起算して30 日以内の期間について、
初期加算として、１日につき所定単位数30 単位を
加算する。</t>
        </r>
      </text>
    </comment>
    <comment ref="B15" authorId="0" shapeId="0" xr:uid="{00000000-0006-0000-0800-000007000000}">
      <text>
        <r>
          <rPr>
            <sz val="10"/>
            <color indexed="81"/>
            <rFont val="ＭＳ Ｐゴシック"/>
            <family val="3"/>
            <charset val="128"/>
            <scheme val="minor"/>
          </rPr>
          <t>別に厚生労働大臣が定める基準に適合する介護医療院に入所
（以下この注において「一次入所」という。）している者が退所し、
当該者が病院又は診療所に入院した場合であって、
当該者が退院した後に再度当該介護医療院に入所（以下この注に
おいて「二次入所」という。）する際、二次入所において必要となる栄養管理が、一次入所の際に必要としていた栄養管理とは大きく異なるため、当該介護医療院の管理栄養士が当該病院又は診療所の管理栄養士と連携し当該者に関する栄養ケア計画を策定した場合に、
入所者１人につき１回を限度として所定単位数400単位数を加算する。　　ただし、栄養マネジメント加算を算定していない場合は、算定しない。</t>
        </r>
      </text>
    </comment>
    <comment ref="C16" authorId="0" shapeId="0" xr:uid="{00000000-0006-0000-0800-000008000000}">
      <text>
        <r>
          <rPr>
            <sz val="10"/>
            <color indexed="81"/>
            <rFont val="ＭＳ Ｐゴシック"/>
            <family val="3"/>
            <charset val="128"/>
            <scheme val="minor"/>
          </rPr>
          <t>入所期間が１月を超えると見込まれる入所者の退所に先立って
当該入所者が退所後生活する居宅を訪問し、当該入所者及び
その家族等に対して退所後の療養上の指導を行った場合に、
入所中１回（入所後早期に退所前訪問指導の必要があると認められる入所者にあっては、２回）を限度として算定する。
　入所者が退所後にその居宅でなく、他の社会福祉施設等に入所する場合であって、当該入所者の同意を得て、当該社会福祉施設等を訪問し、連絡調整、情報提供等を行ったときも、同様に算定する。</t>
        </r>
      </text>
    </comment>
    <comment ref="C17" authorId="0" shapeId="0" xr:uid="{00000000-0006-0000-0800-000009000000}">
      <text>
        <r>
          <rPr>
            <sz val="10"/>
            <color indexed="81"/>
            <rFont val="ＭＳ Ｐゴシック"/>
            <family val="3"/>
            <charset val="128"/>
            <scheme val="minor"/>
          </rPr>
          <t>入所者の退所後30 日以内に当該入所者の居宅を訪問し、
当該入所者及びその家族等に対して療養上の指導を行った場合に、退所後１回を限度として算定する。
入所者が退所後にその居宅でなく、他の社会福祉施設等に入所する場合であって、当該入所者の同意を得て、当該社会福祉施設等を訪問し、連絡調整、情報提供等を行ったときも、同様に算定する。</t>
        </r>
      </text>
    </comment>
    <comment ref="C18" authorId="0" shapeId="0" xr:uid="{00000000-0006-0000-0800-00000A000000}">
      <text>
        <r>
          <rPr>
            <sz val="10"/>
            <color indexed="81"/>
            <rFont val="ＭＳ Ｐゴシック"/>
            <family val="3"/>
            <charset val="128"/>
            <scheme val="minor"/>
          </rPr>
          <t>入所期間が１月を超える入所者が退所し、その居宅において療養を継続する場合において、当該入所者の退所時に、当該入所者及びその家族等に対して、退所後の療養上の指導を行った場合に、入所者１人につき１回を限度として算定する。</t>
        </r>
      </text>
    </comment>
    <comment ref="C19" authorId="0" shapeId="0" xr:uid="{00000000-0006-0000-0800-00000B000000}">
      <text>
        <r>
          <rPr>
            <sz val="10"/>
            <color indexed="81"/>
            <rFont val="ＭＳ Ｐゴシック"/>
            <family val="3"/>
            <charset val="128"/>
            <scheme val="minor"/>
          </rPr>
          <t>入所期間が１月を超える入所者が退所し、その居宅において療養を継続する場合において、当該入所者の退所後の主治の医師に対して、当該入所者の同意を得て、当該入所者の診療状況を示す文書を添えて当該入所者の紹介を行った場合に、入所者１人に
つき１回に限り算定する。
入所者が退所後にその居宅でなく、他の社会福祉施設等に入所する場合であって、当該入所者の同意を得て、当該社会福祉施設等に対して当該入所者の診療状況を示す文書を添えて当該入所者の処遇に必要な情報を提供したときも、同様に算定する。</t>
        </r>
      </text>
    </comment>
    <comment ref="C20" authorId="0" shapeId="0" xr:uid="{00000000-0006-0000-0800-00000C000000}">
      <text>
        <r>
          <rPr>
            <sz val="10"/>
            <color indexed="81"/>
            <rFont val="ＭＳ Ｐゴシック"/>
            <family val="3"/>
            <charset val="128"/>
            <scheme val="minor"/>
          </rPr>
          <t>入所期間が１月を超える入所者が退所し、その居宅において居宅サービスを利用する場合において、当該入所者の退所に先立って当該入所者が利用を希望する指定居宅介護支援事業者に対して、当該入所者の同意を得て、当該入所者の診療状況を示す文書を添えて当該入所者に係る居宅サービスに必要な情報を提供し、かつ、当該指定居宅介護支援事業者と連携して退所後の居宅サービスの利用に関する調整を行った
場合に、入所者１人につき１回を限度として算定する。</t>
        </r>
      </text>
    </comment>
    <comment ref="C21" authorId="0" shapeId="0" xr:uid="{00000000-0006-0000-0800-00000D000000}">
      <text>
        <r>
          <rPr>
            <sz val="10"/>
            <color indexed="81"/>
            <rFont val="ＭＳ Ｐゴシック"/>
            <family val="3"/>
            <charset val="128"/>
            <scheme val="minor"/>
          </rPr>
          <t>入所者の退所時に、介護医療院の医師が、診療に基づき、指定訪問看護、指定定期巡回・随時対応型訪問介護看護（訪問看護サービスを行う場合に限る。）又は指定看護小規模多機能型居宅介護（看護サービスを行う場合に限る。）の利用が必要であると認め、当該入所者の選定する指定訪問看護ステーション、指定定期巡回・随時対応型訪問介護看護事業所又は指定看護小規模多機能型居宅介護事業所に対して、当該入所者の同意を得て、訪問看護指示書を交付した場合に、入所者１人につき１回を限度として算定する。</t>
        </r>
      </text>
    </comment>
    <comment ref="B22" authorId="0" shapeId="0" xr:uid="{9AAE789A-0F0A-4E85-AA7A-C4607FEE3703}">
      <text>
        <r>
          <rPr>
            <b/>
            <sz val="9"/>
            <color indexed="81"/>
            <rFont val="MS P ゴシック"/>
            <family val="3"/>
            <charset val="128"/>
          </rPr>
          <t xml:space="preserve">別に厚生労働大臣が定める基準に適合するものとして都道
府県知事に届け出た介護医療院において、入所者ごとの継続
的な栄養管理を強化して実施した場合、栄養マネジメント強
化加算として、１日につき所定単位数11単位を加算する。 </t>
        </r>
      </text>
    </comment>
    <comment ref="B23" authorId="0" shapeId="0" xr:uid="{00000000-0006-0000-0800-000010000000}">
      <text>
        <r>
          <rPr>
            <sz val="10"/>
            <color indexed="81"/>
            <rFont val="ＭＳ Ｐゴシック"/>
            <family val="3"/>
            <charset val="128"/>
            <scheme val="minor"/>
          </rPr>
          <t>別に厚生労働大臣が定める基準に適合する介護医療院において、医師の指示に基づき、医師、歯科医師、管理栄養士、看護師、介護支援専門員その他の職種の者が共同して、現に経管により食事を摂取している入所者ごとに経口による食事の摂取を進めるための経口移行計画を作成している場合であって、当該計画に従い、医師の
指示を受けた管理栄養士又は栄養士による栄養管理及び言語聴覚士又は看護職員による支援が行われた場合は、当該計画が作成された日から起算して180 日以内の期間に限り、１日につき所定単位数28 単位を加算する。
　ただし、栄養マネジメント加算を算定していない場合は算定しない。</t>
        </r>
      </text>
    </comment>
    <comment ref="C24" authorId="0" shapeId="0" xr:uid="{440C1ACE-A593-489D-962C-CBF016EF2D9D}">
      <text>
        <r>
          <rPr>
            <sz val="10"/>
            <color indexed="81"/>
            <rFont val="ＭＳ Ｐゴシック"/>
            <family val="3"/>
            <charset val="128"/>
            <scheme val="minor"/>
          </rPr>
          <t xml:space="preserve">別に厚生労働大臣が定める基準に適合する介護医療院において、現に経口により食事を摂取する者であって、摂食機能障害を有し、誤嚥が認められる入所者に対して、医師又は歯科医師の指示に基づき、医師、歯科医師、管理栄養士、看護師、介護支援専門員その他の職種の者が共同して、入所者の栄養管理をするための食事の観察及び会議等を行い、入所者ごとに、経口による継続的な食事の摂取を進めるための経口維持計を作成している場合であって、当該計画に従い、医師又は歯科医師の指示（歯科医師が指示を行う場合にあっては、当該指示を受ける管理栄養士等が医師の指導を受けている場合に限る。）を受けた管理栄養士又は栄養士が栄養管理を行った場合に、１月につき所定単位数を加算する。ただし、イからヘまでの注５又は経口移行加算を算定している場合は、算定しない。 </t>
        </r>
      </text>
    </comment>
    <comment ref="C25" authorId="0" shapeId="0" xr:uid="{00000000-0006-0000-0800-000012000000}">
      <text>
        <r>
          <rPr>
            <sz val="10"/>
            <color indexed="81"/>
            <rFont val="ＭＳ Ｐゴシック"/>
            <family val="3"/>
            <charset val="128"/>
            <scheme val="minor"/>
          </rPr>
          <t>協力歯科医療機関を定めている介護医療院が、経口維持加算（Ⅰ）を算定している場合であって、入所者の経口による継続的な食事の摂取を支援するための食事の観察及び会議等に、医師（介護医療院の人員、施設及び設備並びに運営に関する基準第４条第１項第１号に規定する医師を除く。）、歯科医師、歯科衛生士又は言語聴覚士が加わった場合は、１月につき所定単位数を加算する。
　経口による継続的な食事の摂取を進めるための経口維持計画が作成された日の属する月から起算して６月を超えた場合であっても、摂食機能障害を有し、誤嚥が認められる入所者であって、医師又は歯科医師の指示に基づき、継続して誤嚥防止のための食事の摂取を進めるための特別な管理が必要とされるものに対しては、引き続き該加算を算定できるものとする。</t>
        </r>
      </text>
    </comment>
    <comment ref="B26" authorId="0" shapeId="0" xr:uid="{FF0BC66D-EDAD-4887-9973-667DBB5C4119}">
      <text>
        <r>
          <rPr>
            <sz val="10"/>
            <color indexed="81"/>
            <rFont val="ＭＳ Ｐゴシック"/>
            <family val="3"/>
            <charset val="128"/>
          </rPr>
          <t>別に厚生労働大臣が定める基準に適合する介護医療院において、入所者に対し、歯科衛生士が口腔衛生の管理を行った
場合は、当該基準に掲げる区分に従い、１月につき次に掲げ る所定単位数を加算する。ただし、次に掲げるいずれかの加 
算を算定している場合においては、次に掲げるその他の加算は算定しない。
⑴口腔衛生管理加算(Ⅰ) 90単位 
⑵口腔衛生管理加算(Ⅱ)110単位</t>
        </r>
      </text>
    </comment>
    <comment ref="B28" authorId="0" shapeId="0" xr:uid="{00000000-0006-0000-0800-000015000000}">
      <text>
        <r>
          <rPr>
            <sz val="10"/>
            <color indexed="81"/>
            <rFont val="ＭＳ Ｐゴシック"/>
            <family val="3"/>
            <charset val="128"/>
            <scheme val="minor"/>
          </rPr>
          <t>次に掲げるいずれの基準にも適合するものとして都道府県知事に届け出た介護医療院が、別に厚生労働大臣が定める療養食を
提供したときは、１日につき３回を限度として、所定単位数6 単位を加算する。
   イ　食事の提供が管理栄養士又は栄養士によって管理されて
        いること。
   ロ　入所者の年齢、心身の状況によって適切な栄養量及び内容 
        の食事の提供が行われていること。
   ハ　食事の提供が、別に厚生労働大臣が定める基準に適合する
        介護医療院において行われていること。</t>
        </r>
      </text>
    </comment>
    <comment ref="B29" authorId="0" shapeId="0" xr:uid="{00000000-0006-0000-0800-000016000000}">
      <text>
        <r>
          <rPr>
            <sz val="10"/>
            <color indexed="81"/>
            <rFont val="ＭＳ Ｐゴシック"/>
            <family val="3"/>
            <charset val="128"/>
            <scheme val="minor"/>
          </rPr>
          <t>別に厚生労働大臣が定める基準に適合する介護医療院であって、
次に掲げる基準のいずれにも適合している場合にあっては、
 １日につき所定単位数10 単位を加算する。
    イ　入所者の家族との連絡調整を行っていること。
    ロ　入所者が利用を希望する指定居宅介護支援事業者に対して、
         入所者に係る居宅サービスに必要な情報の提供及び退所後
          の居宅サービスの利用に関する調整を行っていること。</t>
        </r>
        <r>
          <rPr>
            <sz val="9"/>
            <color indexed="81"/>
            <rFont val="MS P ゴシック"/>
            <family val="3"/>
            <charset val="128"/>
          </rPr>
          <t xml:space="preserve">
</t>
        </r>
      </text>
    </comment>
    <comment ref="B31" authorId="0" shapeId="0" xr:uid="{00000000-0006-0000-0800-000017000000}">
      <text>
        <r>
          <rPr>
            <sz val="10"/>
            <color indexed="81"/>
            <rFont val="ＭＳ Ｐゴシック"/>
            <family val="3"/>
            <charset val="128"/>
            <scheme val="minor"/>
          </rPr>
          <t>入所者の病状が重篤となり救命救急医療が必要となる場合において緊急的な治療管理としての投薬、検査、注射、処置等を行ったときに算定する。
 注)　同一の入所者について１月に１回、連続する３日を限度と
        して算定する。</t>
        </r>
      </text>
    </comment>
    <comment ref="B32" authorId="0" shapeId="0" xr:uid="{00000000-0006-0000-0800-000018000000}">
      <text>
        <r>
          <rPr>
            <sz val="10"/>
            <color indexed="81"/>
            <rFont val="ＭＳ Ｐゴシック"/>
            <family val="3"/>
            <charset val="128"/>
            <scheme val="minor"/>
          </rPr>
          <t xml:space="preserve">別に厚生労働大臣が定める基準に適合しているものとして
都道府県知事に届け出た介護医療院において、別に厚生労働大臣が定める者に対して、専門的な認知症ケアを行った場合は、
当該基準に掲げる区分に従い、１日につき次に掲げる所定単位数を
加算する。
</t>
        </r>
      </text>
    </comment>
    <comment ref="B34" authorId="0" shapeId="0" xr:uid="{00000000-0006-0000-0800-000019000000}">
      <text>
        <r>
          <rPr>
            <sz val="10"/>
            <color indexed="81"/>
            <rFont val="ＭＳ Ｐゴシック"/>
            <family val="3"/>
            <charset val="128"/>
            <scheme val="minor"/>
          </rPr>
          <t>医師が、認知症の行動・心理症状が認められるため、
在宅での生活が困難であり、緊急に入所することが適当であると
判断した者に対し、介護医療院サービスを行った場合は、
入所した日から起算して７日を限度として、１日につき所定単位数
200 単位を加算する。</t>
        </r>
      </text>
    </comment>
    <comment ref="C35" authorId="0" shapeId="0" xr:uid="{00000000-0006-0000-0800-00001A000000}">
      <text>
        <r>
          <rPr>
            <sz val="10"/>
            <color indexed="81"/>
            <rFont val="ＭＳ Ｐゴシック"/>
            <family val="3"/>
            <charset val="128"/>
            <scheme val="minor"/>
          </rPr>
          <t>別に厚生労働大臣が定める施設基準に適合しているものと
して都道府県知事に届け出た介護医療院において、
入所者に対して、介護医療院サービスを行った場合に、
当該施設基準に掲げる区分に従い、入所者の要介護状態区分に応じて、それぞれ１日につき次に掲げる所定単位数を加算する。
　ただし、次に掲げるいずれかの加算を算定している場合においては、次に掲げるその他の加算は算定しない。
　⑴ 重度認知症疾患療養体制加算（Ⅰ）
　　㈠要介護１又は要介護２　　　　　　　　 140 単位
　　㈡要介護３、要介護４又は要介護５ 　　40 単位</t>
        </r>
      </text>
    </comment>
    <comment ref="C36" authorId="0" shapeId="0" xr:uid="{00000000-0006-0000-0800-00001B000000}">
      <text>
        <r>
          <rPr>
            <sz val="10"/>
            <color indexed="81"/>
            <rFont val="ＭＳ Ｐゴシック"/>
            <family val="3"/>
            <charset val="128"/>
            <scheme val="minor"/>
          </rPr>
          <t>　㈠要介護１又は要介護２　　　　　　　 　200 単位
　㈡要介護３、要介護４又は要介護５　 100 単位</t>
        </r>
      </text>
    </comment>
    <comment ref="B37" authorId="0" shapeId="0" xr:uid="{AD0FB011-CA18-454F-BE54-D0B8F98AB762}">
      <text>
        <r>
          <rPr>
            <sz val="10"/>
            <color indexed="81"/>
            <rFont val="ＭＳ Ｐゴシック"/>
            <family val="3"/>
            <charset val="128"/>
            <scheme val="minor"/>
          </rPr>
          <t xml:space="preserve">別に厚生労働大臣が定める基準に適合しているものとして都道府県知事に届け出た介護医療院において、継続的に入所者ごとの排せつに係る支援を行った場合は、当該基準に掲げる区分に従い、１月につき所定単位数を加算する。ただし、次に掲げるいずれかの加算を算定している場合においては、
次に掲げるその他の加算は算定しない。 
⑴排せつ支援加算(Ⅰ) 10単位
⑵排せつ支援加算(Ⅱ) 15単位
⑶排せつ支援加算(Ⅲ) 20単位
</t>
        </r>
      </text>
    </comment>
    <comment ref="B41" authorId="0" shapeId="0" xr:uid="{20188C60-9BBB-4D04-9369-7F0AFCAE29D9}">
      <text>
        <r>
          <rPr>
            <sz val="10"/>
            <color indexed="81"/>
            <rFont val="MS P ゴシック"/>
            <family val="3"/>
            <charset val="128"/>
          </rPr>
          <t xml:space="preserve"> 別に厚生労働大臣が定める基準に適合しているものとして
都道府県知事に届け出た介護医療院において、継続的に入所
者ごとの自立支援を行った場合は、１月につき所定単位300単位を加算する。</t>
        </r>
      </text>
    </comment>
    <comment ref="B42" authorId="0" shapeId="0" xr:uid="{B9710482-0935-46FE-A87B-787B3B523A34}">
      <text>
        <r>
          <rPr>
            <sz val="10"/>
            <color indexed="81"/>
            <rFont val="MS P ゴシック"/>
            <family val="3"/>
            <charset val="128"/>
          </rPr>
          <t>科学的介護推進体制加算
別に厚生労働大臣が定める基準に適合しているものとして
都道府県知事に届け出た介護医療院が、入所者に対し介護医
療院サービスを行った場合は、当該基準に掲げる区分に従い、
１月につき次に掲げる所定単位数を加算する。
ただし、次に掲げるいずれかの加算を算定している場合においては、
次に掲げるその他の加算は算定しない。
⑴科学的介護推進体制加算(Ⅰ) 40単位
⑵科学的介護推進体制加算(Ⅱ) 60単位</t>
        </r>
      </text>
    </comment>
    <comment ref="B44" authorId="0" shapeId="0" xr:uid="{D7ECBE08-752F-43C1-9473-D878143BE951}">
      <text>
        <r>
          <rPr>
            <sz val="10"/>
            <color indexed="81"/>
            <rFont val="ＭＳ Ｐゴシック"/>
            <family val="3"/>
            <charset val="128"/>
            <scheme val="minor"/>
          </rPr>
          <t xml:space="preserve"> 別に厚生労働大臣が定める基準に適合している介護医療院が、
次に掲げるいずれの基準にも適合する入所者に対し、
介護医療院サービスを行った場合にあっては、
入所した日から起算して 90日以内の期間に限り、
長期療養生活移行加算として、１日につき所定単位数を加算する。
イ 療養病床に１年以上入院していた者であること。
ロ 介護医療院への入所に当たって、当該入所者及びその家族等が、日常生活上の世話を行うことを目的とする施設としての取組について説明を受けていること。</t>
        </r>
      </text>
    </comment>
    <comment ref="B45" authorId="0" shapeId="0" xr:uid="{9CA46E24-E153-494A-902A-12A588340691}">
      <text>
        <r>
          <rPr>
            <b/>
            <sz val="9"/>
            <color indexed="81"/>
            <rFont val="MS P ゴシック"/>
            <family val="3"/>
            <charset val="128"/>
          </rPr>
          <t xml:space="preserve"> </t>
        </r>
        <r>
          <rPr>
            <sz val="10"/>
            <color indexed="81"/>
            <rFont val="MS P ゴシック"/>
            <family val="3"/>
            <charset val="128"/>
          </rPr>
          <t>別に厚生労働大臣が定める施設基準に適合しているものとして
都道府県知事に届け出た介護医療院が、入所者に対し、介護医
療院サービスを行った場合、安全対策体制加算として、入所初日
に限り所定単位数を加算する。</t>
        </r>
      </text>
    </comment>
    <comment ref="B46" authorId="0" shapeId="0" xr:uid="{BE45836D-CF76-4005-8DF2-FDEF93D54BA6}">
      <text>
        <r>
          <rPr>
            <sz val="10"/>
            <color indexed="81"/>
            <rFont val="ＭＳ Ｐゴシック"/>
            <family val="3"/>
            <charset val="128"/>
            <scheme val="minor"/>
          </rPr>
          <t>別に厚生労働大臣が定める基準に適合しているものとして
都道府県知事に届け出た介護医療院が、入所者に対し
介護医療院サービスを行った場合は、当該基準に掲げる
区分に従い、１日につき次に掲げる所定単位数を加算する。
　ただし、次に掲げるいずれかの加算を算定している場合に
おいては、次に掲げるその他の加算は算定しない。
　⑴ サービス提供体制強化加算（Ⅰ）　　22 単位
　⑵ サービス提供体制強化加算（Ⅱ）　 　18単位
　⑶ サービス提供体制強化加算（Ⅲ）　 　　6単位</t>
        </r>
      </text>
    </comment>
    <comment ref="B49" authorId="0" shapeId="0" xr:uid="{7EEEB6B9-62C6-4BDC-A5DA-40AA16368F11}">
      <text>
        <r>
          <rPr>
            <sz val="10"/>
            <color indexed="81"/>
            <rFont val="ＭＳ Ｐゴシック"/>
            <family val="3"/>
            <charset val="128"/>
            <scheme val="minor"/>
          </rPr>
          <t xml:space="preserve">別に厚生労働大臣が定める基準に適合している介護職員の
賃金の改善等を実施しているものとして都道府県知事に届け出た
介護医療院が、入所者に対し、介護医療院サービスを行った場合は、
当該基準に掲げる区分に従い、次に掲げる単位数を所定単位数に加算する。
　ただし、次に掲げるいずれかの加算を算定している場合においては、次に掲げるその他の加算は算定しない。
　⑴ 介護職員処遇改善加算（Ⅰ） イからヰまでにより算定した
　　　単位数の1000 分の26 に相当する単位数
　⑵ 介護職員処遇改善加算（Ⅱ） イからヰまでにより算定した
　　　単位数の1000 分の19 に相当する単位数
　⑶ 介護職員処遇改善加算（Ⅲ） イからヰまでにより算定した
　　　単位数の1000 分の10 に相当する単位数
</t>
        </r>
      </text>
    </comment>
    <comment ref="B54" authorId="0" shapeId="0" xr:uid="{00000000-0006-0000-0800-000020000000}">
      <text>
        <r>
          <rPr>
            <sz val="10"/>
            <color indexed="81"/>
            <rFont val="ＭＳ Ｐゴシック"/>
            <family val="3"/>
            <charset val="128"/>
            <scheme val="minor"/>
          </rPr>
          <t>別に厚生労働大臣が定める基準に適合している介護職員等の
賃金の改善等を実施しているものとして都道府県知事に届け出た
介護医療院が、入所者に対し、介護医療院サービスを行った場合は、
当該基準に掲げる区分に従い、次に掲げる単位数を所定単位数に
加算する。
　ただし、次に掲げるいずれかの加算を算定している場合においては、次に掲げるその他の加算は算定しない。
（一）　介護職員等特定処遇改善加算（Ⅰ）
　　　　イからヰまでにより算定した単位数の1000 分の15 に
　　　　相当する単位数
（二）　介護職員等特定処遇改善加算（Ⅱ）　
　　　　イからヰまでにより算定した単位数の1000 分の11 に
　　　　相当する単位数</t>
        </r>
      </text>
    </comment>
    <comment ref="B57" authorId="0" shapeId="0" xr:uid="{F8E4C686-DB73-4C1F-B91C-22C18DAE07A0}">
      <text>
        <r>
          <rPr>
            <sz val="10"/>
            <color indexed="81"/>
            <rFont val="ＭＳ Ｐゴシック"/>
            <family val="3"/>
            <charset val="128"/>
            <scheme val="major"/>
          </rPr>
          <t>別に厚生労働大臣が定める基準を満たさない場合は、安全管理体制未実施減算として、１日につき５単位を所定単位数から減算する。</t>
        </r>
      </text>
    </comment>
    <comment ref="B58" authorId="0" shapeId="0" xr:uid="{00000000-0006-0000-0800-000021000000}">
      <text>
        <r>
          <rPr>
            <sz val="10"/>
            <color indexed="81"/>
            <rFont val="ＭＳ Ｐゴシック"/>
            <family val="3"/>
            <charset val="128"/>
            <scheme val="major"/>
          </rPr>
          <t>夜勤を行う職員の勤務条件基準を満たさない場合に減算
　-25 単位／日</t>
        </r>
      </text>
    </comment>
    <comment ref="B59" authorId="0" shapeId="0" xr:uid="{00000000-0006-0000-0800-000022000000}">
      <text>
        <r>
          <rPr>
            <sz val="10"/>
            <color indexed="81"/>
            <rFont val="ＭＳ Ｐゴシック"/>
            <family val="3"/>
            <charset val="128"/>
            <scheme val="minor"/>
          </rPr>
          <t>療養室に隣接する廊下の幅が、内法による測定で、
1.8m 未満（両側に療養室がある場合は2.7m未満）の場合に減算
　-25 単位／日</t>
        </r>
      </text>
    </comment>
    <comment ref="B60" authorId="0" shapeId="0" xr:uid="{8A3DF306-C85A-4A49-928A-B4145D1C36D3}">
      <text>
        <r>
          <rPr>
            <sz val="10"/>
            <color indexed="81"/>
            <rFont val="ＭＳ Ｐゴシック"/>
            <family val="3"/>
            <charset val="128"/>
            <scheme val="minor"/>
          </rPr>
          <t>療養室に係る床面積の合計÷入所定員の数が８未満の場合に減算
　-25 単位／日</t>
        </r>
      </text>
    </comment>
    <comment ref="B61" authorId="0" shapeId="0" xr:uid="{AC7DAE22-9895-4458-AE18-54427D3198C8}">
      <text>
        <r>
          <rPr>
            <b/>
            <sz val="9"/>
            <color indexed="81"/>
            <rFont val="MS P ゴシック"/>
            <family val="3"/>
            <charset val="128"/>
          </rPr>
          <t xml:space="preserve">栄養管理について、別に厚生労働大臣が定める基準を満たさない場合は、１日につき14単位を所定単位数から減算する。
</t>
        </r>
        <r>
          <rPr>
            <sz val="9"/>
            <color indexed="81"/>
            <rFont val="MS P ゴシック"/>
            <family val="3"/>
            <charset val="128"/>
          </rPr>
          <t xml:space="preserve">
</t>
        </r>
      </text>
    </comment>
    <comment ref="B69" authorId="0" shapeId="0" xr:uid="{34AC7E36-8A00-4A8E-BAD7-291160CB6514}">
      <text>
        <r>
          <rPr>
            <sz val="10"/>
            <color indexed="81"/>
            <rFont val="ＭＳ Ｐゴシック"/>
            <family val="3"/>
            <charset val="128"/>
            <scheme val="minor"/>
          </rPr>
          <t>【別表第二　１項】感染対策指導管理
　別に厚生労働大臣が定める基準を満たす指定短期入所療養介護事業所（指定居宅サービス基準第142 条第１項に規定する指定短期入所療養介護事業所をいい、介護老人保健施設、病院、診療所及び老人性認知症疾患療養病棟であるものを除く。以下この表において同じ。）、介護医療院又は指定介護予防短期入所療養介護事業所（介護予防サービス基準第187 条第１項に規定する指定介護予防短期入所療養介護事業所をいい、介護老人保健施設、病院、診療所及び老人性認知症疾患療養病棟であるものを除く。以下この表において同じ。）において、常時感染防止対策を行う場合に、指定短期入所療養介護、介護医療院サービス（介護保険法第48 条第１項第３号に規定する介護医療院サービスをいう。以下同じ。）又は介護予防指定短期入所療養介護を受けている利用者又は入所者について、所定単位数を算定する。</t>
        </r>
      </text>
    </comment>
    <comment ref="C70" authorId="0" shapeId="0" xr:uid="{B8C5AAD8-04B9-48E6-B693-81BBBCB13610}">
      <text>
        <r>
          <rPr>
            <sz val="10"/>
            <color indexed="81"/>
            <rFont val="MS P ゴシック"/>
            <family val="3"/>
            <charset val="128"/>
          </rPr>
          <t>別に厚生労働大臣が定める基準を満たす指定短期入所療養介護事業所、介護医療院又は指定介護予防短期入所療養介護事業所において、常時褥瘡対策を行う場合に介護医療院サービス又は指定介護予防短期入所療養介護を受けている利用者又は入所者（日常生活の自立度が低い者に限る。）について、１日につき所定単位数を算定する</t>
        </r>
      </text>
    </comment>
    <comment ref="C71" authorId="0" shapeId="0" xr:uid="{487B4C4A-AD80-4FA5-9BDF-A0768BEF052B}">
      <text>
        <r>
          <rPr>
            <sz val="10"/>
            <color indexed="81"/>
            <rFont val="ＭＳ Ｐゴシック"/>
            <family val="3"/>
            <charset val="128"/>
          </rPr>
          <t xml:space="preserve">褥瘡対策指導管理(Ⅰ)に係る別に厚生労働大臣が定める基準を満たす介護医療院において、入所者ごとの褥瘡対策等に係る情報を厚生労働省に提出し、褥瘡対策の実施に当たって、当該情報その他褥瘡対策の適切かつ有効な実施のために必要な情報を活用し、かつ、施設入所時に褥瘡が発生するリスクがあるとされた入所者について、褥瘡の発生のない場合に、１月につき所定単位数を算定する。
</t>
        </r>
      </text>
    </comment>
    <comment ref="B72" authorId="0" shapeId="0" xr:uid="{00000000-0006-0000-0800-000026000000}">
      <text>
        <r>
          <rPr>
            <sz val="10"/>
            <color indexed="81"/>
            <rFont val="ＭＳ Ｐゴシック"/>
            <family val="3"/>
            <charset val="128"/>
            <scheme val="minor"/>
          </rPr>
          <t>【別表第二　３項】初期入所診療管理
介護医療院において、別に厚生労働大臣が定める基準に従い、入所者に対して、その入所に際して医師が必要な診察、検査等を行い、診療方針を定めて文書で説明を行った場合に、入所中１回（診療方針に重要な変更があった場合にあっては、２回）を限度として所定単位数を算定する</t>
        </r>
        <r>
          <rPr>
            <b/>
            <sz val="9"/>
            <color indexed="81"/>
            <rFont val="MS P ゴシック"/>
            <family val="3"/>
            <charset val="128"/>
          </rPr>
          <t>。</t>
        </r>
      </text>
    </comment>
    <comment ref="B73" authorId="0" shapeId="0" xr:uid="{00000000-0006-0000-0800-000027000000}">
      <text>
        <r>
          <rPr>
            <sz val="10"/>
            <color indexed="81"/>
            <rFont val="ＭＳ Ｐゴシック"/>
            <family val="3"/>
            <charset val="128"/>
            <scheme val="minor"/>
          </rPr>
          <t>【別表第二　４項】重度療養管理
　指定短期入所療養介護事業所において、指定短期入所
療養介護を受けている利用者（要介護４又は要介護５に該当する者に限る。）であって別に厚生労働大臣が定める状態にあるものに対して、計画的な医学的管理を継続して行い、
かつ療養上必要な処置を行った場合に、所定単位数を算定する。</t>
        </r>
      </text>
    </comment>
    <comment ref="B74" authorId="0" shapeId="0" xr:uid="{00000000-0006-0000-0800-000028000000}">
      <text>
        <r>
          <rPr>
            <sz val="10"/>
            <color indexed="81"/>
            <rFont val="ＭＳ Ｐゴシック"/>
            <family val="3"/>
            <charset val="128"/>
            <scheme val="minor"/>
          </rPr>
          <t>【別表第二　５項】特定施設管理
　指定短期入所療養介護事業所、介護医療院又は指定介護予防短期入所療養介護事業所において、後天性免疫不全症候群の病原体に感染している利用者又は入所者に対して、指定短期入所療養介護、介護医療院サービス又は指定介護予防短期入所療養介護を行う場合に、所定単位数を算定する。
個室又は２人部屋において、後天性免疫不全症候群の病原体に感染している利用者又は入所者に対して、指定短期入所療養介護、介護医療院サービス又は指定介護予防短期入所療養介護を行う場合は、所定単位数に個室の場合にあっては１日につき300 単位、２人部屋の場合にあっては１日につき150 単位を加算する。</t>
        </r>
      </text>
    </comment>
    <comment ref="B77" authorId="0" shapeId="0" xr:uid="{00000000-0006-0000-0800-000029000000}">
      <text>
        <r>
          <rPr>
            <sz val="10"/>
            <color indexed="81"/>
            <rFont val="ＭＳ Ｐゴシック"/>
            <family val="3"/>
            <charset val="128"/>
            <scheme val="minor"/>
          </rPr>
          <t>【別表第二　６項】重症皮膚潰瘍管理指導
　別に厚生労働大臣が定める基準を満たす指定別に厚生労働大臣が定める施設基準に適合しているものとして都道府県知事に届け出た指定短期入所療養介護事業所、介護医療院又は指定介護予防短期入所療養介護事業所において、指定短期入所療養介護、介護医療院サービス又は指定介護予防短期入所療養介護を受けている利用者又は入所者であって重症皮膚潰瘍を有しているものに対して、計画的な医学的管理を継続して行い、かつ、療養上必要な指導を行った場合に、所定単位数を算定する。</t>
        </r>
      </text>
    </comment>
    <comment ref="B78" authorId="0" shapeId="0" xr:uid="{00000000-0006-0000-0800-00002A000000}">
      <text>
        <r>
          <rPr>
            <sz val="10"/>
            <color indexed="81"/>
            <rFont val="ＭＳ Ｐゴシック"/>
            <family val="3"/>
            <charset val="128"/>
            <scheme val="minor"/>
          </rPr>
          <t>【別表第二　７項】薬剤管理指導
指定短期入所療養介護事業所、介護医療院又は指定介
護予防短期入所療養介護事業所であって、別に厚生労
働大臣が定める施設基準に適合しているものとして都道
府県知事に届け出たものにおいて、指定短期入所療養
介護、介護医療院サービス又は指定介護予防短期入所
療養介護を受けている利用者又は入所者に対して、投
薬又は注射及び薬学的管理指導を行った場合に、週１回
に限り、月に４回を限度として所定単位数を算定する</t>
        </r>
        <r>
          <rPr>
            <b/>
            <sz val="9"/>
            <color indexed="81"/>
            <rFont val="MS P ゴシック"/>
            <family val="3"/>
            <charset val="128"/>
          </rPr>
          <t>。</t>
        </r>
      </text>
    </comment>
    <comment ref="C79" authorId="0" shapeId="0" xr:uid="{F8E78550-6604-47A8-9452-1E320631E2C9}">
      <text>
        <r>
          <rPr>
            <sz val="10"/>
            <color indexed="81"/>
            <rFont val="ＭＳ Ｐゴシック"/>
            <family val="3"/>
            <charset val="128"/>
            <scheme val="minor"/>
          </rPr>
          <t xml:space="preserve">介護医療院において、入所者ごとの服薬情報等の情報を厚生労働省に提出し、処方の実施に当たって、当該情報その他薬物療法の適切かつ有効な実施のために必要な情報を活用した場合に、１月につき所定単位数に20単位を加算する。
</t>
        </r>
      </text>
    </comment>
    <comment ref="C80" authorId="0" shapeId="0" xr:uid="{00000000-0006-0000-0800-00002B000000}">
      <text>
        <r>
          <rPr>
            <sz val="10"/>
            <color indexed="81"/>
            <rFont val="ＭＳ Ｐゴシック"/>
            <family val="3"/>
            <charset val="128"/>
            <scheme val="minor"/>
          </rPr>
          <t>疼痛緩和のために別に厚生労働大臣が定める特別な薬剤の投薬又は注射が行われている利用者に対して、当該薬剤の使用に関する必要な薬学的管理指導を行った場合は、
１回につき所定単位数に50 単位を加算する。</t>
        </r>
      </text>
    </comment>
    <comment ref="B81" authorId="0" shapeId="0" xr:uid="{00000000-0006-0000-0800-00002C000000}">
      <text>
        <r>
          <rPr>
            <sz val="10"/>
            <color indexed="81"/>
            <rFont val="ＭＳ Ｐゴシック"/>
            <family val="3"/>
            <charset val="128"/>
            <scheme val="minor"/>
          </rPr>
          <t>【別表第二　８項】医学情報提供
　医学情報提供（Ⅰ）については、併設型小規模介護医療院（介護医療院の人員、施設及び設備並びに運営に関
する基準（平成30 年厚生労働省令第５号）第４条第７項に規定する併設型小規模介護医療院をいう。以下こ
の号において同じ。）である指定短期入所療養介護事業所、介護医療院若しくは指定介護予防短期入所療養介
護事業所が、指定短期入所療養介護、介護医療院サービス若しくは指定介護予防短期入所療養介護を受けて
いる利用者若しくは入所者の退所時に、診療に基づき、別の診療所での診療の必要を認め、別の診療所に対し
て、当該利用者若しくは入所者の同意を得て、当該利用者若しくは入所者の診療状況を示す文書を添えて当該
利用者若しくは入所者の紹介を行った場合又は介護医療院（併設型小規模介護医療院を除く。）である指定短期
入所療養介護事業所、介護医療院若しくは指定介護予防短期入所療養介護事業所が、指定短期入所療養介護、
介護医療院サービス若しくは指定介護予防短期入所療養介護を受けている利用者若しくは入所者の退所時に、
診療に基づき、別の病院での診療の必要を認め、別の病院に対して、当該利用者若しくは入所者の同意を得て、
当該利用者若しくは入所者の診療状況を示す文書を添えて当該利用者若しくは入所者の紹介を行った場合に、
所定単位数を算定する。
　医学情報提供（Ⅱ）については、併設型小規模介護医療院である指定短期入所療養介護事業所、介護医療院
若しくは指定介護予防短期入所療養介護事業所が、指定短期入所療養介護、介護医療院サービス若しくは指
定介護予防短期入所療養介護を受けている利用者若しくは入所者の退所時に、診療に基づき、病院での診療
の必要を認め、病院に対して、当該利用者若しくは入所者の同意を得て、当該利用者若しくは入所者の診療状
況を示す文書を添えて当該利用者若しくは入所者の紹介を行った場合又は介護医療院（併設型小規模介護医療
院を除く。）である指定短期入所療養介護事業所、介護医療院若しくは指定介護予防短期入所療養介護事業所
が、指定短期入所療養介護、介護医療院サービス若しくは指定介護予防短期入所療養介護を受けている利用
者若しくは入所者の退所時に、診療に基づき、診療所での診療の必要を認め、診療所に対して、当該利用者若し
くは入所者の同意を得て、当該利用者若しくは入所者の診療状況を示す文書を添えて当該利用者若しくは入所者
の紹介を行った場合に所定単位数を算定する。</t>
        </r>
      </text>
    </comment>
    <comment ref="B83" authorId="0" shapeId="0" xr:uid="{00000000-0006-0000-0800-00002D000000}">
      <text>
        <r>
          <rPr>
            <sz val="10"/>
            <color indexed="81"/>
            <rFont val="ＭＳ Ｐゴシック"/>
            <family val="3"/>
            <charset val="128"/>
            <scheme val="minor"/>
          </rPr>
          <t>【別表第二　９項】理学療法
　理学療法（Ⅰ）については、別に厚生労働大臣が定める施設基準に適合しているものとして都道府県知事に届け出た指定短期入所療養介護事業所、介護医療院又は指定介護予防短期入所療養介護事業所において、指定短期入所療養介護、介護医療院サービス又は指定介護予防短期入所療養介護を受けている利用者又は入所者に対して、理学療法を個別に行った場合に、所定単位数を
算定し、理学療法（Ⅱ）については、それ以外の指定短期入所療養介護事業所、介護医療院又は指定介護予防短期入所療養介護事業所において、指定短期入所療養介護、介護医療院サービス又は指定介護予防短期入所療養介護を受けている利用者又は入所者に対して、理学療法を個別に行った場合に算定する。
　理学療法については、利用者又は入所者１人につき１日３回（作業療法及び言語聴覚療法と併せて１日４回）に限り算定するものとし、その利用を開始又は入所した日から起算して４月を超えた期間において、１月に合計11回以上行った場合は、11 回目以降のものについては所定単位数の100 分の70 に相当する単位数を算定する。</t>
        </r>
      </text>
    </comment>
    <comment ref="C84" authorId="0" shapeId="0" xr:uid="{00000000-0006-0000-0800-00002E000000}">
      <text>
        <r>
          <rPr>
            <sz val="10"/>
            <color indexed="81"/>
            <rFont val="ＭＳ Ｐゴシック"/>
            <family val="3"/>
            <charset val="128"/>
            <scheme val="minor"/>
          </rPr>
          <t>【別表第二　９,10 項】理学療法・作業療法
　理学療法（Ⅰ）に係る別に厚生労働大臣が定める施設基準に適合しているものとして都道府県知事に届け出た指定短期入所療養介護事業所又は指定介護予防短期入所療養介護事業所において、医師、看護師、理学療法士等が共同してリハビリテーション計画を策定し、当該リハビリテーション計画に基づき理学療法（Ⅰ）を算定すべき理学療法を行った場合に、利用者が理学療法を必要とする状態の原因となった疾患等の治療等のために入院若しくは入所した病院、診療所若しくは介護保険施設を退院若しくは退所した日又は法第27 条第１項に基づく要介護
認定若しくは法第32 条第１項に基づく要支援認定を受けた日から初めて利用した月に限り、１月に１回を限度として所定単位数に480 単位を加算する。
　ただし、作業療法の注３の規定により加算する場合はこの限りではない</t>
        </r>
        <r>
          <rPr>
            <b/>
            <sz val="9"/>
            <color indexed="81"/>
            <rFont val="MS P ゴシック"/>
            <family val="3"/>
            <charset val="128"/>
          </rPr>
          <t>。</t>
        </r>
      </text>
    </comment>
    <comment ref="C85" authorId="0" shapeId="0" xr:uid="{00000000-0006-0000-0800-00002F000000}">
      <text>
        <r>
          <rPr>
            <sz val="10"/>
            <color indexed="81"/>
            <rFont val="ＭＳ Ｐゴシック"/>
            <family val="3"/>
            <charset val="128"/>
            <scheme val="minor"/>
          </rPr>
          <t>指定短期入所療養介護事業所又は指定介護予防短期入所療養介護事業所において、理学療法士等が指定短期入所療養介護又は指定介護予防短期入所療養介護を行う療養棟（指定施設サービス等の費用の額の算定に関する基準（平成12 年厚生省告示第21 号）別表の４のイからヘまでの注１に規定する療養棟をいう。10 において同じ。）において、基本的動作能力又は応用的動作能力若しくは社会的適応能力の回復を図るための日常動作
の訓練及び指導を月２回以上行った場合は、１月に１回を限度として所定単位数に300 単位を加算する。
　ただし、作業療法の注４の規定により加算する場合はこの限りでない。なお、当該加算の対象となる訓練及び指導を行った日については、所定単位数は算定しない。</t>
        </r>
        <r>
          <rPr>
            <sz val="9"/>
            <color indexed="81"/>
            <rFont val="MS P ゴシック"/>
            <family val="3"/>
            <charset val="128"/>
          </rPr>
          <t xml:space="preserve">
</t>
        </r>
      </text>
    </comment>
    <comment ref="C86" authorId="0" shapeId="0" xr:uid="{00000000-0006-0000-0800-000030000000}">
      <text>
        <r>
          <rPr>
            <sz val="10"/>
            <color indexed="81"/>
            <rFont val="ＭＳ Ｐゴシック"/>
            <family val="3"/>
            <charset val="128"/>
            <scheme val="minor"/>
          </rPr>
          <t>指定短期入所療養介護事業所、介護医療院又は指定介護予防短期入所療養介護事業所において、専従する常勤の理学療法士を２名以上配置し、理学療法（Ⅰ）を算定すべき理学療法を行った場合に、１回につき35 単位を所定単位数に加算する。</t>
        </r>
      </text>
    </comment>
    <comment ref="B88" authorId="0" shapeId="0" xr:uid="{00000000-0006-0000-0800-000031000000}">
      <text>
        <r>
          <rPr>
            <sz val="10"/>
            <color indexed="81"/>
            <rFont val="ＭＳ Ｐゴシック"/>
            <family val="3"/>
            <charset val="128"/>
            <scheme val="minor"/>
          </rPr>
          <t>【別表第二　10 項】作業療法
別に厚生労働大臣が定める施設基準に適合しているものとして都道府県知事に届け出た指定短期入所療養介護事業所、介護医療院又は指定介護予防短期入所療養介護事業所において、指定短期入所療養介護、介護医療院サービス又は指定介護予防短期入所療養介護を受けている利用者又は入所者に対して、作業療法を個別に行った場合に、所定単位数を算定する。
作業療法については、利用者又は入所者１人につき１日３回（理学療法及び言語聴覚療法と合わせて１日４回）に限り算定するものとし、その利用を開始又は入所した日から起算して４月を超えた期間において、１月に合計11 回以上行った場合は、11 回目以降のものについては、所定単位数の100 分の70 に相当する単位数を算定する。</t>
        </r>
      </text>
    </comment>
    <comment ref="C89" authorId="0" shapeId="0" xr:uid="{00000000-0006-0000-0800-000032000000}">
      <text>
        <r>
          <rPr>
            <sz val="10"/>
            <color indexed="81"/>
            <rFont val="ＭＳ Ｐゴシック"/>
            <family val="3"/>
            <charset val="128"/>
            <scheme val="minor"/>
          </rPr>
          <t>【別表第二　９,10 項】理学療法・作業療法
　作業療法に係る別に厚生労働大臣が定める施設基準に適合しているものとして都道府県知事に届け出た指定短期入所療養介護事業所又は指定介護予防短期入所療養介護事業所において、医師、看護師、作業療法士等が共同してリハビリテーション計画を策定し、当該リハビリテーション計画に基づき作業療法を算定すべき作業療法を行った場合に、利用者が作業療法を必要とする状態の原因となった疾患等の治療等のために入院若し
くは入所した病院、診療所若しくは介護保険施設を退院若しくは退所した日又は法第27 条第１項に基づく要介護認定若しくは法第32 条第１項に基づく要支援認定を受けた日から初めて利用した月に限り、１月に１回を限度として所定単位数に480 単位を加算する。
　ただし、理学療法の規定により加算する場合はこの限りではない。</t>
        </r>
      </text>
    </comment>
    <comment ref="C90" authorId="0" shapeId="0" xr:uid="{00000000-0006-0000-0800-000033000000}">
      <text>
        <r>
          <rPr>
            <sz val="10"/>
            <color indexed="81"/>
            <rFont val="ＭＳ Ｐゴシック"/>
            <family val="3"/>
            <charset val="128"/>
            <scheme val="minor"/>
          </rPr>
          <t>指定短期入所療養介護事業所又は指定介護予防短期入所療養介護事業所において、作業療法士等が指定短期入所療養介護又は指定介護予防短期入所療養介護を行う療養棟（指定施設サービス等の費用の額の算定に関する基準（平成12 年厚生省告示第21 号）別表の４のイからヘまでの注１に規定する療養棟をいう。10 において同じ。）において、基本的動作能力又は応用的動作能力若しくは社会的適応能力の回復を図るための日常動作
の訓練及び指導を月２回以上行った場合は、１月に１回を限度として所定単位数に300 単位を加算する。
　ただし、理学療法の規定により加算する場合はこの限りでない。なお、当該加算の対象となる訓練及び指導を行った日については、所定単位数は算定しない。</t>
        </r>
        <r>
          <rPr>
            <sz val="9"/>
            <color indexed="81"/>
            <rFont val="MS P ゴシック"/>
            <family val="3"/>
            <charset val="128"/>
          </rPr>
          <t xml:space="preserve">
</t>
        </r>
      </text>
    </comment>
    <comment ref="C91" authorId="0" shapeId="0" xr:uid="{00000000-0006-0000-0800-000034000000}">
      <text>
        <r>
          <rPr>
            <sz val="10"/>
            <color indexed="81"/>
            <rFont val="ＭＳ Ｐゴシック"/>
            <family val="3"/>
            <charset val="128"/>
            <scheme val="major"/>
          </rPr>
          <t>指定短期入所療養介護事業所、介護医療院又は指定介護予防短期入所療養介護事業所において、専従する常勤の作業療法士を２名以上配置し、作業療法を算定すべき作業療法を行った場合に、１回につき35 単位を所定単位数に加算する。</t>
        </r>
      </text>
    </comment>
    <comment ref="B92" authorId="0" shapeId="0" xr:uid="{00000000-0006-0000-0800-000035000000}">
      <text>
        <r>
          <rPr>
            <sz val="10"/>
            <color indexed="81"/>
            <rFont val="ＭＳ Ｐゴシック"/>
            <family val="3"/>
            <charset val="128"/>
            <scheme val="minor"/>
          </rPr>
          <t>【別表第二　11 項】言語聴覚療法
　別に厚生労働大臣が定める施設基準に適合しているもの
として都道府県知事に届け出た指定短期入所療養介護事業所、介護医療院又は指定介護予防短期入所療養介護事業所において、指定短期入所療養介護、介護医療院サービス又は指定介護予防短期入所療養介護を受けている利用者又は入所者に対して、言語聴覚療法を個別に行った場合に、所定単位数を算定する言語聴覚療法については、利用者又は入所者１人につき１日３回（理学療法及び作業療法と併せて１日４回）に限り算定するものとし、その利用を開始又は入所した日から起算して４月を超えた期間において、１月に合計11 回以上行った場合は、11 回目以降のものについては、所定単位数の100 分の70 に相当する単位数を算定する。　</t>
        </r>
      </text>
    </comment>
    <comment ref="C93" authorId="0" shapeId="0" xr:uid="{00000000-0006-0000-0800-000036000000}">
      <text>
        <r>
          <rPr>
            <sz val="10"/>
            <color indexed="81"/>
            <rFont val="ＭＳ Ｐゴシック"/>
            <family val="3"/>
            <charset val="128"/>
            <scheme val="minor"/>
          </rPr>
          <t>指定短期入所療養介護事業所、介護医療院又は指定介護予防短期入所療養介護事業所において、専従する常勤の言語聴覚士を２名以上配置して言語聴覚療法を行った場合に、
１回につき35 単位を所定単位数に加算する。</t>
        </r>
      </text>
    </comment>
    <comment ref="B94" authorId="0" shapeId="0" xr:uid="{00000000-0006-0000-0800-000037000000}">
      <text>
        <r>
          <rPr>
            <sz val="10"/>
            <color indexed="81"/>
            <rFont val="ＭＳ Ｐゴシック"/>
            <family val="3"/>
            <charset val="128"/>
            <scheme val="minor"/>
          </rPr>
          <t>【別表第二　12 項】集団コミュニケーション療法
　別に厚生労働大臣が定める施設基準に適合しているもの
として都道府県知事に届け出た指定短期入所療養介護
事業所、介護医療院又は指定介護予防短期入所療養介
護事業所において、指定短期入所療養介護、介護医療
院サービス又は指定介護予防短期入所療養介護を受け
ている利用者又は入所者に対して、集団コミュニケーション療法を行った場合に、所定単位数を算定する。
集団コミュニケーション療法については、利用者又は入所者１人につき１日３回に限り算定するものとする。</t>
        </r>
      </text>
    </comment>
    <comment ref="B95" authorId="0" shapeId="0" xr:uid="{00000000-0006-0000-0800-000038000000}">
      <text>
        <r>
          <rPr>
            <sz val="10"/>
            <color indexed="81"/>
            <rFont val="ＭＳ Ｐゴシック"/>
            <family val="3"/>
            <charset val="128"/>
            <scheme val="minor"/>
          </rPr>
          <t>【別表第二　13 項】摂食機能療法
　指定短期入所療養介護事業所、介護医療院又は指定介護予防短期入所療養介護事業所において、指定短期入所療養介護、介護医療院サービス又は指定介護予防短期入所療養介護を受けている利用者又は入所者であって摂食機能障害を有するものに対して、摂食機能療法を30 分以上行った場合に、１月に４回を限度として所定単位数を算定する。</t>
        </r>
      </text>
    </comment>
    <comment ref="B96" authorId="0" shapeId="0" xr:uid="{00000000-0006-0000-0800-000039000000}">
      <text>
        <r>
          <rPr>
            <sz val="10"/>
            <color indexed="81"/>
            <rFont val="ＭＳ Ｐゴシック"/>
            <family val="3"/>
            <charset val="128"/>
            <scheme val="minor"/>
          </rPr>
          <t>【別表第二　14 項】短期集中リハビリテーション
　介護医療院において、介護医療院サービスを受けている入所者に対して、医師又は医師の指示を受けた理学療法士、作業療法士又は言語聴覚士が、その入所した日から起算して３月以内の期間に集中的に理学療法、作業療法、言語聴覚療法又は摂食機能療法を行った場合に、所定単位数を算定する。
　ただし、理学療法、作業療法、言語聴覚療法又は摂食機能療法を算定する場合は、算定しない。</t>
        </r>
      </text>
    </comment>
    <comment ref="B97" authorId="0" shapeId="0" xr:uid="{00000000-0006-0000-0800-00003A000000}">
      <text>
        <r>
          <rPr>
            <sz val="10"/>
            <color indexed="81"/>
            <rFont val="ＭＳ Ｐゴシック"/>
            <family val="3"/>
            <charset val="128"/>
            <scheme val="minor"/>
          </rPr>
          <t>【別表第二　15 項】短期集中リハビリテーション
　別に厚生労働大臣が定める施設基準に適合しているものとして都道府県知事に届け出た介護医療院において、介護医療院サービスを受けている入所者のうち、認知症であると医師が判断した者であって、リハビリテーションによって生活機能の改善が見込まれると判断されたものに対して、医師又は医師の指示を受けた理学療法士、作業療法士若しくは言語聴覚士が、その入所した日から起算して３月以内の期間に集中的なリハビリテーションを個別に行った場合に、１週に３日を限度として所定単位数を算定する。</t>
        </r>
      </text>
    </comment>
    <comment ref="B98" authorId="0" shapeId="0" xr:uid="{3350CDCF-F20D-4FB4-B0DA-062F4202606A}">
      <text>
        <r>
          <rPr>
            <sz val="10"/>
            <color indexed="81"/>
            <rFont val="ＭＳ Ｐゴシック"/>
            <family val="3"/>
            <charset val="128"/>
            <scheme val="minor"/>
          </rPr>
          <t>介護医療院において、入所者ごとのリハビリテーション実施計画の内容等の情報を厚生労働省に提出し、リハビリテーションの実施に当たって、当該情報その他リハビリテーションの適切かつ有効な実施のために必要な情報を活用している場合は、１月につき１回を限度として所定単位数に33単位を加算する。ただし、作業療法の注６又は言語聴覚療法の注４の規定により加算する場合はこの限りでない</t>
        </r>
      </text>
    </comment>
    <comment ref="B99" authorId="0" shapeId="0" xr:uid="{00000000-0006-0000-0800-00003B000000}">
      <text>
        <r>
          <rPr>
            <sz val="10"/>
            <color indexed="81"/>
            <rFont val="ＭＳ Ｐゴシック"/>
            <family val="3"/>
            <charset val="128"/>
            <scheme val="minor"/>
          </rPr>
          <t>【別表第二　16 項】精神科作業療法
　別に厚生労働大臣が定める施設基準に適合しているもの
として都道府県知事に届け出た指定短期入所療養介護事業所、介護医療院又は指定介護予防短期入所療養介護事業所において、指定短期入所療養介護、介護医療院サービス又は指定介護予防短期入所療養介護を受けている利用者又は入所者に対して、精神科作業療法を行った場合に、
所定単位数を算定する。</t>
        </r>
      </text>
    </comment>
    <comment ref="B100" authorId="0" shapeId="0" xr:uid="{00000000-0006-0000-0800-00003C000000}">
      <text>
        <r>
          <rPr>
            <sz val="10"/>
            <color indexed="81"/>
            <rFont val="ＭＳ Ｐゴシック"/>
            <family val="3"/>
            <charset val="128"/>
            <scheme val="minor"/>
          </rPr>
          <t>【別表第二　17 項】認知症入所精神療法
　指定短期入所療養介護事業所、介護医療院又は指定介
護予防短期入所療養介護事業所において、指定短期入
所療養介護、介護医療院サービス又は指定介護予防短
期入所療養介護を受けている利用者又は入所者に対し
て、認知症入院精神療法を行った場合に、所定単位数
を算定する。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300-000001000000}">
      <text>
        <r>
          <rPr>
            <b/>
            <sz val="9"/>
            <color indexed="81"/>
            <rFont val="MS P ゴシック"/>
            <family val="3"/>
            <charset val="128"/>
          </rPr>
          <t xml:space="preserve">利用者様の氏名をご記入ください
</t>
        </r>
      </text>
    </comment>
    <comment ref="B15" authorId="0" shapeId="0" xr:uid="{00000000-0006-0000-0300-000002000000}">
      <text>
        <r>
          <rPr>
            <b/>
            <sz val="9"/>
            <color indexed="81"/>
            <rFont val="MS P ゴシック"/>
            <family val="3"/>
            <charset val="128"/>
          </rPr>
          <t>上から３行目のリストで選択いただいた療養棟の
基本サービス費が出ます</t>
        </r>
      </text>
    </comment>
    <comment ref="B16" authorId="0" shapeId="0" xr:uid="{00000000-0006-0000-0300-000003000000}">
      <text>
        <r>
          <rPr>
            <b/>
            <sz val="9"/>
            <color indexed="81"/>
            <rFont val="MS P ゴシック"/>
            <family val="3"/>
            <charset val="128"/>
          </rPr>
          <t>上から３行目のリストで選択いただいた療養棟の
居室種類が出ます</t>
        </r>
      </text>
    </comment>
    <comment ref="B21" authorId="0" shapeId="0" xr:uid="{00000000-0006-0000-0300-000004000000}">
      <text>
        <r>
          <rPr>
            <b/>
            <sz val="9"/>
            <color indexed="81"/>
            <rFont val="MS P ゴシック"/>
            <family val="3"/>
            <charset val="128"/>
          </rPr>
          <t>第4段階であっても空欄のままでも結構です
空欄の場合基準額である以下の金額で算定します
居室料金：2,006円
食費：1,392円</t>
        </r>
        <r>
          <rPr>
            <sz val="9"/>
            <color indexed="81"/>
            <rFont val="MS P ゴシック"/>
            <family val="3"/>
            <charset val="128"/>
          </rPr>
          <t xml:space="preserve">
</t>
        </r>
      </text>
    </comment>
    <comment ref="U25" authorId="0" shapeId="0" xr:uid="{00000000-0006-0000-0300-000005000000}">
      <text>
        <r>
          <rPr>
            <b/>
            <sz val="9"/>
            <color indexed="81"/>
            <rFont val="MS P ゴシック"/>
            <family val="3"/>
            <charset val="128"/>
          </rPr>
          <t>現在の利用料金を
月額で入力してください</t>
        </r>
      </text>
    </comment>
    <comment ref="B29" authorId="0" shapeId="0" xr:uid="{00000000-0006-0000-0300-000006000000}">
      <text>
        <r>
          <rPr>
            <b/>
            <sz val="9"/>
            <color indexed="81"/>
            <rFont val="MS P ゴシック"/>
            <family val="3"/>
            <charset val="128"/>
          </rPr>
          <t>入力シートから引用しています</t>
        </r>
      </text>
    </comment>
    <comment ref="B36" authorId="0" shapeId="0" xr:uid="{00000000-0006-0000-0300-000007000000}">
      <text>
        <r>
          <rPr>
            <b/>
            <sz val="9"/>
            <color indexed="81"/>
            <rFont val="MS P ゴシック"/>
            <family val="3"/>
            <charset val="128"/>
          </rPr>
          <t>「入力シート」の手順１から引用しています。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3" authorId="0" shapeId="0" xr:uid="{00000000-0006-0000-0400-000001000000}">
      <text>
        <r>
          <rPr>
            <b/>
            <sz val="9"/>
            <color indexed="81"/>
            <rFont val="MS P ゴシック"/>
            <family val="3"/>
            <charset val="128"/>
          </rPr>
          <t>借入金額を千円単位でご記入ください</t>
        </r>
      </text>
    </comment>
    <comment ref="D51" authorId="0" shapeId="0" xr:uid="{00000000-0006-0000-0400-000002000000}">
      <text>
        <r>
          <rPr>
            <b/>
            <sz val="9"/>
            <color indexed="81"/>
            <rFont val="MS P ゴシック"/>
            <family val="3"/>
            <charset val="128"/>
          </rPr>
          <t>合計返済額</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00000000-0006-0000-0B00-000001000000}">
      <text>
        <r>
          <rPr>
            <b/>
            <sz val="9"/>
            <color indexed="81"/>
            <rFont val="MS P ゴシック"/>
            <family val="3"/>
            <charset val="128"/>
          </rPr>
          <t>WAM:</t>
        </r>
        <r>
          <rPr>
            <sz val="9"/>
            <color indexed="81"/>
            <rFont val="MS P ゴシック"/>
            <family val="3"/>
            <charset val="128"/>
          </rPr>
          <t xml:space="preserve">
0の場合は全域が「その他」区域</t>
        </r>
      </text>
    </comment>
  </commentList>
</comments>
</file>

<file path=xl/sharedStrings.xml><?xml version="1.0" encoding="utf-8"?>
<sst xmlns="http://schemas.openxmlformats.org/spreadsheetml/2006/main" count="4099" uniqueCount="1116">
  <si>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</si>
  <si>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</si>
  <si>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</si>
  <si>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単位）</t>
    <rPh sb="0" eb="2">
      <t>タンイ</t>
    </rPh>
    <phoneticPr fontId="2"/>
  </si>
  <si>
    <t>（</t>
  </si>
  <si>
    <t>要介護１</t>
    <rPh sb="0" eb="1">
      <t>ヨウ</t>
    </rPh>
    <rPh sb="1" eb="3">
      <t>カイゴ</t>
    </rPh>
    <phoneticPr fontId="2"/>
  </si>
  <si>
    <t>要介護５</t>
    <rPh sb="0" eb="1">
      <t>ヨウ</t>
    </rPh>
    <rPh sb="1" eb="3">
      <t>カイゴ</t>
    </rPh>
    <phoneticPr fontId="2"/>
  </si>
  <si>
    <t>東京都</t>
  </si>
  <si>
    <t>23区</t>
  </si>
  <si>
    <t>1級地</t>
  </si>
  <si>
    <t>2級地</t>
  </si>
  <si>
    <t>神奈川県</t>
  </si>
  <si>
    <t>大阪府</t>
  </si>
  <si>
    <t>大阪市</t>
  </si>
  <si>
    <t>3級地</t>
  </si>
  <si>
    <t>愛知県</t>
  </si>
  <si>
    <t>兵庫県</t>
  </si>
  <si>
    <t>4級地</t>
  </si>
  <si>
    <t>埼玉県</t>
  </si>
  <si>
    <t>千葉県</t>
  </si>
  <si>
    <t>千葉市</t>
  </si>
  <si>
    <t>京都府</t>
  </si>
  <si>
    <t>京都市</t>
  </si>
  <si>
    <t>福岡県</t>
  </si>
  <si>
    <t>福岡市</t>
  </si>
  <si>
    <t>5級地</t>
  </si>
  <si>
    <t>宮城県</t>
  </si>
  <si>
    <t>仙台市</t>
  </si>
  <si>
    <t>静岡県</t>
  </si>
  <si>
    <t>静岡市</t>
  </si>
  <si>
    <t>滋賀県</t>
  </si>
  <si>
    <t>奈良県</t>
  </si>
  <si>
    <t>広島県</t>
  </si>
  <si>
    <t>6級地</t>
  </si>
  <si>
    <t>北海道</t>
  </si>
  <si>
    <t>札幌市</t>
  </si>
  <si>
    <t>茨城県</t>
  </si>
  <si>
    <t>栃木県</t>
  </si>
  <si>
    <t>群馬県</t>
  </si>
  <si>
    <t>石川県</t>
  </si>
  <si>
    <t>福井県</t>
  </si>
  <si>
    <t>福井市</t>
  </si>
  <si>
    <t>山梨県</t>
  </si>
  <si>
    <t>甲府市</t>
  </si>
  <si>
    <t>長野県</t>
  </si>
  <si>
    <t>三重県</t>
  </si>
  <si>
    <t>和歌山県</t>
  </si>
  <si>
    <t>岡山県</t>
  </si>
  <si>
    <t>岡山市</t>
  </si>
  <si>
    <t>山口県</t>
  </si>
  <si>
    <t>周南市</t>
  </si>
  <si>
    <t>長崎県</t>
  </si>
  <si>
    <t>長崎市</t>
  </si>
  <si>
    <t>その他</t>
  </si>
  <si>
    <t>その他の地域</t>
  </si>
  <si>
    <t>その他</t>
    <rPh sb="2" eb="3">
      <t>タ</t>
    </rPh>
    <phoneticPr fontId="2"/>
  </si>
  <si>
    <t>地域区分</t>
    <rPh sb="0" eb="2">
      <t>チイキ</t>
    </rPh>
    <rPh sb="2" eb="4">
      <t>クブン</t>
    </rPh>
    <phoneticPr fontId="2"/>
  </si>
  <si>
    <t>施設種類</t>
    <rPh sb="0" eb="2">
      <t>シセツ</t>
    </rPh>
    <rPh sb="2" eb="4">
      <t>シュルイ</t>
    </rPh>
    <phoneticPr fontId="2"/>
  </si>
  <si>
    <t>居室種類</t>
    <rPh sb="0" eb="2">
      <t>キョシツ</t>
    </rPh>
    <rPh sb="2" eb="4">
      <t>シュルイ</t>
    </rPh>
    <phoneticPr fontId="2"/>
  </si>
  <si>
    <t>従来型個室</t>
  </si>
  <si>
    <t>従来型個室</t>
    <phoneticPr fontId="2"/>
  </si>
  <si>
    <t>合計</t>
    <rPh sb="0" eb="2">
      <t>ゴウケイ</t>
    </rPh>
    <phoneticPr fontId="2"/>
  </si>
  <si>
    <t>従来型個室</t>
    <rPh sb="0" eb="3">
      <t>ジュウライガタ</t>
    </rPh>
    <rPh sb="3" eb="5">
      <t>コシツ</t>
    </rPh>
    <phoneticPr fontId="2"/>
  </si>
  <si>
    <t>単位数</t>
    <rPh sb="0" eb="2">
      <t>タンイ</t>
    </rPh>
    <rPh sb="2" eb="3">
      <t>スウ</t>
    </rPh>
    <phoneticPr fontId="2"/>
  </si>
  <si>
    <t>日毎</t>
    <rPh sb="0" eb="1">
      <t>ニチ</t>
    </rPh>
    <rPh sb="1" eb="2">
      <t>ゴト</t>
    </rPh>
    <phoneticPr fontId="2"/>
  </si>
  <si>
    <t>月毎</t>
    <rPh sb="0" eb="1">
      <t>ツキ</t>
    </rPh>
    <rPh sb="1" eb="2">
      <t>ゴト</t>
    </rPh>
    <phoneticPr fontId="2"/>
  </si>
  <si>
    <t>算定有無</t>
    <rPh sb="0" eb="2">
      <t>サンテイ</t>
    </rPh>
    <rPh sb="2" eb="4">
      <t>ウム</t>
    </rPh>
    <phoneticPr fontId="2"/>
  </si>
  <si>
    <t>利用者負担段階</t>
  </si>
  <si>
    <t>食費</t>
  </si>
  <si>
    <t>居　　住　　費</t>
  </si>
  <si>
    <t>多床室</t>
  </si>
  <si>
    <t>ユニット型準</t>
  </si>
  <si>
    <t>ユニット型</t>
  </si>
  <si>
    <t>第１段階</t>
  </si>
  <si>
    <t>第２段階</t>
  </si>
  <si>
    <t>第３段階</t>
  </si>
  <si>
    <t>対　　象　　者</t>
  </si>
  <si>
    <t>・市町村民税世帯非課税の老齢福祉年金受給者・生活保護受給者</t>
  </si>
  <si>
    <t>・市町村民税世帯非課税であって、課税年金収入額と合計所得金額の合計が８０万円以下の方</t>
  </si>
  <si>
    <t>・本人及び世帯全員が市町村民税非課税で、利用者負担第２段階以外の方</t>
  </si>
  <si>
    <t>第４段階</t>
  </si>
  <si>
    <t>・同じ世帯内に住民税課税</t>
  </si>
  <si>
    <t>多床室</t>
    <rPh sb="0" eb="1">
      <t>タ</t>
    </rPh>
    <rPh sb="1" eb="2">
      <t>ショウ</t>
    </rPh>
    <rPh sb="2" eb="3">
      <t>シツ</t>
    </rPh>
    <phoneticPr fontId="2"/>
  </si>
  <si>
    <t>入所</t>
    <rPh sb="0" eb="2">
      <t>ニュウショ</t>
    </rPh>
    <phoneticPr fontId="2"/>
  </si>
  <si>
    <t>地域区分単価（人件費45％）</t>
    <rPh sb="0" eb="2">
      <t>チイキ</t>
    </rPh>
    <rPh sb="2" eb="4">
      <t>クブン</t>
    </rPh>
    <rPh sb="4" eb="6">
      <t>タンカ</t>
    </rPh>
    <rPh sb="7" eb="10">
      <t>ジンケンヒ</t>
    </rPh>
    <phoneticPr fontId="2"/>
  </si>
  <si>
    <t>7級地</t>
  </si>
  <si>
    <t>岐阜市</t>
    <rPh sb="0" eb="3">
      <t>ギフシ</t>
    </rPh>
    <phoneticPr fontId="2"/>
  </si>
  <si>
    <t>岐阜県</t>
    <rPh sb="0" eb="3">
      <t>ギフケン</t>
    </rPh>
    <phoneticPr fontId="2"/>
  </si>
  <si>
    <t>新潟県</t>
    <rPh sb="0" eb="3">
      <t>ニイガタケン</t>
    </rPh>
    <phoneticPr fontId="2"/>
  </si>
  <si>
    <t>新潟市</t>
    <rPh sb="0" eb="3">
      <t>ニイガタシ</t>
    </rPh>
    <phoneticPr fontId="2"/>
  </si>
  <si>
    <t>富山県</t>
    <rPh sb="0" eb="3">
      <t>トヤマケン</t>
    </rPh>
    <phoneticPr fontId="2"/>
  </si>
  <si>
    <t>富山市</t>
    <rPh sb="0" eb="3">
      <t>トヤマシ</t>
    </rPh>
    <phoneticPr fontId="2"/>
  </si>
  <si>
    <t>香川県</t>
    <rPh sb="0" eb="3">
      <t>カガワケン</t>
    </rPh>
    <phoneticPr fontId="2"/>
  </si>
  <si>
    <t>高松市</t>
    <rPh sb="0" eb="3">
      <t>タカマツシ</t>
    </rPh>
    <phoneticPr fontId="2"/>
  </si>
  <si>
    <t>多床室</t>
    <phoneticPr fontId="2"/>
  </si>
  <si>
    <t>多床室</t>
    <phoneticPr fontId="2"/>
  </si>
  <si>
    <t>サービス提供体制強化加算（Ⅲ）</t>
    <phoneticPr fontId="2"/>
  </si>
  <si>
    <t>徳島県</t>
    <rPh sb="0" eb="2">
      <t>トクシマ</t>
    </rPh>
    <rPh sb="2" eb="3">
      <t>ケン</t>
    </rPh>
    <phoneticPr fontId="2"/>
  </si>
  <si>
    <t>徳島市</t>
    <rPh sb="0" eb="2">
      <t>トクシマ</t>
    </rPh>
    <rPh sb="2" eb="3">
      <t>シ</t>
    </rPh>
    <phoneticPr fontId="2"/>
  </si>
  <si>
    <t>認知症専門ケア加算</t>
    <rPh sb="0" eb="2">
      <t>ニンチ</t>
    </rPh>
    <rPh sb="2" eb="3">
      <t>ショウ</t>
    </rPh>
    <rPh sb="3" eb="5">
      <t>センモン</t>
    </rPh>
    <rPh sb="7" eb="9">
      <t>カサン</t>
    </rPh>
    <phoneticPr fontId="2"/>
  </si>
  <si>
    <t>日毎</t>
    <rPh sb="0" eb="1">
      <t>ヒ</t>
    </rPh>
    <rPh sb="1" eb="2">
      <t>ゴト</t>
    </rPh>
    <phoneticPr fontId="2"/>
  </si>
  <si>
    <t>経口移行加算</t>
    <rPh sb="0" eb="2">
      <t>ケイコウ</t>
    </rPh>
    <rPh sb="2" eb="4">
      <t>イコウ</t>
    </rPh>
    <rPh sb="4" eb="6">
      <t>カサン</t>
    </rPh>
    <phoneticPr fontId="2"/>
  </si>
  <si>
    <t>経口維持加算</t>
    <rPh sb="0" eb="2">
      <t>ケイコウ</t>
    </rPh>
    <rPh sb="2" eb="4">
      <t>イジ</t>
    </rPh>
    <rPh sb="4" eb="6">
      <t>カサン</t>
    </rPh>
    <phoneticPr fontId="2"/>
  </si>
  <si>
    <t>ユニット型個室</t>
    <phoneticPr fontId="2"/>
  </si>
  <si>
    <t>Ⅰ型介護医療院サービス費（Ⅰ）</t>
    <rPh sb="1" eb="2">
      <t>カタ</t>
    </rPh>
    <rPh sb="2" eb="4">
      <t>カイゴ</t>
    </rPh>
    <rPh sb="4" eb="6">
      <t>イリョウ</t>
    </rPh>
    <rPh sb="6" eb="7">
      <t>イン</t>
    </rPh>
    <rPh sb="11" eb="12">
      <t>ヒ</t>
    </rPh>
    <phoneticPr fontId="2"/>
  </si>
  <si>
    <t>Ⅰ型介護医療院サービス費（Ⅱ）</t>
  </si>
  <si>
    <t>Ⅰ型介護医療院サービス費（Ⅲ）</t>
  </si>
  <si>
    <t>Ⅰ型介護医療院サービス費（Ⅱ）</t>
    <rPh sb="1" eb="2">
      <t>カタ</t>
    </rPh>
    <rPh sb="2" eb="4">
      <t>カイゴ</t>
    </rPh>
    <rPh sb="4" eb="6">
      <t>イリョウ</t>
    </rPh>
    <rPh sb="6" eb="7">
      <t>イン</t>
    </rPh>
    <rPh sb="11" eb="12">
      <t>ヒ</t>
    </rPh>
    <phoneticPr fontId="2"/>
  </si>
  <si>
    <t>Ⅱ型介護医療院サービス費（Ⅰ）</t>
  </si>
  <si>
    <t>Ⅱ型介護医療院サービス費（Ⅰ）</t>
    <rPh sb="1" eb="2">
      <t>カタ</t>
    </rPh>
    <rPh sb="2" eb="4">
      <t>カイゴ</t>
    </rPh>
    <rPh sb="4" eb="6">
      <t>イリョウ</t>
    </rPh>
    <rPh sb="6" eb="7">
      <t>イン</t>
    </rPh>
    <rPh sb="11" eb="12">
      <t>ヒ</t>
    </rPh>
    <phoneticPr fontId="2"/>
  </si>
  <si>
    <t>Ⅱ型介護医療院サービス費（Ⅱ）</t>
    <rPh sb="1" eb="2">
      <t>カタ</t>
    </rPh>
    <rPh sb="2" eb="4">
      <t>カイゴ</t>
    </rPh>
    <rPh sb="4" eb="6">
      <t>イリョウ</t>
    </rPh>
    <rPh sb="6" eb="7">
      <t>イン</t>
    </rPh>
    <rPh sb="11" eb="12">
      <t>ヒ</t>
    </rPh>
    <phoneticPr fontId="2"/>
  </si>
  <si>
    <t>Ⅱ型介護医療院サービス費（Ⅲ）</t>
    <rPh sb="1" eb="2">
      <t>カタ</t>
    </rPh>
    <rPh sb="2" eb="4">
      <t>カイゴ</t>
    </rPh>
    <rPh sb="4" eb="6">
      <t>イリョウ</t>
    </rPh>
    <rPh sb="6" eb="7">
      <t>イン</t>
    </rPh>
    <rPh sb="11" eb="12">
      <t>ヒ</t>
    </rPh>
    <phoneticPr fontId="2"/>
  </si>
  <si>
    <t>Ⅰ型介護医療院サービス費（Ⅲ）</t>
    <rPh sb="1" eb="2">
      <t>カタ</t>
    </rPh>
    <rPh sb="2" eb="4">
      <t>カイゴ</t>
    </rPh>
    <rPh sb="4" eb="6">
      <t>イリョウ</t>
    </rPh>
    <rPh sb="6" eb="7">
      <t>イン</t>
    </rPh>
    <rPh sb="11" eb="12">
      <t>ヒ</t>
    </rPh>
    <phoneticPr fontId="2"/>
  </si>
  <si>
    <t>Ⅱ型介護医療院サービス費（Ⅱ）</t>
    <phoneticPr fontId="2"/>
  </si>
  <si>
    <t>Ⅱ型介護医療院サービス費（Ⅲ）</t>
    <phoneticPr fontId="2"/>
  </si>
  <si>
    <t>Ⅰ型特別介護医療院サービス費</t>
    <rPh sb="1" eb="2">
      <t>ガタ</t>
    </rPh>
    <rPh sb="2" eb="4">
      <t>トクベツ</t>
    </rPh>
    <rPh sb="4" eb="6">
      <t>カイゴ</t>
    </rPh>
    <rPh sb="6" eb="8">
      <t>イリョウ</t>
    </rPh>
    <rPh sb="8" eb="9">
      <t>イン</t>
    </rPh>
    <rPh sb="13" eb="14">
      <t>ヒ</t>
    </rPh>
    <phoneticPr fontId="2"/>
  </si>
  <si>
    <t>Ⅰ型介護医療院サービス費（Ⅰ）</t>
    <phoneticPr fontId="2"/>
  </si>
  <si>
    <t>ユニット型Ⅰ型介護医療院サービス費（Ⅰ）</t>
    <rPh sb="4" eb="5">
      <t>ガタ</t>
    </rPh>
    <rPh sb="6" eb="7">
      <t>カタ</t>
    </rPh>
    <rPh sb="7" eb="9">
      <t>カイゴ</t>
    </rPh>
    <rPh sb="9" eb="11">
      <t>イリョウ</t>
    </rPh>
    <rPh sb="11" eb="12">
      <t>イン</t>
    </rPh>
    <rPh sb="16" eb="17">
      <t>ヒ</t>
    </rPh>
    <phoneticPr fontId="2"/>
  </si>
  <si>
    <t>ユニット型Ⅰ型介護医療院サービス費（Ⅱ）</t>
    <rPh sb="4" eb="5">
      <t>ガタ</t>
    </rPh>
    <phoneticPr fontId="2"/>
  </si>
  <si>
    <t>Ⅱ型特別介護医療院サービス費</t>
    <rPh sb="1" eb="2">
      <t>カタ</t>
    </rPh>
    <rPh sb="2" eb="4">
      <t>トクベツ</t>
    </rPh>
    <rPh sb="4" eb="6">
      <t>カイゴ</t>
    </rPh>
    <rPh sb="6" eb="8">
      <t>イリョウ</t>
    </rPh>
    <rPh sb="8" eb="9">
      <t>イン</t>
    </rPh>
    <rPh sb="13" eb="14">
      <t>ヒ</t>
    </rPh>
    <phoneticPr fontId="2"/>
  </si>
  <si>
    <t>ユニット型Ⅰ型介護医療院サービス費（Ⅰ）</t>
    <rPh sb="4" eb="5">
      <t>ガタ</t>
    </rPh>
    <rPh sb="6" eb="7">
      <t>カタ</t>
    </rPh>
    <rPh sb="7" eb="9">
      <t>カイゴ</t>
    </rPh>
    <rPh sb="9" eb="11">
      <t>イリョウ</t>
    </rPh>
    <rPh sb="11" eb="12">
      <t>イン</t>
    </rPh>
    <rPh sb="16" eb="17">
      <t>ヒ</t>
    </rPh>
    <phoneticPr fontId="2"/>
  </si>
  <si>
    <t>ユニット型Ⅰ型介護医療院サービス費（Ⅱ）</t>
    <rPh sb="6" eb="7">
      <t>カタ</t>
    </rPh>
    <rPh sb="7" eb="9">
      <t>カイゴ</t>
    </rPh>
    <rPh sb="9" eb="11">
      <t>イリョウ</t>
    </rPh>
    <rPh sb="11" eb="12">
      <t>イン</t>
    </rPh>
    <rPh sb="16" eb="17">
      <t>ヒ</t>
    </rPh>
    <phoneticPr fontId="2"/>
  </si>
  <si>
    <t>ユニット型Ⅱ型介護医療院サービス費</t>
    <rPh sb="6" eb="7">
      <t>カタ</t>
    </rPh>
    <rPh sb="7" eb="9">
      <t>カイゴ</t>
    </rPh>
    <rPh sb="9" eb="11">
      <t>イリョウ</t>
    </rPh>
    <rPh sb="11" eb="12">
      <t>イン</t>
    </rPh>
    <rPh sb="16" eb="17">
      <t>ヒ</t>
    </rPh>
    <phoneticPr fontId="2"/>
  </si>
  <si>
    <t>ユニット型Ⅰ型特別介護医療院サービス費</t>
    <rPh sb="6" eb="7">
      <t>カタ</t>
    </rPh>
    <rPh sb="7" eb="9">
      <t>トクベツ</t>
    </rPh>
    <rPh sb="9" eb="11">
      <t>カイゴ</t>
    </rPh>
    <rPh sb="11" eb="13">
      <t>イリョウ</t>
    </rPh>
    <rPh sb="13" eb="14">
      <t>イン</t>
    </rPh>
    <rPh sb="18" eb="19">
      <t>ヒ</t>
    </rPh>
    <phoneticPr fontId="2"/>
  </si>
  <si>
    <t>ユニット型Ⅱ型特別介護医療院サービス費</t>
    <rPh sb="6" eb="7">
      <t>カタ</t>
    </rPh>
    <rPh sb="7" eb="9">
      <t>トクベツ</t>
    </rPh>
    <rPh sb="9" eb="11">
      <t>カイゴ</t>
    </rPh>
    <rPh sb="11" eb="13">
      <t>イリョウ</t>
    </rPh>
    <rPh sb="13" eb="14">
      <t>イン</t>
    </rPh>
    <rPh sb="18" eb="19">
      <t>ヒ</t>
    </rPh>
    <phoneticPr fontId="2"/>
  </si>
  <si>
    <t>ユニット型Ⅱ型介護医療院サービス費</t>
    <phoneticPr fontId="2"/>
  </si>
  <si>
    <t>ユニット型Ⅰ型特別介護医療院サービス費</t>
    <rPh sb="4" eb="5">
      <t>ガタ</t>
    </rPh>
    <rPh sb="7" eb="9">
      <t>トクベツ</t>
    </rPh>
    <phoneticPr fontId="2"/>
  </si>
  <si>
    <t>ユニット型Ⅱ型特別介護医療院サービス費</t>
    <phoneticPr fontId="2"/>
  </si>
  <si>
    <t>ユニット型個室的多床室</t>
    <rPh sb="4" eb="5">
      <t>ガタ</t>
    </rPh>
    <phoneticPr fontId="2"/>
  </si>
  <si>
    <t>ユニット型個室</t>
    <phoneticPr fontId="2"/>
  </si>
  <si>
    <t>ユニット型個室</t>
    <phoneticPr fontId="2"/>
  </si>
  <si>
    <t>ユニット型個室的多床室</t>
    <rPh sb="4" eb="5">
      <t>ガタ</t>
    </rPh>
    <phoneticPr fontId="2"/>
  </si>
  <si>
    <t>ユニット型個室的多床室</t>
    <phoneticPr fontId="2"/>
  </si>
  <si>
    <t>ユニット型個室的多床室</t>
    <phoneticPr fontId="2"/>
  </si>
  <si>
    <t>夜間勤務等看護（Ⅰ）</t>
    <rPh sb="0" eb="2">
      <t>ヤカン</t>
    </rPh>
    <rPh sb="2" eb="4">
      <t>キンム</t>
    </rPh>
    <rPh sb="4" eb="5">
      <t>トウ</t>
    </rPh>
    <phoneticPr fontId="2"/>
  </si>
  <si>
    <t>夜間勤務等看護（Ⅱ）</t>
    <rPh sb="0" eb="2">
      <t>ヤカン</t>
    </rPh>
    <rPh sb="2" eb="4">
      <t>キンム</t>
    </rPh>
    <rPh sb="4" eb="5">
      <t>トウ</t>
    </rPh>
    <phoneticPr fontId="2"/>
  </si>
  <si>
    <t>夜間勤務等看護（Ⅲ）</t>
    <rPh sb="0" eb="2">
      <t>ヤカン</t>
    </rPh>
    <rPh sb="2" eb="4">
      <t>キンム</t>
    </rPh>
    <rPh sb="4" eb="5">
      <t>トウ</t>
    </rPh>
    <phoneticPr fontId="2"/>
  </si>
  <si>
    <t>夜間勤務等看護（Ⅳ）</t>
    <rPh sb="0" eb="2">
      <t>ヤカン</t>
    </rPh>
    <rPh sb="2" eb="4">
      <t>キンム</t>
    </rPh>
    <rPh sb="4" eb="5">
      <t>トウ</t>
    </rPh>
    <phoneticPr fontId="2"/>
  </si>
  <si>
    <t>療養食加算</t>
    <rPh sb="0" eb="2">
      <t>リョウヨウ</t>
    </rPh>
    <rPh sb="2" eb="3">
      <t>ショク</t>
    </rPh>
    <rPh sb="3" eb="5">
      <t>カサン</t>
    </rPh>
    <phoneticPr fontId="2"/>
  </si>
  <si>
    <t>排せつ支援加算</t>
    <rPh sb="0" eb="1">
      <t>ハイ</t>
    </rPh>
    <rPh sb="3" eb="5">
      <t>シエン</t>
    </rPh>
    <rPh sb="5" eb="7">
      <t>カサン</t>
    </rPh>
    <phoneticPr fontId="2"/>
  </si>
  <si>
    <t>初期加算</t>
    <rPh sb="0" eb="2">
      <t>ショキ</t>
    </rPh>
    <rPh sb="2" eb="4">
      <t>カサン</t>
    </rPh>
    <phoneticPr fontId="2"/>
  </si>
  <si>
    <t>再入所時栄養連携加算</t>
    <rPh sb="0" eb="3">
      <t>サイニュウショ</t>
    </rPh>
    <rPh sb="3" eb="4">
      <t>トキ</t>
    </rPh>
    <rPh sb="4" eb="6">
      <t>エイヨウ</t>
    </rPh>
    <rPh sb="6" eb="8">
      <t>レンケイ</t>
    </rPh>
    <rPh sb="8" eb="10">
      <t>カサン</t>
    </rPh>
    <phoneticPr fontId="2"/>
  </si>
  <si>
    <t>退所時指導等加算</t>
    <rPh sb="0" eb="2">
      <t>タイショ</t>
    </rPh>
    <rPh sb="2" eb="3">
      <t>ジ</t>
    </rPh>
    <rPh sb="3" eb="5">
      <t>シドウ</t>
    </rPh>
    <rPh sb="5" eb="6">
      <t>トウ</t>
    </rPh>
    <rPh sb="6" eb="8">
      <t>カサン</t>
    </rPh>
    <phoneticPr fontId="2"/>
  </si>
  <si>
    <t>退所前訪問指導加算</t>
    <rPh sb="0" eb="2">
      <t>タイショ</t>
    </rPh>
    <rPh sb="2" eb="3">
      <t>マエ</t>
    </rPh>
    <rPh sb="3" eb="5">
      <t>ホウモン</t>
    </rPh>
    <rPh sb="5" eb="7">
      <t>シドウ</t>
    </rPh>
    <rPh sb="7" eb="9">
      <t>カサン</t>
    </rPh>
    <phoneticPr fontId="2"/>
  </si>
  <si>
    <t>退所後訪問指導加算</t>
    <rPh sb="0" eb="2">
      <t>タイショ</t>
    </rPh>
    <rPh sb="2" eb="3">
      <t>ゴ</t>
    </rPh>
    <rPh sb="3" eb="5">
      <t>ホウモン</t>
    </rPh>
    <rPh sb="5" eb="7">
      <t>シドウ</t>
    </rPh>
    <rPh sb="7" eb="9">
      <t>カサン</t>
    </rPh>
    <phoneticPr fontId="2"/>
  </si>
  <si>
    <t>退所時指導加算</t>
    <rPh sb="0" eb="2">
      <t>タイショ</t>
    </rPh>
    <rPh sb="2" eb="3">
      <t>ジ</t>
    </rPh>
    <rPh sb="3" eb="5">
      <t>シドウ</t>
    </rPh>
    <rPh sb="5" eb="7">
      <t>カサン</t>
    </rPh>
    <phoneticPr fontId="2"/>
  </si>
  <si>
    <t>退所時情報提供加算</t>
    <rPh sb="0" eb="2">
      <t>タイショ</t>
    </rPh>
    <rPh sb="2" eb="3">
      <t>ジ</t>
    </rPh>
    <rPh sb="3" eb="5">
      <t>ジョウホウ</t>
    </rPh>
    <rPh sb="5" eb="7">
      <t>テイキョウ</t>
    </rPh>
    <rPh sb="7" eb="9">
      <t>カサン</t>
    </rPh>
    <phoneticPr fontId="2"/>
  </si>
  <si>
    <t>退所前連携加算</t>
    <rPh sb="0" eb="2">
      <t>タイショ</t>
    </rPh>
    <rPh sb="2" eb="3">
      <t>マエ</t>
    </rPh>
    <rPh sb="3" eb="5">
      <t>レンケイ</t>
    </rPh>
    <rPh sb="5" eb="7">
      <t>カサン</t>
    </rPh>
    <phoneticPr fontId="2"/>
  </si>
  <si>
    <t>訪問看護指示加算</t>
    <rPh sb="0" eb="2">
      <t>ホウモン</t>
    </rPh>
    <rPh sb="2" eb="4">
      <t>カンゴ</t>
    </rPh>
    <rPh sb="4" eb="6">
      <t>シジ</t>
    </rPh>
    <rPh sb="6" eb="8">
      <t>カサン</t>
    </rPh>
    <phoneticPr fontId="2"/>
  </si>
  <si>
    <t>在宅復帰支援機能加算</t>
    <rPh sb="0" eb="2">
      <t>ザイタク</t>
    </rPh>
    <rPh sb="2" eb="4">
      <t>フッキ</t>
    </rPh>
    <rPh sb="4" eb="6">
      <t>シエン</t>
    </rPh>
    <rPh sb="6" eb="8">
      <t>キノウ</t>
    </rPh>
    <rPh sb="8" eb="10">
      <t>カサン</t>
    </rPh>
    <phoneticPr fontId="2"/>
  </si>
  <si>
    <t>特別診療費</t>
    <rPh sb="0" eb="2">
      <t>トクベツ</t>
    </rPh>
    <rPh sb="2" eb="5">
      <t>シンリョウヒ</t>
    </rPh>
    <phoneticPr fontId="2"/>
  </si>
  <si>
    <t>緊急時治療管理</t>
    <rPh sb="0" eb="3">
      <t>キンキュウジ</t>
    </rPh>
    <rPh sb="3" eb="5">
      <t>チリョウ</t>
    </rPh>
    <rPh sb="5" eb="7">
      <t>カンリ</t>
    </rPh>
    <phoneticPr fontId="2"/>
  </si>
  <si>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</si>
  <si>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</si>
  <si>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若年性認知症入所者受入加算</t>
    <rPh sb="0" eb="3">
      <t>ジャクネンセイ</t>
    </rPh>
    <rPh sb="3" eb="6">
      <t>ニンチショウ</t>
    </rPh>
    <rPh sb="6" eb="9">
      <t>ニュウショシャ</t>
    </rPh>
    <rPh sb="9" eb="10">
      <t>ウ</t>
    </rPh>
    <rPh sb="10" eb="11">
      <t>イ</t>
    </rPh>
    <rPh sb="11" eb="13">
      <t>カサン</t>
    </rPh>
    <phoneticPr fontId="2"/>
  </si>
  <si>
    <t>外泊時費用</t>
    <rPh sb="0" eb="2">
      <t>ガイハク</t>
    </rPh>
    <rPh sb="2" eb="3">
      <t>ジ</t>
    </rPh>
    <rPh sb="3" eb="5">
      <t>ヒヨウ</t>
    </rPh>
    <phoneticPr fontId="2"/>
  </si>
  <si>
    <t>試行的退所サービス費</t>
    <rPh sb="0" eb="3">
      <t>シコウテキ</t>
    </rPh>
    <rPh sb="3" eb="5">
      <t>タイショ</t>
    </rPh>
    <rPh sb="9" eb="10">
      <t>ヒ</t>
    </rPh>
    <phoneticPr fontId="2"/>
  </si>
  <si>
    <t>他科受診時費用</t>
    <rPh sb="0" eb="2">
      <t>タカ</t>
    </rPh>
    <rPh sb="2" eb="4">
      <t>ジュシン</t>
    </rPh>
    <rPh sb="4" eb="5">
      <t>ジ</t>
    </rPh>
    <rPh sb="5" eb="7">
      <t>ヒヨウ</t>
    </rPh>
    <phoneticPr fontId="2"/>
  </si>
  <si>
    <t>日毎</t>
    <phoneticPr fontId="2"/>
  </si>
  <si>
    <t>回</t>
    <rPh sb="0" eb="1">
      <t>カイ</t>
    </rPh>
    <phoneticPr fontId="2"/>
  </si>
  <si>
    <t>算定基準</t>
    <rPh sb="0" eb="2">
      <t>サンテイ</t>
    </rPh>
    <rPh sb="2" eb="4">
      <t>キジュン</t>
    </rPh>
    <phoneticPr fontId="2"/>
  </si>
  <si>
    <t>回</t>
    <phoneticPr fontId="2"/>
  </si>
  <si>
    <t>重度認知症疾患療養体制加算（Ⅰ）</t>
    <phoneticPr fontId="2"/>
  </si>
  <si>
    <t>重度認知症疾患療養体制加算（Ⅱ）</t>
    <phoneticPr fontId="2"/>
  </si>
  <si>
    <t>認知症専門ケア加算（Ⅰ）</t>
    <rPh sb="0" eb="2">
      <t>ニンチ</t>
    </rPh>
    <rPh sb="2" eb="3">
      <t>ショウ</t>
    </rPh>
    <rPh sb="3" eb="5">
      <t>センモン</t>
    </rPh>
    <rPh sb="7" eb="9">
      <t>カサン</t>
    </rPh>
    <phoneticPr fontId="2"/>
  </si>
  <si>
    <t>認知症専門ケア加算（Ⅱ）</t>
    <rPh sb="0" eb="2">
      <t>ニンチ</t>
    </rPh>
    <rPh sb="2" eb="3">
      <t>ショウ</t>
    </rPh>
    <rPh sb="3" eb="5">
      <t>センモン</t>
    </rPh>
    <rPh sb="7" eb="9">
      <t>カサン</t>
    </rPh>
    <phoneticPr fontId="2"/>
  </si>
  <si>
    <t>感染対策指導管理</t>
    <rPh sb="0" eb="2">
      <t>カンセン</t>
    </rPh>
    <rPh sb="2" eb="4">
      <t>タイサク</t>
    </rPh>
    <rPh sb="4" eb="6">
      <t>シドウ</t>
    </rPh>
    <rPh sb="6" eb="8">
      <t>カンリ</t>
    </rPh>
    <phoneticPr fontId="2"/>
  </si>
  <si>
    <t>褥瘡対策指導管理</t>
    <rPh sb="0" eb="2">
      <t>ジョクソウ</t>
    </rPh>
    <rPh sb="2" eb="4">
      <t>タイサク</t>
    </rPh>
    <rPh sb="4" eb="6">
      <t>シドウ</t>
    </rPh>
    <rPh sb="6" eb="8">
      <t>カンリ</t>
    </rPh>
    <phoneticPr fontId="2"/>
  </si>
  <si>
    <t>初期入所診療管理</t>
    <rPh sb="0" eb="2">
      <t>ショキ</t>
    </rPh>
    <rPh sb="2" eb="4">
      <t>ニュウショ</t>
    </rPh>
    <rPh sb="4" eb="6">
      <t>シンリョウ</t>
    </rPh>
    <rPh sb="6" eb="8">
      <t>カンリ</t>
    </rPh>
    <phoneticPr fontId="2"/>
  </si>
  <si>
    <t>重度療養管理</t>
    <rPh sb="0" eb="2">
      <t>ジュウド</t>
    </rPh>
    <rPh sb="2" eb="4">
      <t>リョウヨウ</t>
    </rPh>
    <rPh sb="4" eb="6">
      <t>カンリ</t>
    </rPh>
    <phoneticPr fontId="2"/>
  </si>
  <si>
    <t>特定施設管理</t>
    <rPh sb="0" eb="2">
      <t>トクテイ</t>
    </rPh>
    <rPh sb="2" eb="4">
      <t>シセツ</t>
    </rPh>
    <rPh sb="4" eb="6">
      <t>カンリ</t>
    </rPh>
    <phoneticPr fontId="2"/>
  </si>
  <si>
    <t>重症皮膚潰瘍管理指導</t>
    <phoneticPr fontId="2"/>
  </si>
  <si>
    <t>診療費大項目</t>
    <rPh sb="0" eb="2">
      <t>シンリョウ</t>
    </rPh>
    <rPh sb="2" eb="3">
      <t>ヒ</t>
    </rPh>
    <rPh sb="3" eb="4">
      <t>ダイ</t>
    </rPh>
    <rPh sb="4" eb="6">
      <t>コウモク</t>
    </rPh>
    <phoneticPr fontId="2"/>
  </si>
  <si>
    <t>診療費小項目</t>
    <rPh sb="0" eb="2">
      <t>シンリョウ</t>
    </rPh>
    <rPh sb="2" eb="3">
      <t>ヒ</t>
    </rPh>
    <rPh sb="3" eb="4">
      <t>ショウ</t>
    </rPh>
    <rPh sb="4" eb="6">
      <t>コウモク</t>
    </rPh>
    <phoneticPr fontId="2"/>
  </si>
  <si>
    <t>医学情報提供（Ⅰ）</t>
    <rPh sb="0" eb="2">
      <t>イガク</t>
    </rPh>
    <rPh sb="2" eb="4">
      <t>ジョウホウ</t>
    </rPh>
    <rPh sb="4" eb="6">
      <t>テイキョウ</t>
    </rPh>
    <phoneticPr fontId="2"/>
  </si>
  <si>
    <t>医学情報提供（Ⅱ）</t>
    <rPh sb="0" eb="2">
      <t>イガク</t>
    </rPh>
    <rPh sb="2" eb="4">
      <t>ジョウホウ</t>
    </rPh>
    <rPh sb="4" eb="6">
      <t>テイキョウ</t>
    </rPh>
    <phoneticPr fontId="2"/>
  </si>
  <si>
    <t>（加算）疼痛緩和</t>
    <rPh sb="1" eb="3">
      <t>カサン</t>
    </rPh>
    <rPh sb="4" eb="5">
      <t>ウズ</t>
    </rPh>
    <rPh sb="5" eb="6">
      <t>イタ</t>
    </rPh>
    <rPh sb="6" eb="8">
      <t>カンワ</t>
    </rPh>
    <phoneticPr fontId="2"/>
  </si>
  <si>
    <t>理学療法</t>
    <rPh sb="0" eb="2">
      <t>リガク</t>
    </rPh>
    <rPh sb="2" eb="4">
      <t>リョウホウ</t>
    </rPh>
    <phoneticPr fontId="2"/>
  </si>
  <si>
    <t>理学療法（Ⅰ）</t>
    <rPh sb="0" eb="2">
      <t>リガク</t>
    </rPh>
    <rPh sb="2" eb="4">
      <t>リョウホウ</t>
    </rPh>
    <phoneticPr fontId="2"/>
  </si>
  <si>
    <t>理学療法（Ⅱ）</t>
    <rPh sb="0" eb="2">
      <t>リガク</t>
    </rPh>
    <rPh sb="2" eb="4">
      <t>リョウホウ</t>
    </rPh>
    <phoneticPr fontId="2"/>
  </si>
  <si>
    <t>（加算）リハ計画策定</t>
    <rPh sb="6" eb="8">
      <t>ケイカク</t>
    </rPh>
    <rPh sb="8" eb="10">
      <t>サクテイ</t>
    </rPh>
    <phoneticPr fontId="2"/>
  </si>
  <si>
    <t>（加算）入所生活リハ管理指導</t>
    <rPh sb="4" eb="6">
      <t>ニュウショ</t>
    </rPh>
    <rPh sb="6" eb="8">
      <t>セイカツ</t>
    </rPh>
    <rPh sb="10" eb="12">
      <t>カンリ</t>
    </rPh>
    <rPh sb="12" eb="14">
      <t>シドウ</t>
    </rPh>
    <phoneticPr fontId="2"/>
  </si>
  <si>
    <t>（加算）専従職員２名配置</t>
    <rPh sb="4" eb="6">
      <t>センジュウ</t>
    </rPh>
    <rPh sb="6" eb="8">
      <t>ショクイン</t>
    </rPh>
    <rPh sb="9" eb="10">
      <t>メイ</t>
    </rPh>
    <rPh sb="10" eb="12">
      <t>ハイチ</t>
    </rPh>
    <phoneticPr fontId="2"/>
  </si>
  <si>
    <t>作業療法</t>
    <rPh sb="0" eb="2">
      <t>サギョウ</t>
    </rPh>
    <rPh sb="2" eb="4">
      <t>リョウホウ</t>
    </rPh>
    <phoneticPr fontId="2"/>
  </si>
  <si>
    <t>言語聴覚療法</t>
    <rPh sb="0" eb="2">
      <t>ゲンゴ</t>
    </rPh>
    <rPh sb="2" eb="4">
      <t>チョウカク</t>
    </rPh>
    <rPh sb="4" eb="6">
      <t>リョウホウ</t>
    </rPh>
    <phoneticPr fontId="2"/>
  </si>
  <si>
    <t>集団コミュニケーション療法</t>
    <rPh sb="0" eb="2">
      <t>シュウダン</t>
    </rPh>
    <rPh sb="11" eb="13">
      <t>リョウホウ</t>
    </rPh>
    <phoneticPr fontId="2"/>
  </si>
  <si>
    <t>摂食機能療法</t>
    <rPh sb="0" eb="2">
      <t>セッショク</t>
    </rPh>
    <rPh sb="2" eb="4">
      <t>キノウ</t>
    </rPh>
    <rPh sb="4" eb="6">
      <t>リョウホウ</t>
    </rPh>
    <phoneticPr fontId="2"/>
  </si>
  <si>
    <t>短期集中リハビリテーション</t>
    <rPh sb="0" eb="2">
      <t>タンキ</t>
    </rPh>
    <rPh sb="2" eb="4">
      <t>シュウチュウ</t>
    </rPh>
    <phoneticPr fontId="2"/>
  </si>
  <si>
    <t>認知症短期集中リハビリテーション</t>
    <rPh sb="0" eb="3">
      <t>ニンチショウ</t>
    </rPh>
    <rPh sb="3" eb="5">
      <t>タンキ</t>
    </rPh>
    <rPh sb="5" eb="7">
      <t>シュウチュウ</t>
    </rPh>
    <phoneticPr fontId="2"/>
  </si>
  <si>
    <t>精神科作業療法</t>
    <rPh sb="0" eb="3">
      <t>セイシンカ</t>
    </rPh>
    <rPh sb="3" eb="5">
      <t>サギョウ</t>
    </rPh>
    <rPh sb="5" eb="7">
      <t>リョウホウ</t>
    </rPh>
    <phoneticPr fontId="2"/>
  </si>
  <si>
    <t>認知症入所精神療法</t>
    <rPh sb="0" eb="3">
      <t>ニンチショウ</t>
    </rPh>
    <rPh sb="3" eb="5">
      <t>ニュウショ</t>
    </rPh>
    <rPh sb="5" eb="7">
      <t>セイシン</t>
    </rPh>
    <rPh sb="7" eb="9">
      <t>リョウホウ</t>
    </rPh>
    <phoneticPr fontId="2"/>
  </si>
  <si>
    <t>薬剤管理指導</t>
    <rPh sb="0" eb="2">
      <t>ヤクザイ</t>
    </rPh>
    <rPh sb="2" eb="4">
      <t>カンリ</t>
    </rPh>
    <rPh sb="4" eb="6">
      <t>シドウ</t>
    </rPh>
    <phoneticPr fontId="2"/>
  </si>
  <si>
    <t>サービス提供体制強化加算</t>
    <phoneticPr fontId="2"/>
  </si>
  <si>
    <t>介護職員処遇改善加算（Ⅱ）</t>
    <phoneticPr fontId="2"/>
  </si>
  <si>
    <t>基本報酬</t>
    <rPh sb="0" eb="2">
      <t>キホン</t>
    </rPh>
    <rPh sb="2" eb="4">
      <t>ホウシュウ</t>
    </rPh>
    <phoneticPr fontId="2"/>
  </si>
  <si>
    <t>年額</t>
    <rPh sb="0" eb="2">
      <t>ネンガク</t>
    </rPh>
    <phoneticPr fontId="2"/>
  </si>
  <si>
    <t>月額</t>
    <rPh sb="0" eb="2">
      <t>ゲツガク</t>
    </rPh>
    <phoneticPr fontId="2"/>
  </si>
  <si>
    <t>床</t>
    <rPh sb="0" eb="1">
      <t>ユカ</t>
    </rPh>
    <phoneticPr fontId="2"/>
  </si>
  <si>
    <t>人件費</t>
    <rPh sb="0" eb="3">
      <t>ジンケンヒ</t>
    </rPh>
    <phoneticPr fontId="2"/>
  </si>
  <si>
    <t>加算報酬</t>
    <rPh sb="0" eb="2">
      <t>カサン</t>
    </rPh>
    <rPh sb="2" eb="4">
      <t>ホウシュウ</t>
    </rPh>
    <phoneticPr fontId="2"/>
  </si>
  <si>
    <t>特別診療費報酬</t>
    <rPh sb="0" eb="2">
      <t>トクベツ</t>
    </rPh>
    <rPh sb="2" eb="4">
      <t>シンリョウ</t>
    </rPh>
    <rPh sb="4" eb="5">
      <t>ヒ</t>
    </rPh>
    <rPh sb="5" eb="7">
      <t>ホウシュウ</t>
    </rPh>
    <phoneticPr fontId="2"/>
  </si>
  <si>
    <t>食費・居住費等</t>
    <rPh sb="6" eb="7">
      <t>トウ</t>
    </rPh>
    <phoneticPr fontId="2"/>
  </si>
  <si>
    <t>対象人数</t>
    <rPh sb="0" eb="2">
      <t>タイショウ</t>
    </rPh>
    <rPh sb="2" eb="4">
      <t>ニンズウ</t>
    </rPh>
    <phoneticPr fontId="2"/>
  </si>
  <si>
    <t>本体減算</t>
    <rPh sb="0" eb="2">
      <t>ホンタイ</t>
    </rPh>
    <rPh sb="2" eb="4">
      <t>ゲンサン</t>
    </rPh>
    <phoneticPr fontId="2"/>
  </si>
  <si>
    <t>140or40</t>
    <phoneticPr fontId="2"/>
  </si>
  <si>
    <t>日分</t>
    <rPh sb="0" eb="1">
      <t>ニチ</t>
    </rPh>
    <rPh sb="1" eb="2">
      <t>ブン</t>
    </rPh>
    <phoneticPr fontId="2"/>
  </si>
  <si>
    <t>人</t>
    <rPh sb="0" eb="1">
      <t>ニン</t>
    </rPh>
    <phoneticPr fontId="2"/>
  </si>
  <si>
    <t>報酬額（千円）</t>
    <rPh sb="0" eb="2">
      <t>ホウシュウ</t>
    </rPh>
    <rPh sb="2" eb="3">
      <t>ガク</t>
    </rPh>
    <rPh sb="4" eb="6">
      <t>センエン</t>
    </rPh>
    <phoneticPr fontId="2"/>
  </si>
  <si>
    <t>職種</t>
    <rPh sb="0" eb="2">
      <t>ショクシュ</t>
    </rPh>
    <phoneticPr fontId="2"/>
  </si>
  <si>
    <t>医師</t>
    <rPh sb="0" eb="2">
      <t>イシ</t>
    </rPh>
    <phoneticPr fontId="2"/>
  </si>
  <si>
    <t>看護師</t>
    <rPh sb="0" eb="3">
      <t>カンゴシ</t>
    </rPh>
    <phoneticPr fontId="2"/>
  </si>
  <si>
    <t>薬剤師</t>
    <rPh sb="0" eb="3">
      <t>ヤクザイシ</t>
    </rPh>
    <phoneticPr fontId="2"/>
  </si>
  <si>
    <t>介護職員</t>
    <rPh sb="0" eb="2">
      <t>カイゴ</t>
    </rPh>
    <rPh sb="2" eb="4">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</si>
  <si>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</si>
  <si>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</si>
  <si>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5">
      <t>ゲンゴチョウカクシ</t>
    </rPh>
    <phoneticPr fontId="2"/>
  </si>
  <si>
    <t>栄養士</t>
    <rPh sb="0" eb="3">
      <t>エイヨウシ</t>
    </rPh>
    <phoneticPr fontId="2"/>
  </si>
  <si>
    <t>介護支援専門員</t>
    <rPh sb="0" eb="2">
      <t>カイゴ</t>
    </rPh>
    <rPh sb="2" eb="4">
      <t>シエン</t>
    </rPh>
    <rPh sb="4" eb="7">
      <t>センモンイン</t>
    </rPh>
    <phoneticPr fontId="2"/>
  </si>
  <si>
    <t>診療放射線技師</t>
    <rPh sb="0" eb="2">
      <t>シンリョウ</t>
    </rPh>
    <rPh sb="2" eb="5">
      <t>ホウシャセン</t>
    </rPh>
    <rPh sb="5" eb="7">
      <t>ギシ</t>
    </rPh>
    <phoneticPr fontId="2"/>
  </si>
  <si>
    <t>調理員</t>
    <rPh sb="0" eb="3">
      <t>チョウリイン</t>
    </rPh>
    <phoneticPr fontId="2"/>
  </si>
  <si>
    <t>事務員</t>
    <rPh sb="0" eb="3">
      <t>ジムイン</t>
    </rPh>
    <phoneticPr fontId="2"/>
  </si>
  <si>
    <t>その他②</t>
    <rPh sb="2" eb="3">
      <t>タ</t>
    </rPh>
    <phoneticPr fontId="2"/>
  </si>
  <si>
    <t>法定福利費</t>
    <rPh sb="0" eb="2">
      <t>ホウテイ</t>
    </rPh>
    <rPh sb="2" eb="4">
      <t>フクリ</t>
    </rPh>
    <rPh sb="4" eb="5">
      <t>ヒ</t>
    </rPh>
    <phoneticPr fontId="2"/>
  </si>
  <si>
    <t>年間給与（千円）</t>
    <rPh sb="0" eb="2">
      <t>ネンカン</t>
    </rPh>
    <rPh sb="2" eb="4">
      <t>キュウヨ</t>
    </rPh>
    <rPh sb="5" eb="7">
      <t>センエン</t>
    </rPh>
    <phoneticPr fontId="2"/>
  </si>
  <si>
    <t>準看護師</t>
    <rPh sb="0" eb="1">
      <t>ジュン</t>
    </rPh>
    <rPh sb="1" eb="4">
      <t>カンゴシ</t>
    </rPh>
    <phoneticPr fontId="2"/>
  </si>
  <si>
    <t>品目名</t>
    <rPh sb="0" eb="2">
      <t>ヒンモク</t>
    </rPh>
    <rPh sb="2" eb="3">
      <t>メイ</t>
    </rPh>
    <phoneticPr fontId="2"/>
  </si>
  <si>
    <t>単価（千円）</t>
    <rPh sb="0" eb="2">
      <t>タンカ</t>
    </rPh>
    <rPh sb="3" eb="5">
      <t>センエン</t>
    </rPh>
    <phoneticPr fontId="2"/>
  </si>
  <si>
    <t>数量</t>
    <rPh sb="0" eb="2">
      <t>スウリョウ</t>
    </rPh>
    <phoneticPr fontId="2"/>
  </si>
  <si>
    <t>小計</t>
    <rPh sb="0" eb="2">
      <t>ショウケイ</t>
    </rPh>
    <phoneticPr fontId="2"/>
  </si>
  <si>
    <t>人数(人）</t>
    <rPh sb="0" eb="2">
      <t>ニンズウ</t>
    </rPh>
    <rPh sb="3" eb="4">
      <t>ニン</t>
    </rPh>
    <phoneticPr fontId="2"/>
  </si>
  <si>
    <t>年間必要額（千円）</t>
    <rPh sb="0" eb="2">
      <t>ネンカン</t>
    </rPh>
    <rPh sb="2" eb="4">
      <t>ヒツヨウ</t>
    </rPh>
    <rPh sb="4" eb="5">
      <t>ガク</t>
    </rPh>
    <rPh sb="6" eb="8">
      <t>センエン</t>
    </rPh>
    <phoneticPr fontId="2"/>
  </si>
  <si>
    <t>千円</t>
    <rPh sb="0" eb="2">
      <t>センエン</t>
    </rPh>
    <phoneticPr fontId="12"/>
  </si>
  <si>
    <t>利率</t>
  </si>
  <si>
    <t>％</t>
    <phoneticPr fontId="12"/>
  </si>
  <si>
    <t>返済年数</t>
    <rPh sb="2" eb="4">
      <t>ネンスウ</t>
    </rPh>
    <phoneticPr fontId="12"/>
  </si>
  <si>
    <t>年数</t>
    <rPh sb="0" eb="2">
      <t>ネンスウ</t>
    </rPh>
    <phoneticPr fontId="12"/>
  </si>
  <si>
    <t>年間返済額</t>
    <rPh sb="0" eb="2">
      <t>ネンカン</t>
    </rPh>
    <phoneticPr fontId="12"/>
  </si>
  <si>
    <t>合計</t>
    <rPh sb="0" eb="2">
      <t>ゴウケイ</t>
    </rPh>
    <phoneticPr fontId="12"/>
  </si>
  <si>
    <t>借入額</t>
    <rPh sb="2" eb="3">
      <t>ガク</t>
    </rPh>
    <phoneticPr fontId="2"/>
  </si>
  <si>
    <t>注）元金均等返済、年賦償還でのシミュレーションです</t>
    <rPh sb="0" eb="1">
      <t>チュウ</t>
    </rPh>
    <rPh sb="2" eb="4">
      <t>ガンキン</t>
    </rPh>
    <rPh sb="4" eb="6">
      <t>キントウ</t>
    </rPh>
    <rPh sb="6" eb="8">
      <t>ヘンサイ</t>
    </rPh>
    <rPh sb="9" eb="11">
      <t>ネンプ</t>
    </rPh>
    <rPh sb="11" eb="13">
      <t>ショウカン</t>
    </rPh>
    <phoneticPr fontId="2"/>
  </si>
  <si>
    <t>うち利息</t>
    <rPh sb="2" eb="4">
      <t>リソク</t>
    </rPh>
    <phoneticPr fontId="2"/>
  </si>
  <si>
    <t>うち元金</t>
    <rPh sb="2" eb="4">
      <t>ガンキン</t>
    </rPh>
    <phoneticPr fontId="2"/>
  </si>
  <si>
    <t>（参考）1床当たり１日平均単価</t>
    <rPh sb="1" eb="3">
      <t>サンコウ</t>
    </rPh>
    <rPh sb="5" eb="6">
      <t>ユカ</t>
    </rPh>
    <rPh sb="6" eb="7">
      <t>ア</t>
    </rPh>
    <rPh sb="10" eb="11">
      <t>ニチ</t>
    </rPh>
    <rPh sb="11" eb="13">
      <t>ヘイキン</t>
    </rPh>
    <rPh sb="13" eb="15">
      <t>タンカ</t>
    </rPh>
    <phoneticPr fontId="2"/>
  </si>
  <si>
    <t>（千円）</t>
    <rPh sb="1" eb="3">
      <t>センエン</t>
    </rPh>
    <phoneticPr fontId="2"/>
  </si>
  <si>
    <t>手順1</t>
    <rPh sb="0" eb="2">
      <t>テジュン</t>
    </rPh>
    <phoneticPr fontId="2"/>
  </si>
  <si>
    <t>手順1-1</t>
    <rPh sb="0" eb="2">
      <t>テジュン</t>
    </rPh>
    <phoneticPr fontId="2"/>
  </si>
  <si>
    <t>手順1-2</t>
    <rPh sb="0" eb="2">
      <t>テジュン</t>
    </rPh>
    <phoneticPr fontId="2"/>
  </si>
  <si>
    <t>施設開設予定地の都道府県・区市町村について、都道府県、区市町村の順に</t>
    <rPh sb="0" eb="2">
      <t>シセツ</t>
    </rPh>
    <rPh sb="2" eb="4">
      <t>カイセツ</t>
    </rPh>
    <rPh sb="4" eb="7">
      <t>ヨテイチ</t>
    </rPh>
    <rPh sb="8" eb="12">
      <t>トドウフケン</t>
    </rPh>
    <rPh sb="13" eb="17">
      <t>クシチョウソン</t>
    </rPh>
    <rPh sb="22" eb="26">
      <t>トドウフケン</t>
    </rPh>
    <rPh sb="27" eb="31">
      <t>クシチョウソン</t>
    </rPh>
    <rPh sb="32" eb="33">
      <t>ジュン</t>
    </rPh>
    <phoneticPr fontId="2"/>
  </si>
  <si>
    <t>それぞれプルダウンメニューから選択してください。</t>
    <phoneticPr fontId="2"/>
  </si>
  <si>
    <t>(2) 区市町村</t>
    <rPh sb="4" eb="8">
      <t>クシチョウソン</t>
    </rPh>
    <phoneticPr fontId="2"/>
  </si>
  <si>
    <t>(1) 都道府県</t>
    <rPh sb="4" eb="8">
      <t>トドウフケン</t>
    </rPh>
    <phoneticPr fontId="2"/>
  </si>
  <si>
    <t>地域区分単価の確定のために、介護医療院の開設予定地の情報を入力してください。</t>
    <rPh sb="0" eb="4">
      <t>チイキクブン</t>
    </rPh>
    <rPh sb="4" eb="6">
      <t>タンカ</t>
    </rPh>
    <rPh sb="7" eb="9">
      <t>カクテイ</t>
    </rPh>
    <rPh sb="14" eb="19">
      <t>カイゴイリョウイン</t>
    </rPh>
    <rPh sb="20" eb="22">
      <t>カイセツ</t>
    </rPh>
    <rPh sb="22" eb="24">
      <t>ヨテイ</t>
    </rPh>
    <rPh sb="24" eb="25">
      <t>チ</t>
    </rPh>
    <rPh sb="26" eb="28">
      <t>ジョウホウ</t>
    </rPh>
    <rPh sb="29" eb="31">
      <t>ニュウリョク</t>
    </rPh>
    <phoneticPr fontId="2"/>
  </si>
  <si>
    <t>15</t>
  </si>
  <si>
    <t>新潟県</t>
  </si>
  <si>
    <t>04</t>
  </si>
  <si>
    <t>26</t>
  </si>
  <si>
    <t>43</t>
  </si>
  <si>
    <t>熊本県</t>
  </si>
  <si>
    <t>23</t>
  </si>
  <si>
    <t>01</t>
  </si>
  <si>
    <t>28</t>
  </si>
  <si>
    <t>27</t>
  </si>
  <si>
    <t>11</t>
  </si>
  <si>
    <t>12</t>
  </si>
  <si>
    <t>14</t>
  </si>
  <si>
    <t>34</t>
  </si>
  <si>
    <t>33</t>
  </si>
  <si>
    <t>09</t>
  </si>
  <si>
    <t>13</t>
  </si>
  <si>
    <t>36</t>
  </si>
  <si>
    <t>徳島県</t>
  </si>
  <si>
    <t>24</t>
  </si>
  <si>
    <t>30</t>
  </si>
  <si>
    <t>35</t>
  </si>
  <si>
    <t>07</t>
  </si>
  <si>
    <t>福島県</t>
  </si>
  <si>
    <t>16</t>
  </si>
  <si>
    <t>富山県</t>
  </si>
  <si>
    <t>10</t>
  </si>
  <si>
    <t>31</t>
  </si>
  <si>
    <t>鳥取県</t>
  </si>
  <si>
    <t>22</t>
  </si>
  <si>
    <t>05</t>
  </si>
  <si>
    <t>秋田県</t>
  </si>
  <si>
    <t>17</t>
  </si>
  <si>
    <t>44</t>
  </si>
  <si>
    <t>大分県</t>
  </si>
  <si>
    <t>32</t>
  </si>
  <si>
    <t>島根県</t>
  </si>
  <si>
    <t>20</t>
  </si>
  <si>
    <t>08</t>
  </si>
  <si>
    <t>29</t>
  </si>
  <si>
    <t>47</t>
  </si>
  <si>
    <t>沖縄県</t>
  </si>
  <si>
    <t>06</t>
  </si>
  <si>
    <t>山形県</t>
  </si>
  <si>
    <t>40</t>
  </si>
  <si>
    <t>39</t>
  </si>
  <si>
    <t>高知県</t>
  </si>
  <si>
    <t>02</t>
  </si>
  <si>
    <t>青森県</t>
  </si>
  <si>
    <t>41</t>
  </si>
  <si>
    <t>佐賀県</t>
  </si>
  <si>
    <t>03</t>
  </si>
  <si>
    <t>岩手県</t>
  </si>
  <si>
    <t>38</t>
  </si>
  <si>
    <t>愛媛県</t>
  </si>
  <si>
    <t>18</t>
  </si>
  <si>
    <t>42</t>
  </si>
  <si>
    <t>46</t>
  </si>
  <si>
    <t>鹿児島県</t>
  </si>
  <si>
    <t>21</t>
  </si>
  <si>
    <t>岐阜県</t>
  </si>
  <si>
    <t>37</t>
  </si>
  <si>
    <t>香川県</t>
  </si>
  <si>
    <t>25</t>
  </si>
  <si>
    <t>19</t>
  </si>
  <si>
    <t>45</t>
  </si>
  <si>
    <t>宮崎県</t>
  </si>
  <si>
    <t>分岐処理F</t>
    <rPh sb="0" eb="4">
      <t>ブンキショリ</t>
    </rPh>
    <phoneticPr fontId="2"/>
  </si>
  <si>
    <t>都道府県名</t>
    <rPh sb="0" eb="5">
      <t>トドウフケンメイ</t>
    </rPh>
    <phoneticPr fontId="2"/>
  </si>
  <si>
    <t>コード</t>
    <phoneticPr fontId="2"/>
  </si>
  <si>
    <t>市町村名</t>
    <rPh sb="0" eb="4">
      <t>シチョウソンメイ</t>
    </rPh>
    <phoneticPr fontId="2"/>
  </si>
  <si>
    <t>級地区分</t>
    <rPh sb="0" eb="2">
      <t>キュウチ</t>
    </rPh>
    <rPh sb="2" eb="4">
      <t>クブン</t>
    </rPh>
    <phoneticPr fontId="2"/>
  </si>
  <si>
    <t>KEY</t>
    <phoneticPr fontId="2"/>
  </si>
  <si>
    <t>鎌倉市</t>
  </si>
  <si>
    <t>箱根町</t>
  </si>
  <si>
    <t>さいたま市</t>
  </si>
  <si>
    <t>牛久市</t>
  </si>
  <si>
    <t>名古屋市</t>
  </si>
  <si>
    <t>狛江市</t>
  </si>
  <si>
    <t>多摩市</t>
  </si>
  <si>
    <t>町田市</t>
    <rPh sb="0" eb="3">
      <t>マチダシ</t>
    </rPh>
    <phoneticPr fontId="2"/>
  </si>
  <si>
    <t>八王子市</t>
  </si>
  <si>
    <t>武蔵野市</t>
  </si>
  <si>
    <t>府中市</t>
  </si>
  <si>
    <t>調布市</t>
  </si>
  <si>
    <t>小金井市</t>
  </si>
  <si>
    <t>小平市</t>
  </si>
  <si>
    <t>日野市</t>
  </si>
  <si>
    <t>国分寺市</t>
  </si>
  <si>
    <t>稲城市</t>
  </si>
  <si>
    <t>西東京市</t>
  </si>
  <si>
    <t>三鷹市</t>
  </si>
  <si>
    <t>青梅市</t>
  </si>
  <si>
    <t>国立市</t>
  </si>
  <si>
    <t>立川市</t>
  </si>
  <si>
    <t>昭島市</t>
  </si>
  <si>
    <t>東大和市</t>
    <rPh sb="0" eb="4">
      <t>ヒガシヤマトシ</t>
    </rPh>
    <phoneticPr fontId="2"/>
  </si>
  <si>
    <t>あきる野市</t>
  </si>
  <si>
    <t>日の出町</t>
  </si>
  <si>
    <t>福生市</t>
  </si>
  <si>
    <t>武蔵村山市</t>
  </si>
  <si>
    <t>羽村市</t>
  </si>
  <si>
    <t>奥多摩町</t>
    <rPh sb="0" eb="3">
      <t>オクタマ</t>
    </rPh>
    <rPh sb="3" eb="4">
      <t>マチ</t>
    </rPh>
    <phoneticPr fontId="2"/>
  </si>
  <si>
    <t>瑞穂町</t>
  </si>
  <si>
    <t>檜原村</t>
  </si>
  <si>
    <t>横浜市</t>
  </si>
  <si>
    <t>川崎市</t>
  </si>
  <si>
    <t>相模原市</t>
  </si>
  <si>
    <t>藤沢市</t>
  </si>
  <si>
    <t>逗子市</t>
  </si>
  <si>
    <t>厚木市</t>
  </si>
  <si>
    <t>横須賀市</t>
  </si>
  <si>
    <t>平塚市</t>
  </si>
  <si>
    <t>小田原市</t>
  </si>
  <si>
    <t>茅ヶ崎市</t>
  </si>
  <si>
    <t>大和市</t>
  </si>
  <si>
    <t>伊勢原市</t>
  </si>
  <si>
    <t>海老名市</t>
  </si>
  <si>
    <t>座間市</t>
  </si>
  <si>
    <t>綾瀬市</t>
  </si>
  <si>
    <t>寒川町</t>
  </si>
  <si>
    <t>愛川町</t>
  </si>
  <si>
    <t>三浦市</t>
  </si>
  <si>
    <t>秦野市</t>
  </si>
  <si>
    <t>葉山町</t>
  </si>
  <si>
    <t>大磯町</t>
    <rPh sb="1" eb="2">
      <t>イソ</t>
    </rPh>
    <phoneticPr fontId="2"/>
  </si>
  <si>
    <t>二宮町</t>
  </si>
  <si>
    <t>清川村</t>
  </si>
  <si>
    <t>朝霞市</t>
  </si>
  <si>
    <t>志木市</t>
  </si>
  <si>
    <t>和光市</t>
  </si>
  <si>
    <t>新座市</t>
  </si>
  <si>
    <t>ふじみ野市</t>
  </si>
  <si>
    <t>川越市</t>
  </si>
  <si>
    <t>川口市</t>
  </si>
  <si>
    <t>行田市</t>
  </si>
  <si>
    <t>所沢市</t>
  </si>
  <si>
    <t>加須市</t>
  </si>
  <si>
    <t>東松山市</t>
  </si>
  <si>
    <t>春日部市</t>
  </si>
  <si>
    <t>狭山市</t>
  </si>
  <si>
    <t>羽生市</t>
  </si>
  <si>
    <t>鴻巣市</t>
  </si>
  <si>
    <t>上尾市</t>
  </si>
  <si>
    <t>草加市</t>
  </si>
  <si>
    <t>越谷市</t>
  </si>
  <si>
    <t>蕨市</t>
  </si>
  <si>
    <t>戸田市</t>
  </si>
  <si>
    <t>入間市</t>
  </si>
  <si>
    <t>桶川市</t>
  </si>
  <si>
    <t>久喜市</t>
  </si>
  <si>
    <t>北本市</t>
    <rPh sb="0" eb="3">
      <t>キタモトシ</t>
    </rPh>
    <phoneticPr fontId="2"/>
  </si>
  <si>
    <t>八潮市</t>
  </si>
  <si>
    <t>富士見市</t>
  </si>
  <si>
    <t>三郷市</t>
  </si>
  <si>
    <t>蓮田市</t>
  </si>
  <si>
    <t>坂戸市</t>
  </si>
  <si>
    <t>幸手市</t>
  </si>
  <si>
    <t>鶴ヶ島市</t>
  </si>
  <si>
    <t>吉川市</t>
  </si>
  <si>
    <t>白岡市</t>
    <rPh sb="2" eb="3">
      <t>シ</t>
    </rPh>
    <phoneticPr fontId="2"/>
  </si>
  <si>
    <t>伊奈町</t>
    <rPh sb="0" eb="2">
      <t>イナ</t>
    </rPh>
    <rPh sb="2" eb="3">
      <t>マチ</t>
    </rPh>
    <phoneticPr fontId="2"/>
  </si>
  <si>
    <t>三芳町</t>
    <rPh sb="0" eb="2">
      <t>ミヨシ</t>
    </rPh>
    <rPh sb="2" eb="3">
      <t>マチ</t>
    </rPh>
    <phoneticPr fontId="2"/>
  </si>
  <si>
    <t>宮代町</t>
    <rPh sb="0" eb="2">
      <t>ミヤシロ</t>
    </rPh>
    <rPh sb="2" eb="3">
      <t>マチ</t>
    </rPh>
    <phoneticPr fontId="2"/>
  </si>
  <si>
    <t>杉戸町</t>
  </si>
  <si>
    <t>松伏町</t>
  </si>
  <si>
    <t>熊谷市</t>
    <rPh sb="0" eb="3">
      <t>クマガヤシ</t>
    </rPh>
    <phoneticPr fontId="2"/>
  </si>
  <si>
    <t>飯能市</t>
  </si>
  <si>
    <t>深谷市</t>
    <rPh sb="0" eb="3">
      <t>フカヤシ</t>
    </rPh>
    <phoneticPr fontId="2"/>
  </si>
  <si>
    <t>日高市</t>
  </si>
  <si>
    <t>毛呂山町</t>
  </si>
  <si>
    <t>越生町</t>
  </si>
  <si>
    <t>滑川町</t>
  </si>
  <si>
    <t>川島町</t>
  </si>
  <si>
    <t>吉見町</t>
  </si>
  <si>
    <t>鳩山町</t>
  </si>
  <si>
    <t>寄居町</t>
    <rPh sb="0" eb="2">
      <t>ヨリイ</t>
    </rPh>
    <rPh sb="2" eb="3">
      <t>マチ</t>
    </rPh>
    <phoneticPr fontId="2"/>
  </si>
  <si>
    <t>船橋市</t>
  </si>
  <si>
    <t>成田市</t>
  </si>
  <si>
    <t>習志野市</t>
  </si>
  <si>
    <t>浦安市</t>
  </si>
  <si>
    <t>市川市</t>
  </si>
  <si>
    <t>松戸市</t>
  </si>
  <si>
    <t>佐倉市</t>
  </si>
  <si>
    <t>市原市</t>
  </si>
  <si>
    <t>八千代市</t>
  </si>
  <si>
    <t>四街道市</t>
  </si>
  <si>
    <t>印西市</t>
  </si>
  <si>
    <t>野田市</t>
    <phoneticPr fontId="2"/>
  </si>
  <si>
    <t>茂原市</t>
    <phoneticPr fontId="2"/>
  </si>
  <si>
    <t>我孫子市</t>
    <phoneticPr fontId="2"/>
  </si>
  <si>
    <t>鎌ヶ谷市</t>
    <phoneticPr fontId="2"/>
  </si>
  <si>
    <t>袖ヶ浦市</t>
    <rPh sb="0" eb="4">
      <t>ソデガウラシ</t>
    </rPh>
    <phoneticPr fontId="2"/>
  </si>
  <si>
    <t>白井市</t>
    <phoneticPr fontId="2"/>
  </si>
  <si>
    <t>栄町</t>
    <phoneticPr fontId="2"/>
  </si>
  <si>
    <t>東金市</t>
    <phoneticPr fontId="2"/>
  </si>
  <si>
    <t>富津市</t>
    <rPh sb="0" eb="1">
      <t>トミ</t>
    </rPh>
    <rPh sb="1" eb="3">
      <t>ツシ</t>
    </rPh>
    <phoneticPr fontId="2"/>
  </si>
  <si>
    <t>八街市</t>
    <rPh sb="0" eb="1">
      <t>ハチ</t>
    </rPh>
    <phoneticPr fontId="2"/>
  </si>
  <si>
    <t>山武市</t>
    <phoneticPr fontId="2"/>
  </si>
  <si>
    <t>大網白里町</t>
    <phoneticPr fontId="2"/>
  </si>
  <si>
    <t>長柄町</t>
    <phoneticPr fontId="2"/>
  </si>
  <si>
    <t>長南町</t>
    <phoneticPr fontId="2"/>
  </si>
  <si>
    <t>大垣市</t>
    <rPh sb="0" eb="3">
      <t>オオガキシ</t>
    </rPh>
    <phoneticPr fontId="2"/>
  </si>
  <si>
    <t>多治見市</t>
    <rPh sb="0" eb="4">
      <t>タジミシ</t>
    </rPh>
    <phoneticPr fontId="2"/>
  </si>
  <si>
    <t>各務原市</t>
    <rPh sb="0" eb="1">
      <t>カク</t>
    </rPh>
    <rPh sb="1" eb="2">
      <t>ツト</t>
    </rPh>
    <rPh sb="2" eb="3">
      <t>ハラ</t>
    </rPh>
    <rPh sb="3" eb="4">
      <t>シ</t>
    </rPh>
    <phoneticPr fontId="2"/>
  </si>
  <si>
    <t>可児市</t>
    <rPh sb="0" eb="2">
      <t>カニ</t>
    </rPh>
    <rPh sb="2" eb="3">
      <t>シ</t>
    </rPh>
    <phoneticPr fontId="2"/>
  </si>
  <si>
    <t>浜松市</t>
  </si>
  <si>
    <t>沼津市</t>
  </si>
  <si>
    <t>三島市</t>
  </si>
  <si>
    <t>富士宮市</t>
  </si>
  <si>
    <t>島田市</t>
  </si>
  <si>
    <t>富士市</t>
  </si>
  <si>
    <t>磐田市</t>
  </si>
  <si>
    <t>焼津市</t>
  </si>
  <si>
    <t>掛川市</t>
  </si>
  <si>
    <t>藤枝市</t>
  </si>
  <si>
    <t>御殿場市</t>
  </si>
  <si>
    <t>袋井市</t>
  </si>
  <si>
    <t>裾野市</t>
  </si>
  <si>
    <t>函南町</t>
  </si>
  <si>
    <t>清水町</t>
  </si>
  <si>
    <t>長泉町</t>
  </si>
  <si>
    <t>小山町</t>
  </si>
  <si>
    <t>川根本町</t>
  </si>
  <si>
    <t>森町</t>
  </si>
  <si>
    <t>水戸市</t>
  </si>
  <si>
    <t>日立市</t>
  </si>
  <si>
    <t>龍ケ崎市</t>
  </si>
  <si>
    <t>取手市</t>
  </si>
  <si>
    <t>つくば市</t>
  </si>
  <si>
    <t>守谷市</t>
  </si>
  <si>
    <t>古河市</t>
    <phoneticPr fontId="2"/>
  </si>
  <si>
    <t>利根町</t>
    <rPh sb="0" eb="2">
      <t>トネ</t>
    </rPh>
    <rPh sb="2" eb="3">
      <t>マチ</t>
    </rPh>
    <phoneticPr fontId="2"/>
  </si>
  <si>
    <t>笠間市</t>
    <rPh sb="0" eb="3">
      <t>カサマシ</t>
    </rPh>
    <phoneticPr fontId="2"/>
  </si>
  <si>
    <t>ひたちなか市</t>
    <rPh sb="5" eb="6">
      <t>シ</t>
    </rPh>
    <phoneticPr fontId="2"/>
  </si>
  <si>
    <t>大洗町</t>
    <rPh sb="0" eb="2">
      <t>オオアライ</t>
    </rPh>
    <rPh sb="2" eb="3">
      <t>マチ</t>
    </rPh>
    <phoneticPr fontId="2"/>
  </si>
  <si>
    <t>宇都宮市</t>
  </si>
  <si>
    <t>下野市</t>
  </si>
  <si>
    <t>野木町</t>
  </si>
  <si>
    <t>栃木市</t>
  </si>
  <si>
    <t>鹿沼市</t>
  </si>
  <si>
    <t>日光市</t>
  </si>
  <si>
    <t>小山市</t>
  </si>
  <si>
    <t>真岡市</t>
  </si>
  <si>
    <t>大田原市</t>
  </si>
  <si>
    <t>さくら市</t>
  </si>
  <si>
    <t>壬生町</t>
  </si>
  <si>
    <t>高崎市</t>
  </si>
  <si>
    <t>前橋市</t>
  </si>
  <si>
    <t>伊勢崎市</t>
  </si>
  <si>
    <t>太田市</t>
  </si>
  <si>
    <t>渋川市</t>
  </si>
  <si>
    <t>玉村町</t>
  </si>
  <si>
    <t>内灘町</t>
    <rPh sb="0" eb="2">
      <t>ウチナダ</t>
    </rPh>
    <rPh sb="2" eb="3">
      <t>マチ</t>
    </rPh>
    <phoneticPr fontId="2"/>
  </si>
  <si>
    <t>長野市</t>
    <phoneticPr fontId="2"/>
  </si>
  <si>
    <t>塩尻市</t>
    <rPh sb="0" eb="2">
      <t>シオジリ</t>
    </rPh>
    <phoneticPr fontId="2"/>
  </si>
  <si>
    <t>刈谷市</t>
  </si>
  <si>
    <t>豊田市</t>
  </si>
  <si>
    <t>みよし市</t>
    <phoneticPr fontId="2"/>
  </si>
  <si>
    <t>大治町</t>
    <rPh sb="0" eb="1">
      <t>ダイ</t>
    </rPh>
    <phoneticPr fontId="2"/>
  </si>
  <si>
    <t>瀬戸市</t>
    <phoneticPr fontId="2"/>
  </si>
  <si>
    <t>常滑市</t>
    <rPh sb="0" eb="1">
      <t>トコ</t>
    </rPh>
    <rPh sb="1" eb="2">
      <t>スベ</t>
    </rPh>
    <rPh sb="2" eb="3">
      <t>シ</t>
    </rPh>
    <phoneticPr fontId="2"/>
  </si>
  <si>
    <t>田原市</t>
    <rPh sb="0" eb="2">
      <t>タハラ</t>
    </rPh>
    <rPh sb="2" eb="3">
      <t>シ</t>
    </rPh>
    <phoneticPr fontId="2"/>
  </si>
  <si>
    <t>豊山町</t>
    <phoneticPr fontId="2"/>
  </si>
  <si>
    <t>阿久比町</t>
    <phoneticPr fontId="2"/>
  </si>
  <si>
    <t>設楽町</t>
    <rPh sb="0" eb="2">
      <t>シタラ</t>
    </rPh>
    <rPh sb="2" eb="3">
      <t>マチ</t>
    </rPh>
    <phoneticPr fontId="2"/>
  </si>
  <si>
    <t>東栄町</t>
    <rPh sb="0" eb="3">
      <t>ヒガシサカエマチ</t>
    </rPh>
    <phoneticPr fontId="2"/>
  </si>
  <si>
    <t>豊根町</t>
    <rPh sb="0" eb="1">
      <t>トヨ</t>
    </rPh>
    <rPh sb="1" eb="2">
      <t>ネ</t>
    </rPh>
    <rPh sb="2" eb="3">
      <t>マチ</t>
    </rPh>
    <phoneticPr fontId="2"/>
  </si>
  <si>
    <t>津市</t>
  </si>
  <si>
    <t>四日市市</t>
  </si>
  <si>
    <t>桑名市</t>
  </si>
  <si>
    <t>鈴鹿市</t>
  </si>
  <si>
    <t>亀山市</t>
  </si>
  <si>
    <t>名張市</t>
    <phoneticPr fontId="2"/>
  </si>
  <si>
    <t>木曽岬市</t>
    <phoneticPr fontId="2"/>
  </si>
  <si>
    <t>菰野町</t>
    <rPh sb="0" eb="2">
      <t>コモノ</t>
    </rPh>
    <rPh sb="2" eb="3">
      <t>マチ</t>
    </rPh>
    <phoneticPr fontId="2"/>
  </si>
  <si>
    <t>朝日町</t>
    <phoneticPr fontId="2"/>
  </si>
  <si>
    <t>守口市</t>
  </si>
  <si>
    <t>大東市</t>
  </si>
  <si>
    <t>門真市</t>
  </si>
  <si>
    <t>四條畷市</t>
  </si>
  <si>
    <t>豊中市</t>
  </si>
  <si>
    <t>池田市</t>
  </si>
  <si>
    <t>吹田市</t>
  </si>
  <si>
    <t>高槻市</t>
  </si>
  <si>
    <t>寝屋川市</t>
  </si>
  <si>
    <t>箕面市</t>
  </si>
  <si>
    <t>松原市</t>
    <rPh sb="0" eb="3">
      <t>マツバラシ</t>
    </rPh>
    <phoneticPr fontId="2"/>
  </si>
  <si>
    <t>摂津市</t>
    <rPh sb="0" eb="3">
      <t>セッツシ</t>
    </rPh>
    <phoneticPr fontId="2"/>
  </si>
  <si>
    <t>高石市</t>
    <rPh sb="0" eb="2">
      <t>タカイシ</t>
    </rPh>
    <rPh sb="2" eb="3">
      <t>シ</t>
    </rPh>
    <phoneticPr fontId="2"/>
  </si>
  <si>
    <t>島本町</t>
    <rPh sb="0" eb="2">
      <t>シマモト</t>
    </rPh>
    <rPh sb="2" eb="3">
      <t>マチ</t>
    </rPh>
    <phoneticPr fontId="2"/>
  </si>
  <si>
    <t>能勢町</t>
    <rPh sb="0" eb="2">
      <t>ノセ</t>
    </rPh>
    <rPh sb="2" eb="3">
      <t>マチ</t>
    </rPh>
    <phoneticPr fontId="2"/>
  </si>
  <si>
    <t>和歌山市</t>
  </si>
  <si>
    <t>橋本市</t>
  </si>
  <si>
    <t>大津市</t>
  </si>
  <si>
    <t>草津市</t>
  </si>
  <si>
    <t>彦根市</t>
  </si>
  <si>
    <t>守山市</t>
  </si>
  <si>
    <t>栗東市</t>
  </si>
  <si>
    <t>甲賀市</t>
  </si>
  <si>
    <t>湖南市</t>
    <rPh sb="0" eb="2">
      <t>コナン</t>
    </rPh>
    <rPh sb="2" eb="3">
      <t>シ</t>
    </rPh>
    <phoneticPr fontId="2"/>
  </si>
  <si>
    <t>東近江市</t>
    <rPh sb="0" eb="1">
      <t>ヒガシ</t>
    </rPh>
    <rPh sb="1" eb="3">
      <t>オウミ</t>
    </rPh>
    <rPh sb="3" eb="4">
      <t>シ</t>
    </rPh>
    <phoneticPr fontId="2"/>
  </si>
  <si>
    <t>宇治市</t>
  </si>
  <si>
    <t>亀岡市</t>
  </si>
  <si>
    <t>向日市</t>
  </si>
  <si>
    <t>長岡京市</t>
  </si>
  <si>
    <t>八幡市</t>
  </si>
  <si>
    <t>京田辺市</t>
  </si>
  <si>
    <t>木津川市</t>
  </si>
  <si>
    <t>精華町</t>
  </si>
  <si>
    <t>大山崎町</t>
    <rPh sb="0" eb="3">
      <t>オオヤマザキ</t>
    </rPh>
    <rPh sb="3" eb="4">
      <t>マチ</t>
    </rPh>
    <phoneticPr fontId="2"/>
  </si>
  <si>
    <t>大和高田市</t>
    <rPh sb="0" eb="2">
      <t>ヤマト</t>
    </rPh>
    <rPh sb="2" eb="4">
      <t>タカダ</t>
    </rPh>
    <rPh sb="4" eb="5">
      <t>シ</t>
    </rPh>
    <phoneticPr fontId="2"/>
  </si>
  <si>
    <t>御所市</t>
    <rPh sb="0" eb="2">
      <t>ゴショ</t>
    </rPh>
    <phoneticPr fontId="2"/>
  </si>
  <si>
    <t>葛城市</t>
    <phoneticPr fontId="2"/>
  </si>
  <si>
    <t>川西町</t>
    <phoneticPr fontId="2"/>
  </si>
  <si>
    <t>三宅町</t>
    <rPh sb="0" eb="2">
      <t>ミヤケ</t>
    </rPh>
    <rPh sb="2" eb="3">
      <t>マチ</t>
    </rPh>
    <phoneticPr fontId="2"/>
  </si>
  <si>
    <t>田原本町</t>
    <phoneticPr fontId="2"/>
  </si>
  <si>
    <t>明日香村</t>
    <phoneticPr fontId="2"/>
  </si>
  <si>
    <t>広陵町</t>
    <phoneticPr fontId="2"/>
  </si>
  <si>
    <t>河合町</t>
    <phoneticPr fontId="2"/>
  </si>
  <si>
    <t>西宮市</t>
  </si>
  <si>
    <t>芦屋市</t>
  </si>
  <si>
    <t>宝塚市</t>
  </si>
  <si>
    <t>神戸市</t>
  </si>
  <si>
    <t>尼崎市</t>
  </si>
  <si>
    <t>伊丹市</t>
  </si>
  <si>
    <t>川西市</t>
  </si>
  <si>
    <t>三田市</t>
  </si>
  <si>
    <t>明石市</t>
  </si>
  <si>
    <t>猪名川町</t>
  </si>
  <si>
    <t>姫路市</t>
  </si>
  <si>
    <t>加古川市</t>
  </si>
  <si>
    <t>三木市</t>
  </si>
  <si>
    <t>高砂市</t>
  </si>
  <si>
    <t>稲美町</t>
  </si>
  <si>
    <t>播磨町</t>
  </si>
  <si>
    <t>広島市</t>
  </si>
  <si>
    <t>府中町</t>
  </si>
  <si>
    <t>東広島市</t>
    <rPh sb="0" eb="4">
      <t>ヒガシヒロシマシ</t>
    </rPh>
    <phoneticPr fontId="2"/>
  </si>
  <si>
    <t>春日市</t>
  </si>
  <si>
    <t>大野城市</t>
  </si>
  <si>
    <t>太宰府市</t>
  </si>
  <si>
    <t>福津市</t>
  </si>
  <si>
    <t>糸島市</t>
  </si>
  <si>
    <t>那珂川町</t>
  </si>
  <si>
    <t>粕屋町</t>
  </si>
  <si>
    <t>古賀市</t>
    <rPh sb="0" eb="3">
      <t>コガシ</t>
    </rPh>
    <phoneticPr fontId="2"/>
  </si>
  <si>
    <t>埼玉県</t>
    <rPh sb="0" eb="3">
      <t>サイタマケン</t>
    </rPh>
    <phoneticPr fontId="2"/>
  </si>
  <si>
    <t>※介護医療院の人件費割合区分は45％</t>
    <phoneticPr fontId="2"/>
  </si>
  <si>
    <t>手順2</t>
    <rPh sb="0" eb="2">
      <t>テジュン</t>
    </rPh>
    <phoneticPr fontId="2"/>
  </si>
  <si>
    <t>報酬単価の確定のために、基本報酬（型）、居室種類、定員数を入力してください。</t>
    <rPh sb="0" eb="2">
      <t>ホウシュウ</t>
    </rPh>
    <rPh sb="2" eb="4">
      <t>タンカ</t>
    </rPh>
    <rPh sb="5" eb="7">
      <t>カクテイ</t>
    </rPh>
    <rPh sb="12" eb="16">
      <t>キホンホウシュウ</t>
    </rPh>
    <rPh sb="17" eb="18">
      <t>カタ</t>
    </rPh>
    <rPh sb="20" eb="22">
      <t>キョシツ</t>
    </rPh>
    <rPh sb="22" eb="24">
      <t>シュルイ</t>
    </rPh>
    <rPh sb="25" eb="28">
      <t>テイインスウ</t>
    </rPh>
    <rPh sb="29" eb="31">
      <t>ニュウリョク</t>
    </rPh>
    <phoneticPr fontId="2"/>
  </si>
  <si>
    <t>手順2-1</t>
    <rPh sb="0" eb="2">
      <t>テジュン</t>
    </rPh>
    <phoneticPr fontId="2"/>
  </si>
  <si>
    <t>施設種類・基本報酬</t>
    <rPh sb="0" eb="2">
      <t>シセツ</t>
    </rPh>
    <rPh sb="2" eb="4">
      <t>シュルイ</t>
    </rPh>
    <rPh sb="5" eb="9">
      <t>キホンホウシュウ</t>
    </rPh>
    <phoneticPr fontId="2"/>
  </si>
  <si>
    <t>「施設種類・基本報酬」「居室種類」はプルダウンメニューで、定員数は直接入力してください。</t>
    <rPh sb="1" eb="3">
      <t>シセツ</t>
    </rPh>
    <rPh sb="3" eb="5">
      <t>シュルイ</t>
    </rPh>
    <rPh sb="6" eb="10">
      <t>キホンホウシュウ</t>
    </rPh>
    <rPh sb="12" eb="14">
      <t>キョシツ</t>
    </rPh>
    <rPh sb="14" eb="16">
      <t>シュルイ</t>
    </rPh>
    <rPh sb="29" eb="32">
      <t>テイインスウ</t>
    </rPh>
    <rPh sb="33" eb="35">
      <t>チョクセツ</t>
    </rPh>
    <rPh sb="35" eb="37">
      <t>ニュウリョク</t>
    </rPh>
    <phoneticPr fontId="2"/>
  </si>
  <si>
    <t>手順2-2</t>
    <rPh sb="0" eb="2">
      <t>テジュン</t>
    </rPh>
    <phoneticPr fontId="2"/>
  </si>
  <si>
    <t>要介護</t>
    <rPh sb="0" eb="3">
      <t>ヨウカイゴ</t>
    </rPh>
    <phoneticPr fontId="2"/>
  </si>
  <si>
    <t>定員数（床）</t>
    <rPh sb="0" eb="2">
      <t>テイイン</t>
    </rPh>
    <rPh sb="2" eb="3">
      <t>スウ</t>
    </rPh>
    <rPh sb="4" eb="5">
      <t>ユカ</t>
    </rPh>
    <phoneticPr fontId="2"/>
  </si>
  <si>
    <t>年間延利用者数</t>
    <rPh sb="0" eb="2">
      <t>ネンカン</t>
    </rPh>
    <rPh sb="2" eb="3">
      <t>ノ</t>
    </rPh>
    <rPh sb="3" eb="6">
      <t>リヨウシャ</t>
    </rPh>
    <rPh sb="6" eb="7">
      <t>スウ</t>
    </rPh>
    <phoneticPr fontId="2"/>
  </si>
  <si>
    <t>構成割合(%)</t>
    <rPh sb="0" eb="2">
      <t>コウセイ</t>
    </rPh>
    <rPh sb="2" eb="4">
      <t>ワリアイ</t>
    </rPh>
    <phoneticPr fontId="2"/>
  </si>
  <si>
    <t>平均利用率(%)</t>
    <rPh sb="0" eb="2">
      <t>ヘイキン</t>
    </rPh>
    <rPh sb="2" eb="5">
      <t>リヨウリツ</t>
    </rPh>
    <phoneticPr fontId="2"/>
  </si>
  <si>
    <t>※365日で計算</t>
    <rPh sb="4" eb="5">
      <t>ニチ</t>
    </rPh>
    <rPh sb="6" eb="8">
      <t>ケイサン</t>
    </rPh>
    <phoneticPr fontId="2"/>
  </si>
  <si>
    <t>%</t>
    <phoneticPr fontId="2"/>
  </si>
  <si>
    <t>報酬単価</t>
    <rPh sb="0" eb="2">
      <t>ホウシュウ</t>
    </rPh>
    <rPh sb="2" eb="4">
      <t>タンカ</t>
    </rPh>
    <phoneticPr fontId="2"/>
  </si>
  <si>
    <t>①想定利用率・想定要介護割合から計算</t>
    <rPh sb="1" eb="3">
      <t>ソウテイ</t>
    </rPh>
    <rPh sb="3" eb="6">
      <t>リヨウリツ</t>
    </rPh>
    <rPh sb="7" eb="9">
      <t>ソウテイ</t>
    </rPh>
    <rPh sb="9" eb="12">
      <t>ヨウカイゴ</t>
    </rPh>
    <rPh sb="12" eb="14">
      <t>ワリアイ</t>
    </rPh>
    <rPh sb="16" eb="18">
      <t>ケイサン</t>
    </rPh>
    <phoneticPr fontId="2"/>
  </si>
  <si>
    <t>基本報酬額(千円)</t>
    <rPh sb="0" eb="2">
      <t>キホン</t>
    </rPh>
    <rPh sb="2" eb="4">
      <t>ホウシュウ</t>
    </rPh>
    <rPh sb="4" eb="5">
      <t>ガク</t>
    </rPh>
    <rPh sb="6" eb="8">
      <t>センエン</t>
    </rPh>
    <phoneticPr fontId="2"/>
  </si>
  <si>
    <t>千葉県</t>
    <rPh sb="0" eb="3">
      <t>チバケン</t>
    </rPh>
    <phoneticPr fontId="2"/>
  </si>
  <si>
    <t>食費</t>
    <rPh sb="0" eb="2">
      <t>ショクヒ</t>
    </rPh>
    <phoneticPr fontId="2"/>
  </si>
  <si>
    <t>居住費</t>
    <rPh sb="0" eb="2">
      <t>キョジュウ</t>
    </rPh>
    <rPh sb="2" eb="3">
      <t>ヒ</t>
    </rPh>
    <phoneticPr fontId="2"/>
  </si>
  <si>
    <t>計</t>
    <rPh sb="0" eb="1">
      <t>ケイ</t>
    </rPh>
    <phoneticPr fontId="2"/>
  </si>
  <si>
    <t>円</t>
    <rPh sb="0" eb="1">
      <t>エン</t>
    </rPh>
    <phoneticPr fontId="2"/>
  </si>
  <si>
    <t>食費の計算</t>
    <rPh sb="0" eb="2">
      <t>ショクヒ</t>
    </rPh>
    <rPh sb="3" eb="5">
      <t>ケイサン</t>
    </rPh>
    <phoneticPr fontId="2"/>
  </si>
  <si>
    <t>基準費用額</t>
    <rPh sb="0" eb="2">
      <t>キジュン</t>
    </rPh>
    <rPh sb="2" eb="4">
      <t>ヒヨウ</t>
    </rPh>
    <rPh sb="4" eb="5">
      <t>ガク</t>
    </rPh>
    <phoneticPr fontId="2"/>
  </si>
  <si>
    <t>居住費の計算</t>
    <rPh sb="0" eb="2">
      <t>キョジュウ</t>
    </rPh>
    <rPh sb="2" eb="3">
      <t>ヒ</t>
    </rPh>
    <rPh sb="4" eb="6">
      <t>ケイサン</t>
    </rPh>
    <phoneticPr fontId="2"/>
  </si>
  <si>
    <t>②年間延利用者数を入力</t>
    <rPh sb="1" eb="3">
      <t>ネンカン</t>
    </rPh>
    <rPh sb="3" eb="4">
      <t>ノ</t>
    </rPh>
    <rPh sb="4" eb="7">
      <t>リヨウシャ</t>
    </rPh>
    <rPh sb="7" eb="8">
      <t>スウ</t>
    </rPh>
    <rPh sb="9" eb="11">
      <t>ニュウリョク</t>
    </rPh>
    <phoneticPr fontId="2"/>
  </si>
  <si>
    <t>酒々井町</t>
    <phoneticPr fontId="2"/>
  </si>
  <si>
    <t>君津市</t>
    <phoneticPr fontId="2"/>
  </si>
  <si>
    <t>下妻市</t>
    <phoneticPr fontId="2"/>
  </si>
  <si>
    <t>つくばみらい市</t>
    <phoneticPr fontId="2"/>
  </si>
  <si>
    <t>金沢市</t>
    <phoneticPr fontId="2"/>
  </si>
  <si>
    <t>春日井市</t>
    <phoneticPr fontId="2"/>
  </si>
  <si>
    <t>碧南市</t>
    <phoneticPr fontId="2"/>
  </si>
  <si>
    <t>西尾市</t>
    <phoneticPr fontId="2"/>
  </si>
  <si>
    <t>稲沢市</t>
    <phoneticPr fontId="2"/>
  </si>
  <si>
    <t>日進市</t>
    <phoneticPr fontId="2"/>
  </si>
  <si>
    <t>長久手市</t>
    <phoneticPr fontId="2"/>
  </si>
  <si>
    <t>東郷町</t>
    <phoneticPr fontId="2"/>
  </si>
  <si>
    <t>蟹江町</t>
    <phoneticPr fontId="2"/>
  </si>
  <si>
    <t>蒲郡市</t>
    <phoneticPr fontId="2"/>
  </si>
  <si>
    <t>江南市</t>
    <phoneticPr fontId="2"/>
  </si>
  <si>
    <t>小牧市</t>
    <phoneticPr fontId="2"/>
  </si>
  <si>
    <t>高浜市</t>
    <phoneticPr fontId="2"/>
  </si>
  <si>
    <t>岩倉市</t>
    <phoneticPr fontId="2"/>
  </si>
  <si>
    <t>大口町</t>
    <phoneticPr fontId="2"/>
  </si>
  <si>
    <t>扶桑町</t>
    <phoneticPr fontId="2"/>
  </si>
  <si>
    <t>飛島村</t>
    <phoneticPr fontId="2"/>
  </si>
  <si>
    <t>東浦町</t>
    <phoneticPr fontId="2"/>
  </si>
  <si>
    <t>いなべ市</t>
    <phoneticPr fontId="2"/>
  </si>
  <si>
    <t>伊賀市</t>
    <phoneticPr fontId="2"/>
  </si>
  <si>
    <t>東員町</t>
    <phoneticPr fontId="2"/>
  </si>
  <si>
    <t>堺市</t>
    <phoneticPr fontId="2"/>
  </si>
  <si>
    <t>枚方市</t>
    <phoneticPr fontId="2"/>
  </si>
  <si>
    <t>八尾市</t>
    <phoneticPr fontId="2"/>
  </si>
  <si>
    <t>交野市</t>
    <phoneticPr fontId="2"/>
  </si>
  <si>
    <t>貝塚市</t>
    <phoneticPr fontId="2"/>
  </si>
  <si>
    <t>河内長野市</t>
    <phoneticPr fontId="2"/>
  </si>
  <si>
    <t>柏原市</t>
    <phoneticPr fontId="2"/>
  </si>
  <si>
    <t>藤井寺市</t>
    <phoneticPr fontId="2"/>
  </si>
  <si>
    <t>泉南市</t>
    <phoneticPr fontId="2"/>
  </si>
  <si>
    <t>豊能町</t>
    <phoneticPr fontId="2"/>
  </si>
  <si>
    <t>田尻町</t>
    <phoneticPr fontId="2"/>
  </si>
  <si>
    <t>久御山町</t>
    <phoneticPr fontId="2"/>
  </si>
  <si>
    <t>大和郡山市</t>
    <phoneticPr fontId="2"/>
  </si>
  <si>
    <t>桜井市</t>
    <phoneticPr fontId="2"/>
  </si>
  <si>
    <t>平群町</t>
    <phoneticPr fontId="2"/>
  </si>
  <si>
    <t>三郷町</t>
    <phoneticPr fontId="2"/>
  </si>
  <si>
    <t>坂町</t>
    <phoneticPr fontId="2"/>
  </si>
  <si>
    <t>柏市</t>
    <phoneticPr fontId="2"/>
  </si>
  <si>
    <t>結城市</t>
    <phoneticPr fontId="2"/>
  </si>
  <si>
    <t>河内町</t>
    <phoneticPr fontId="2"/>
  </si>
  <si>
    <t>安城市</t>
    <phoneticPr fontId="2"/>
  </si>
  <si>
    <t>愛西市</t>
    <phoneticPr fontId="2"/>
  </si>
  <si>
    <t>あま市</t>
    <phoneticPr fontId="2"/>
  </si>
  <si>
    <t>半田市</t>
    <phoneticPr fontId="2"/>
  </si>
  <si>
    <t>大府市</t>
    <phoneticPr fontId="2"/>
  </si>
  <si>
    <t>尾張旭市</t>
    <phoneticPr fontId="2"/>
  </si>
  <si>
    <t>幸田町</t>
    <phoneticPr fontId="2"/>
  </si>
  <si>
    <t>岸和田市</t>
    <phoneticPr fontId="2"/>
  </si>
  <si>
    <t>泉佐野市</t>
    <phoneticPr fontId="2"/>
  </si>
  <si>
    <t>富田林市</t>
    <phoneticPr fontId="2"/>
  </si>
  <si>
    <t>大阪狭山市</t>
    <phoneticPr fontId="2"/>
  </si>
  <si>
    <t>忠岡町</t>
    <phoneticPr fontId="2"/>
  </si>
  <si>
    <t>奈良市</t>
    <phoneticPr fontId="2"/>
  </si>
  <si>
    <t>生駒市</t>
    <phoneticPr fontId="2"/>
  </si>
  <si>
    <t>曽爾村</t>
    <phoneticPr fontId="2"/>
  </si>
  <si>
    <t>上牧町</t>
    <phoneticPr fontId="2"/>
  </si>
  <si>
    <t>王寺町</t>
    <phoneticPr fontId="2"/>
  </si>
  <si>
    <t>廿日市市</t>
    <phoneticPr fontId="2"/>
  </si>
  <si>
    <t>海田町</t>
    <phoneticPr fontId="2"/>
  </si>
  <si>
    <t>北九州市</t>
    <phoneticPr fontId="2"/>
  </si>
  <si>
    <t>飯塚市</t>
    <phoneticPr fontId="2"/>
  </si>
  <si>
    <t>筑紫野市</t>
    <phoneticPr fontId="2"/>
  </si>
  <si>
    <t>流山市</t>
    <phoneticPr fontId="2"/>
  </si>
  <si>
    <t>木更津市</t>
    <phoneticPr fontId="2"/>
  </si>
  <si>
    <t>土浦市</t>
    <phoneticPr fontId="2"/>
  </si>
  <si>
    <t>常総市</t>
    <phoneticPr fontId="2"/>
  </si>
  <si>
    <t>那珂市</t>
    <phoneticPr fontId="2"/>
  </si>
  <si>
    <t>筑西市</t>
    <phoneticPr fontId="2"/>
  </si>
  <si>
    <t>坂東市</t>
    <phoneticPr fontId="2"/>
  </si>
  <si>
    <t>稲敷市</t>
    <phoneticPr fontId="2"/>
  </si>
  <si>
    <t>阿見町</t>
    <phoneticPr fontId="2"/>
  </si>
  <si>
    <t>八千代町</t>
    <phoneticPr fontId="2"/>
  </si>
  <si>
    <t>五霞町</t>
    <phoneticPr fontId="2"/>
  </si>
  <si>
    <t>境町</t>
    <phoneticPr fontId="2"/>
  </si>
  <si>
    <t>松本市</t>
    <phoneticPr fontId="2"/>
  </si>
  <si>
    <t>岡崎市</t>
    <phoneticPr fontId="2"/>
  </si>
  <si>
    <t>津島市</t>
    <phoneticPr fontId="2"/>
  </si>
  <si>
    <t>知立市</t>
    <phoneticPr fontId="2"/>
  </si>
  <si>
    <t>豊明市</t>
    <phoneticPr fontId="2"/>
  </si>
  <si>
    <t>北名古屋市</t>
    <phoneticPr fontId="2"/>
  </si>
  <si>
    <t>弥富市</t>
    <phoneticPr fontId="2"/>
  </si>
  <si>
    <t>豊橋市</t>
    <phoneticPr fontId="2"/>
  </si>
  <si>
    <t>一宮市</t>
    <phoneticPr fontId="2"/>
  </si>
  <si>
    <t>豊川市</t>
    <phoneticPr fontId="2"/>
  </si>
  <si>
    <t>犬山市</t>
    <phoneticPr fontId="2"/>
  </si>
  <si>
    <t>新城市</t>
    <phoneticPr fontId="2"/>
  </si>
  <si>
    <t>東海市</t>
    <phoneticPr fontId="2"/>
  </si>
  <si>
    <t>知多市</t>
    <phoneticPr fontId="2"/>
  </si>
  <si>
    <t>清須市</t>
    <phoneticPr fontId="2"/>
  </si>
  <si>
    <t>川越町</t>
    <phoneticPr fontId="2"/>
  </si>
  <si>
    <t>茨木市</t>
    <phoneticPr fontId="2"/>
  </si>
  <si>
    <t>東大阪市</t>
    <phoneticPr fontId="2"/>
  </si>
  <si>
    <t>泉大津市</t>
    <phoneticPr fontId="2"/>
  </si>
  <si>
    <t>和泉市</t>
    <phoneticPr fontId="2"/>
  </si>
  <si>
    <t>羽曳野市</t>
    <phoneticPr fontId="2"/>
  </si>
  <si>
    <t>熊取町</t>
    <phoneticPr fontId="2"/>
  </si>
  <si>
    <t>岬町</t>
    <phoneticPr fontId="2"/>
  </si>
  <si>
    <t>太子町</t>
    <phoneticPr fontId="2"/>
  </si>
  <si>
    <t>河南町</t>
    <phoneticPr fontId="2"/>
  </si>
  <si>
    <t>千早赤阪村</t>
    <phoneticPr fontId="2"/>
  </si>
  <si>
    <t>長浜市</t>
    <phoneticPr fontId="2"/>
  </si>
  <si>
    <t>野洲市</t>
    <phoneticPr fontId="2"/>
  </si>
  <si>
    <t>城陽市</t>
    <phoneticPr fontId="2"/>
  </si>
  <si>
    <t>天理市</t>
    <phoneticPr fontId="2"/>
  </si>
  <si>
    <t>橿原市</t>
    <phoneticPr fontId="2"/>
  </si>
  <si>
    <t>香芝市</t>
    <phoneticPr fontId="2"/>
  </si>
  <si>
    <t>宇陀市</t>
    <phoneticPr fontId="2"/>
  </si>
  <si>
    <t>山添村</t>
    <phoneticPr fontId="2"/>
  </si>
  <si>
    <t>斑鳩町</t>
    <phoneticPr fontId="2"/>
  </si>
  <si>
    <t>安堵町</t>
    <phoneticPr fontId="2"/>
  </si>
  <si>
    <t>その他の地域</t>
    <rPh sb="2" eb="3">
      <t>タ</t>
    </rPh>
    <rPh sb="4" eb="6">
      <t>チイキ</t>
    </rPh>
    <phoneticPr fontId="2"/>
  </si>
  <si>
    <t>その他の地域</t>
    <phoneticPr fontId="2"/>
  </si>
  <si>
    <t>その他の地域</t>
    <phoneticPr fontId="2"/>
  </si>
  <si>
    <t>その他の地域</t>
    <phoneticPr fontId="2"/>
  </si>
  <si>
    <t>その他の地域</t>
    <phoneticPr fontId="2"/>
  </si>
  <si>
    <t>その他の地域</t>
    <phoneticPr fontId="2"/>
  </si>
  <si>
    <t>その他の地域</t>
    <phoneticPr fontId="2"/>
  </si>
  <si>
    <t>【特別診療報酬項目】</t>
    <rPh sb="1" eb="3">
      <t>トクベツ</t>
    </rPh>
    <rPh sb="3" eb="5">
      <t>シンリョウ</t>
    </rPh>
    <rPh sb="5" eb="7">
      <t>ホウシュウ</t>
    </rPh>
    <rPh sb="7" eb="9">
      <t>コウモク</t>
    </rPh>
    <phoneticPr fontId="2"/>
  </si>
  <si>
    <t>【算定有無と年間報酬額】</t>
    <rPh sb="1" eb="3">
      <t>サンテイ</t>
    </rPh>
    <rPh sb="3" eb="5">
      <t>ウム</t>
    </rPh>
    <rPh sb="6" eb="8">
      <t>ネンカン</t>
    </rPh>
    <rPh sb="8" eb="10">
      <t>ホウシュウ</t>
    </rPh>
    <rPh sb="10" eb="11">
      <t>ガク</t>
    </rPh>
    <phoneticPr fontId="2"/>
  </si>
  <si>
    <t>手順3</t>
    <rPh sb="0" eb="2">
      <t>テジュン</t>
    </rPh>
    <phoneticPr fontId="2"/>
  </si>
  <si>
    <t>【人件費】</t>
    <rPh sb="1" eb="4">
      <t>ジンケンヒ</t>
    </rPh>
    <phoneticPr fontId="2"/>
  </si>
  <si>
    <t>【経費】</t>
    <rPh sb="1" eb="3">
      <t>ケイヒ</t>
    </rPh>
    <rPh sb="2" eb="3">
      <t>ヒ</t>
    </rPh>
    <phoneticPr fontId="2"/>
  </si>
  <si>
    <t>支出（人件費・経費）に関する情報を入力してください</t>
    <rPh sb="0" eb="2">
      <t>シシュツ</t>
    </rPh>
    <rPh sb="3" eb="6">
      <t>ジンケンヒ</t>
    </rPh>
    <rPh sb="7" eb="9">
      <t>ケイヒ</t>
    </rPh>
    <rPh sb="11" eb="12">
      <t>カン</t>
    </rPh>
    <rPh sb="14" eb="16">
      <t>ジョウホウ</t>
    </rPh>
    <rPh sb="17" eb="19">
      <t>ニュウリョク</t>
    </rPh>
    <phoneticPr fontId="2"/>
  </si>
  <si>
    <t>介護事業経営概況調査結果の平均値による推計値の算出と、個別に項目を入力することによる算出が選択できます</t>
    <rPh sb="13" eb="16">
      <t>ヘイキンチ</t>
    </rPh>
    <rPh sb="19" eb="22">
      <t>スイケイチ</t>
    </rPh>
    <rPh sb="23" eb="25">
      <t>サンシュツ</t>
    </rPh>
    <rPh sb="27" eb="29">
      <t>コベツ</t>
    </rPh>
    <rPh sb="30" eb="32">
      <t>コウモク</t>
    </rPh>
    <rPh sb="33" eb="35">
      <t>ニュウリョク</t>
    </rPh>
    <rPh sb="42" eb="44">
      <t>サンシュツ</t>
    </rPh>
    <rPh sb="45" eb="47">
      <t>センタク</t>
    </rPh>
    <phoneticPr fontId="2"/>
  </si>
  <si>
    <t>延べ報酬単価</t>
    <rPh sb="0" eb="1">
      <t>ノ</t>
    </rPh>
    <rPh sb="2" eb="4">
      <t>ホウシュウ</t>
    </rPh>
    <rPh sb="4" eb="6">
      <t>タンカ</t>
    </rPh>
    <phoneticPr fontId="2"/>
  </si>
  <si>
    <t>延べ報酬単価合計</t>
    <rPh sb="0" eb="1">
      <t>ノ</t>
    </rPh>
    <rPh sb="2" eb="4">
      <t>ホウシュウ</t>
    </rPh>
    <rPh sb="4" eb="6">
      <t>タンカ</t>
    </rPh>
    <rPh sb="6" eb="8">
      <t>ゴウケイ</t>
    </rPh>
    <phoneticPr fontId="2"/>
  </si>
  <si>
    <t>1日当たり単価</t>
    <rPh sb="1" eb="2">
      <t>ニチ</t>
    </rPh>
    <rPh sb="2" eb="3">
      <t>ア</t>
    </rPh>
    <rPh sb="5" eb="7">
      <t>タンカ</t>
    </rPh>
    <phoneticPr fontId="2"/>
  </si>
  <si>
    <t>1日1人当たり単価</t>
    <rPh sb="1" eb="2">
      <t>ニチ</t>
    </rPh>
    <rPh sb="3" eb="4">
      <t>ニン</t>
    </rPh>
    <rPh sb="4" eb="5">
      <t>ア</t>
    </rPh>
    <rPh sb="7" eb="9">
      <t>タンカ</t>
    </rPh>
    <phoneticPr fontId="2"/>
  </si>
  <si>
    <t>介護職員処遇改善加算の算出のための加算単位数</t>
    <rPh sb="11" eb="13">
      <t>サンシュツ</t>
    </rPh>
    <rPh sb="17" eb="19">
      <t>カサン</t>
    </rPh>
    <rPh sb="19" eb="22">
      <t>タンイスウ</t>
    </rPh>
    <phoneticPr fontId="2"/>
  </si>
  <si>
    <t>本体減算合計</t>
    <rPh sb="0" eb="2">
      <t>ホンタイ</t>
    </rPh>
    <rPh sb="2" eb="4">
      <t>ゲンサン</t>
    </rPh>
    <rPh sb="4" eb="6">
      <t>ゴウケイ</t>
    </rPh>
    <phoneticPr fontId="2"/>
  </si>
  <si>
    <t>B病棟の特別診療費入力</t>
    <rPh sb="1" eb="3">
      <t>ビョウトウ</t>
    </rPh>
    <rPh sb="4" eb="6">
      <t>トクベツ</t>
    </rPh>
    <rPh sb="6" eb="9">
      <t>シンリョウヒ</t>
    </rPh>
    <rPh sb="9" eb="11">
      <t>ニュウリョク</t>
    </rPh>
    <phoneticPr fontId="2"/>
  </si>
  <si>
    <t>A病棟の特別診療費入力</t>
    <rPh sb="1" eb="3">
      <t>ビョウトウ</t>
    </rPh>
    <rPh sb="4" eb="6">
      <t>トクベツ</t>
    </rPh>
    <rPh sb="6" eb="9">
      <t>シンリョウヒ</t>
    </rPh>
    <rPh sb="9" eb="11">
      <t>ニュウリョク</t>
    </rPh>
    <phoneticPr fontId="2"/>
  </si>
  <si>
    <t>収入合計</t>
    <rPh sb="0" eb="2">
      <t>シュウニュウ</t>
    </rPh>
    <rPh sb="2" eb="4">
      <t>ゴウケイ</t>
    </rPh>
    <phoneticPr fontId="2"/>
  </si>
  <si>
    <t>収入小計</t>
    <rPh sb="0" eb="2">
      <t>シュウニュウ</t>
    </rPh>
    <rPh sb="2" eb="4">
      <t>ショウケイ</t>
    </rPh>
    <phoneticPr fontId="2"/>
  </si>
  <si>
    <t>Ⅰ型Ⅰ</t>
    <phoneticPr fontId="2"/>
  </si>
  <si>
    <t>Ⅰ型Ⅱ</t>
    <phoneticPr fontId="2"/>
  </si>
  <si>
    <t>Ⅰ型Ⅲ</t>
    <phoneticPr fontId="2"/>
  </si>
  <si>
    <t>Ⅱ型Ⅰ</t>
    <phoneticPr fontId="2"/>
  </si>
  <si>
    <t>Ⅱ型Ⅱ</t>
    <phoneticPr fontId="2"/>
  </si>
  <si>
    <t>Ⅱ型Ⅲ</t>
    <phoneticPr fontId="2"/>
  </si>
  <si>
    <t>読み替え</t>
    <rPh sb="0" eb="1">
      <t>ヨ</t>
    </rPh>
    <rPh sb="2" eb="3">
      <t>カ</t>
    </rPh>
    <phoneticPr fontId="2"/>
  </si>
  <si>
    <t>Ⅰ型特別</t>
    <rPh sb="1" eb="2">
      <t>ガタ</t>
    </rPh>
    <rPh sb="2" eb="4">
      <t>トクベツ</t>
    </rPh>
    <phoneticPr fontId="2"/>
  </si>
  <si>
    <t>ユニット型Ⅰ型Ⅰ</t>
    <rPh sb="4" eb="5">
      <t>ガタ</t>
    </rPh>
    <rPh sb="6" eb="7">
      <t>カタ</t>
    </rPh>
    <phoneticPr fontId="2"/>
  </si>
  <si>
    <t>ユニット型Ⅰ型Ⅱ</t>
    <rPh sb="4" eb="5">
      <t>ガタ</t>
    </rPh>
    <phoneticPr fontId="2"/>
  </si>
  <si>
    <t>ユニット型Ⅱ型</t>
    <phoneticPr fontId="2"/>
  </si>
  <si>
    <t>ユニット型Ⅰ型特別</t>
    <rPh sb="4" eb="5">
      <t>ガタ</t>
    </rPh>
    <rPh sb="7" eb="9">
      <t>トクベツ</t>
    </rPh>
    <phoneticPr fontId="2"/>
  </si>
  <si>
    <t>ユニット型Ⅱ型特別</t>
    <phoneticPr fontId="2"/>
  </si>
  <si>
    <t>手順4</t>
    <rPh sb="0" eb="2">
      <t>テジュン</t>
    </rPh>
    <phoneticPr fontId="2"/>
  </si>
  <si>
    <t>↔</t>
    <phoneticPr fontId="2"/>
  </si>
  <si>
    <t>シミュレーション結果を参照する</t>
    <rPh sb="8" eb="10">
      <t>ケッカ</t>
    </rPh>
    <rPh sb="11" eb="13">
      <t>サンショウ</t>
    </rPh>
    <phoneticPr fontId="2"/>
  </si>
  <si>
    <t>総床数</t>
    <rPh sb="0" eb="1">
      <t>ソウ</t>
    </rPh>
    <rPh sb="1" eb="2">
      <t>ユカ</t>
    </rPh>
    <rPh sb="2" eb="3">
      <t>スウ</t>
    </rPh>
    <phoneticPr fontId="2"/>
  </si>
  <si>
    <t>病床数</t>
    <rPh sb="0" eb="3">
      <t>ビョウショウスウ</t>
    </rPh>
    <phoneticPr fontId="2"/>
  </si>
  <si>
    <t>A病棟のシミュレーション内容</t>
    <rPh sb="1" eb="3">
      <t>ビョウトウ</t>
    </rPh>
    <rPh sb="12" eb="14">
      <t>ナイヨウ</t>
    </rPh>
    <phoneticPr fontId="2"/>
  </si>
  <si>
    <t>平均介護度</t>
    <rPh sb="0" eb="2">
      <t>ヘイキン</t>
    </rPh>
    <rPh sb="2" eb="4">
      <t>カイゴ</t>
    </rPh>
    <rPh sb="4" eb="5">
      <t>ド</t>
    </rPh>
    <phoneticPr fontId="2"/>
  </si>
  <si>
    <t>若年性認知症入所者受入加算</t>
  </si>
  <si>
    <t>退所前訪問指導加算</t>
  </si>
  <si>
    <t>退所後訪問指導加算</t>
  </si>
  <si>
    <t>退所時指導加算</t>
  </si>
  <si>
    <t>退所時情報提供加算</t>
  </si>
  <si>
    <t>退所前連携加算</t>
  </si>
  <si>
    <t>経口移行加算</t>
    <rPh sb="0" eb="2">
      <t>ケイコウ</t>
    </rPh>
    <rPh sb="2" eb="4">
      <t>イコウ</t>
    </rPh>
    <rPh sb="4" eb="6">
      <t>カサン</t>
    </rPh>
    <phoneticPr fontId="22"/>
  </si>
  <si>
    <t>経口維持加算（Ⅰ）</t>
    <rPh sb="0" eb="2">
      <t>ケイコウ</t>
    </rPh>
    <rPh sb="2" eb="4">
      <t>イジ</t>
    </rPh>
    <rPh sb="4" eb="6">
      <t>カサン</t>
    </rPh>
    <phoneticPr fontId="22"/>
  </si>
  <si>
    <t>療養食加算</t>
  </si>
  <si>
    <t>在宅復帰支援機能加算</t>
  </si>
  <si>
    <t>認知症専門ケア加算（Ⅱ）</t>
  </si>
  <si>
    <t>認知症行動・心理症状緊急対応加算</t>
  </si>
  <si>
    <t>重度認知症疾患療養体制加算（Ⅰ）</t>
    <rPh sb="0" eb="2">
      <t>ジュウド</t>
    </rPh>
    <rPh sb="2" eb="5">
      <t>ニンチショウ</t>
    </rPh>
    <rPh sb="5" eb="7">
      <t>シッカン</t>
    </rPh>
    <rPh sb="7" eb="9">
      <t>リョウヨウ</t>
    </rPh>
    <rPh sb="9" eb="11">
      <t>タイセイ</t>
    </rPh>
    <rPh sb="11" eb="13">
      <t>カサン</t>
    </rPh>
    <phoneticPr fontId="22"/>
  </si>
  <si>
    <t>サービス提供体制強化加算（Ⅱ）</t>
  </si>
  <si>
    <t>サービス提供体制強化加算（Ⅲ）</t>
  </si>
  <si>
    <t>介護職員処遇改善加算（Ⅰ）</t>
  </si>
  <si>
    <t>介護職員処遇改善加算（Ⅱ）</t>
  </si>
  <si>
    <t>訪問看護指示加算</t>
    <phoneticPr fontId="22"/>
  </si>
  <si>
    <t>重度認知症疾患療養体制加算（Ⅱ）</t>
    <phoneticPr fontId="22"/>
  </si>
  <si>
    <t>年間収入額</t>
    <phoneticPr fontId="2"/>
  </si>
  <si>
    <t>％</t>
    <phoneticPr fontId="2"/>
  </si>
  <si>
    <t>千円</t>
    <rPh sb="0" eb="2">
      <t>センエン</t>
    </rPh>
    <phoneticPr fontId="2"/>
  </si>
  <si>
    <t>算定している加算</t>
    <rPh sb="0" eb="2">
      <t>サンテイ</t>
    </rPh>
    <rPh sb="6" eb="8">
      <t>カサン</t>
    </rPh>
    <phoneticPr fontId="2"/>
  </si>
  <si>
    <t>算定している特別診療費</t>
    <rPh sb="0" eb="2">
      <t>サンテイ</t>
    </rPh>
    <rPh sb="6" eb="8">
      <t>トクベツ</t>
    </rPh>
    <rPh sb="8" eb="11">
      <t>シンリョウヒ</t>
    </rPh>
    <phoneticPr fontId="2"/>
  </si>
  <si>
    <t>外泊時費用</t>
    <rPh sb="0" eb="2">
      <t>ガイハク</t>
    </rPh>
    <rPh sb="2" eb="3">
      <t>ジ</t>
    </rPh>
    <rPh sb="3" eb="5">
      <t>ヒヨウ</t>
    </rPh>
    <phoneticPr fontId="22"/>
  </si>
  <si>
    <t>他科受診時費用</t>
    <rPh sb="0" eb="1">
      <t>ホカ</t>
    </rPh>
    <rPh sb="1" eb="2">
      <t>カ</t>
    </rPh>
    <rPh sb="2" eb="4">
      <t>ジュシン</t>
    </rPh>
    <rPh sb="4" eb="5">
      <t>ジ</t>
    </rPh>
    <rPh sb="5" eb="7">
      <t>ヒヨウ</t>
    </rPh>
    <phoneticPr fontId="2"/>
  </si>
  <si>
    <t>再入所時栄養連携加算</t>
    <rPh sb="0" eb="1">
      <t>サイ</t>
    </rPh>
    <rPh sb="1" eb="3">
      <t>ニュウショ</t>
    </rPh>
    <rPh sb="3" eb="4">
      <t>ジ</t>
    </rPh>
    <rPh sb="4" eb="6">
      <t>エイヨウ</t>
    </rPh>
    <rPh sb="6" eb="8">
      <t>レンケイ</t>
    </rPh>
    <rPh sb="8" eb="10">
      <t>カサン</t>
    </rPh>
    <phoneticPr fontId="2"/>
  </si>
  <si>
    <t>感染対策指導管理</t>
    <rPh sb="0" eb="2">
      <t>カンセン</t>
    </rPh>
    <rPh sb="2" eb="4">
      <t>タイサク</t>
    </rPh>
    <rPh sb="4" eb="6">
      <t>シドウ</t>
    </rPh>
    <rPh sb="6" eb="8">
      <t>カンリ</t>
    </rPh>
    <phoneticPr fontId="22"/>
  </si>
  <si>
    <t>重症皮膚潰瘍管理指導</t>
    <rPh sb="0" eb="2">
      <t>ジュウショウ</t>
    </rPh>
    <rPh sb="2" eb="4">
      <t>ヒフ</t>
    </rPh>
    <rPh sb="4" eb="6">
      <t>カイヨウ</t>
    </rPh>
    <rPh sb="6" eb="8">
      <t>カンリ</t>
    </rPh>
    <rPh sb="8" eb="10">
      <t>シドウ</t>
    </rPh>
    <phoneticPr fontId="2"/>
  </si>
  <si>
    <t>医学情報提供</t>
    <rPh sb="0" eb="2">
      <t>イガク</t>
    </rPh>
    <rPh sb="2" eb="4">
      <t>ジョウホウ</t>
    </rPh>
    <rPh sb="4" eb="6">
      <t>テイキョウ</t>
    </rPh>
    <phoneticPr fontId="2"/>
  </si>
  <si>
    <t>D病棟の特別診療費入力</t>
    <rPh sb="1" eb="3">
      <t>ビョウトウ</t>
    </rPh>
    <rPh sb="4" eb="6">
      <t>トクベツ</t>
    </rPh>
    <rPh sb="6" eb="9">
      <t>シンリョウヒ</t>
    </rPh>
    <rPh sb="9" eb="11">
      <t>ニュウリョク</t>
    </rPh>
    <phoneticPr fontId="2"/>
  </si>
  <si>
    <t>B病棟のシミュレーション内容</t>
    <rPh sb="1" eb="3">
      <t>ビョウトウ</t>
    </rPh>
    <rPh sb="12" eb="14">
      <t>ナイヨウ</t>
    </rPh>
    <phoneticPr fontId="2"/>
  </si>
  <si>
    <t>D病棟のシミュレーション内容</t>
    <rPh sb="1" eb="3">
      <t>ビョウトウ</t>
    </rPh>
    <rPh sb="12" eb="14">
      <t>ナイヨウ</t>
    </rPh>
    <phoneticPr fontId="2"/>
  </si>
  <si>
    <t>C病棟のシミュレーション内容</t>
    <rPh sb="1" eb="3">
      <t>ビョウトウ</t>
    </rPh>
    <rPh sb="12" eb="14">
      <t>ナイヨウ</t>
    </rPh>
    <phoneticPr fontId="2"/>
  </si>
  <si>
    <t>経費</t>
    <rPh sb="0" eb="2">
      <t>ケイヒ</t>
    </rPh>
    <phoneticPr fontId="2"/>
  </si>
  <si>
    <t>利用率</t>
    <rPh sb="0" eb="3">
      <t>リヨウリツ</t>
    </rPh>
    <phoneticPr fontId="2"/>
  </si>
  <si>
    <t>Ⅱ型特別介護医療院サービス費</t>
    <rPh sb="1" eb="2">
      <t>ガタ</t>
    </rPh>
    <rPh sb="2" eb="4">
      <t>トクベツ</t>
    </rPh>
    <rPh sb="4" eb="6">
      <t>カイゴ</t>
    </rPh>
    <rPh sb="6" eb="8">
      <t>イリョウ</t>
    </rPh>
    <rPh sb="8" eb="9">
      <t>イン</t>
    </rPh>
    <rPh sb="13" eb="14">
      <t>ヒ</t>
    </rPh>
    <phoneticPr fontId="2"/>
  </si>
  <si>
    <t>Ⅱ型特別</t>
    <rPh sb="1" eb="2">
      <t>ガタ</t>
    </rPh>
    <rPh sb="2" eb="4">
      <t>トクベツ</t>
    </rPh>
    <phoneticPr fontId="2"/>
  </si>
  <si>
    <t>介護報酬1単位当たりの地域区分単価</t>
    <rPh sb="0" eb="2">
      <t>カイゴ</t>
    </rPh>
    <rPh sb="2" eb="4">
      <t>ホウシュウ</t>
    </rPh>
    <rPh sb="5" eb="7">
      <t>タンイ</t>
    </rPh>
    <rPh sb="7" eb="8">
      <t>ア</t>
    </rPh>
    <rPh sb="11" eb="13">
      <t>チイキ</t>
    </rPh>
    <rPh sb="13" eb="15">
      <t>クブン</t>
    </rPh>
    <rPh sb="15" eb="17">
      <t>タンカ</t>
    </rPh>
    <phoneticPr fontId="2"/>
  </si>
  <si>
    <t>支出合計</t>
    <rPh sb="0" eb="2">
      <t>シシュツ</t>
    </rPh>
    <rPh sb="2" eb="4">
      <t>ゴウケイ</t>
    </rPh>
    <phoneticPr fontId="2"/>
  </si>
  <si>
    <t>収支差</t>
    <rPh sb="0" eb="2">
      <t>シュウシ</t>
    </rPh>
    <rPh sb="2" eb="3">
      <t>サ</t>
    </rPh>
    <phoneticPr fontId="2"/>
  </si>
  <si>
    <t>いずれか一方を
入力してください</t>
    <rPh sb="4" eb="6">
      <t>イッポウ</t>
    </rPh>
    <rPh sb="8" eb="10">
      <t>ニュウリョク</t>
    </rPh>
    <phoneticPr fontId="2"/>
  </si>
  <si>
    <t>いずれか
1つ</t>
    <phoneticPr fontId="2"/>
  </si>
  <si>
    <t>介護医療院の収支シミュレーション入力シート</t>
    <phoneticPr fontId="2"/>
  </si>
  <si>
    <t>P.148以降</t>
    <rPh sb="5" eb="7">
      <t>イコウ</t>
    </rPh>
    <phoneticPr fontId="2"/>
  </si>
  <si>
    <t>A病棟の加算項目・特別診療項目の入力</t>
    <rPh sb="1" eb="3">
      <t>ビョウトウ</t>
    </rPh>
    <rPh sb="4" eb="6">
      <t>カサン</t>
    </rPh>
    <rPh sb="6" eb="8">
      <t>コウモク</t>
    </rPh>
    <rPh sb="9" eb="11">
      <t>トクベツ</t>
    </rPh>
    <rPh sb="11" eb="13">
      <t>シンリョウ</t>
    </rPh>
    <rPh sb="13" eb="15">
      <t>コウモク</t>
    </rPh>
    <rPh sb="16" eb="18">
      <t>ニュウリョク</t>
    </rPh>
    <phoneticPr fontId="2"/>
  </si>
  <si>
    <t>ハンドブック
記載ページ</t>
    <rPh sb="7" eb="9">
      <t>キサイ</t>
    </rPh>
    <phoneticPr fontId="2"/>
  </si>
  <si>
    <t>×19/1000</t>
    <phoneticPr fontId="2"/>
  </si>
  <si>
    <t>×10/1000</t>
  </si>
  <si>
    <t>×15/1000</t>
  </si>
  <si>
    <t>×11/1000</t>
  </si>
  <si>
    <t>その他③</t>
    <rPh sb="2" eb="3">
      <t>タ</t>
    </rPh>
    <phoneticPr fontId="2"/>
  </si>
  <si>
    <t>個別に入力する場合の費用項目（色がグレーの場合入力不要）</t>
    <rPh sb="0" eb="2">
      <t>コベツ</t>
    </rPh>
    <rPh sb="3" eb="5">
      <t>ニュウリョク</t>
    </rPh>
    <rPh sb="7" eb="9">
      <t>バアイ</t>
    </rPh>
    <rPh sb="10" eb="12">
      <t>ヒヨウ</t>
    </rPh>
    <rPh sb="12" eb="14">
      <t>コウモク</t>
    </rPh>
    <rPh sb="15" eb="16">
      <t>イロ</t>
    </rPh>
    <rPh sb="21" eb="23">
      <t>バアイ</t>
    </rPh>
    <rPh sb="23" eb="25">
      <t>ニュウリョク</t>
    </rPh>
    <rPh sb="25" eb="27">
      <t>フヨウ</t>
    </rPh>
    <phoneticPr fontId="2"/>
  </si>
  <si>
    <t>個別に入力する場合の費用項目（色がグレーの場合入力不要）</t>
    <rPh sb="0" eb="2">
      <t>コベツ</t>
    </rPh>
    <rPh sb="3" eb="5">
      <t>ニュウリョク</t>
    </rPh>
    <rPh sb="7" eb="9">
      <t>バアイ</t>
    </rPh>
    <rPh sb="10" eb="12">
      <t>ヒヨウ</t>
    </rPh>
    <rPh sb="12" eb="14">
      <t>コウモク</t>
    </rPh>
    <phoneticPr fontId="2"/>
  </si>
  <si>
    <t>B病棟の加算項目・特別診療項目の入力</t>
    <rPh sb="1" eb="3">
      <t>ビョウトウ</t>
    </rPh>
    <rPh sb="4" eb="6">
      <t>カサン</t>
    </rPh>
    <rPh sb="6" eb="8">
      <t>コウモク</t>
    </rPh>
    <rPh sb="9" eb="11">
      <t>トクベツ</t>
    </rPh>
    <rPh sb="11" eb="13">
      <t>シンリョウ</t>
    </rPh>
    <rPh sb="13" eb="15">
      <t>コウモク</t>
    </rPh>
    <rPh sb="16" eb="18">
      <t>ニュウリョク</t>
    </rPh>
    <phoneticPr fontId="2"/>
  </si>
  <si>
    <t>C病棟の加算項目・特別診療項目の入力</t>
    <rPh sb="1" eb="3">
      <t>ビョウトウ</t>
    </rPh>
    <rPh sb="4" eb="6">
      <t>カサン</t>
    </rPh>
    <rPh sb="6" eb="8">
      <t>コウモク</t>
    </rPh>
    <rPh sb="9" eb="11">
      <t>トクベツ</t>
    </rPh>
    <rPh sb="11" eb="13">
      <t>シンリョウ</t>
    </rPh>
    <rPh sb="13" eb="15">
      <t>コウモク</t>
    </rPh>
    <rPh sb="16" eb="18">
      <t>ニュウリョク</t>
    </rPh>
    <phoneticPr fontId="2"/>
  </si>
  <si>
    <t>D病棟の加算項目・特別診療項目の入力</t>
    <rPh sb="1" eb="3">
      <t>ビョウトウ</t>
    </rPh>
    <rPh sb="4" eb="6">
      <t>カサン</t>
    </rPh>
    <rPh sb="6" eb="8">
      <t>コウモク</t>
    </rPh>
    <rPh sb="9" eb="11">
      <t>トクベツ</t>
    </rPh>
    <rPh sb="11" eb="13">
      <t>シンリョウ</t>
    </rPh>
    <rPh sb="13" eb="15">
      <t>コウモク</t>
    </rPh>
    <rPh sb="16" eb="18">
      <t>ニュウリョク</t>
    </rPh>
    <phoneticPr fontId="2"/>
  </si>
  <si>
    <t>事業費</t>
    <rPh sb="0" eb="3">
      <t>ジギョウヒ</t>
    </rPh>
    <phoneticPr fontId="2"/>
  </si>
  <si>
    <t>補助金</t>
    <rPh sb="0" eb="3">
      <t>ホジョキン</t>
    </rPh>
    <phoneticPr fontId="2"/>
  </si>
  <si>
    <t>借入金</t>
    <rPh sb="0" eb="2">
      <t>カリイレ</t>
    </rPh>
    <rPh sb="2" eb="3">
      <t>キン</t>
    </rPh>
    <phoneticPr fontId="2"/>
  </si>
  <si>
    <t>自己資金</t>
    <rPh sb="0" eb="2">
      <t>ジコ</t>
    </rPh>
    <rPh sb="2" eb="4">
      <t>シキン</t>
    </rPh>
    <phoneticPr fontId="2"/>
  </si>
  <si>
    <t>建築資金</t>
    <rPh sb="0" eb="2">
      <t>ケンチク</t>
    </rPh>
    <rPh sb="2" eb="4">
      <t>シキン</t>
    </rPh>
    <phoneticPr fontId="2"/>
  </si>
  <si>
    <t>備品購入資金</t>
    <rPh sb="0" eb="2">
      <t>ビヒン</t>
    </rPh>
    <rPh sb="2" eb="4">
      <t>コウニュウ</t>
    </rPh>
    <rPh sb="4" eb="6">
      <t>シキン</t>
    </rPh>
    <phoneticPr fontId="2"/>
  </si>
  <si>
    <t>土地取得資金</t>
    <rPh sb="0" eb="2">
      <t>トチ</t>
    </rPh>
    <rPh sb="2" eb="4">
      <t>シュトク</t>
    </rPh>
    <rPh sb="4" eb="6">
      <t>シキン</t>
    </rPh>
    <phoneticPr fontId="2"/>
  </si>
  <si>
    <t>運転資金</t>
    <rPh sb="0" eb="2">
      <t>ウンテン</t>
    </rPh>
    <rPh sb="2" eb="4">
      <t>シキン</t>
    </rPh>
    <phoneticPr fontId="2"/>
  </si>
  <si>
    <t>対象人数・回数
(年間延べ数）</t>
    <rPh sb="0" eb="2">
      <t>タイショウ</t>
    </rPh>
    <rPh sb="2" eb="4">
      <t>ニンズウ</t>
    </rPh>
    <rPh sb="5" eb="7">
      <t>カイスウ</t>
    </rPh>
    <rPh sb="9" eb="11">
      <t>ネンカン</t>
    </rPh>
    <rPh sb="11" eb="12">
      <t>ノ</t>
    </rPh>
    <rPh sb="13" eb="14">
      <t>スウ</t>
    </rPh>
    <phoneticPr fontId="2"/>
  </si>
  <si>
    <t>想定利用率(%)</t>
    <rPh sb="0" eb="2">
      <t>ソウテイ</t>
    </rPh>
    <rPh sb="2" eb="5">
      <t>リヨウリツ</t>
    </rPh>
    <phoneticPr fontId="2"/>
  </si>
  <si>
    <t>日額単価</t>
    <rPh sb="0" eb="2">
      <t>ニチガク</t>
    </rPh>
    <rPh sb="2" eb="4">
      <t>タンカ</t>
    </rPh>
    <phoneticPr fontId="2"/>
  </si>
  <si>
    <t>地域区分単価</t>
    <rPh sb="0" eb="2">
      <t>チイキ</t>
    </rPh>
    <rPh sb="2" eb="4">
      <t>クブン</t>
    </rPh>
    <rPh sb="4" eb="6">
      <t>タンカ</t>
    </rPh>
    <phoneticPr fontId="2"/>
  </si>
  <si>
    <t>介護保険負担割合</t>
    <rPh sb="0" eb="2">
      <t>カイゴ</t>
    </rPh>
    <rPh sb="2" eb="4">
      <t>ホケン</t>
    </rPh>
    <rPh sb="4" eb="6">
      <t>フタン</t>
    </rPh>
    <rPh sb="6" eb="8">
      <t>ワリアイ</t>
    </rPh>
    <phoneticPr fontId="2"/>
  </si>
  <si>
    <t>割り振り</t>
    <rPh sb="0" eb="1">
      <t>ワ</t>
    </rPh>
    <rPh sb="2" eb="3">
      <t>フ</t>
    </rPh>
    <phoneticPr fontId="2"/>
  </si>
  <si>
    <t>×</t>
    <phoneticPr fontId="2"/>
  </si>
  <si>
    <t xml:space="preserve"> </t>
    <phoneticPr fontId="2"/>
  </si>
  <si>
    <t>200or100</t>
    <phoneticPr fontId="2"/>
  </si>
  <si>
    <t>サービス提供体制強化加算（Ⅱ）</t>
    <phoneticPr fontId="2"/>
  </si>
  <si>
    <t>介護職員処遇改善加算（Ⅰ）</t>
    <phoneticPr fontId="2"/>
  </si>
  <si>
    <t>×26/1000</t>
    <phoneticPr fontId="2"/>
  </si>
  <si>
    <t>×19/1000</t>
    <phoneticPr fontId="2"/>
  </si>
  <si>
    <t>介護職員処遇改善加算（Ⅲ）</t>
    <phoneticPr fontId="2"/>
  </si>
  <si>
    <t>重度認知症疾患療養体制加算（Ⅰ）</t>
    <phoneticPr fontId="2"/>
  </si>
  <si>
    <t>×26/1000</t>
    <phoneticPr fontId="2"/>
  </si>
  <si>
    <t>介護職員処遇改善加算（Ⅱ）</t>
    <phoneticPr fontId="2"/>
  </si>
  <si>
    <t>200or100</t>
    <phoneticPr fontId="2"/>
  </si>
  <si>
    <t>介護職員処遇改善加算（Ⅰ）</t>
    <phoneticPr fontId="2"/>
  </si>
  <si>
    <t>×26/1000</t>
    <phoneticPr fontId="2"/>
  </si>
  <si>
    <t>介護職員処遇改善加算（Ⅲ）</t>
    <phoneticPr fontId="2"/>
  </si>
  <si>
    <t>日毎</t>
    <phoneticPr fontId="2"/>
  </si>
  <si>
    <t>重度認知症疾患療養体制加算（Ⅰ）</t>
    <phoneticPr fontId="2"/>
  </si>
  <si>
    <t>140or40</t>
    <phoneticPr fontId="2"/>
  </si>
  <si>
    <t>C病棟の特別診療費入力</t>
    <rPh sb="1" eb="3">
      <t>ビョウトウ</t>
    </rPh>
    <rPh sb="4" eb="6">
      <t>トクベツ</t>
    </rPh>
    <rPh sb="6" eb="9">
      <t>シンリョウヒ</t>
    </rPh>
    <rPh sb="9" eb="11">
      <t>ニュウリョク</t>
    </rPh>
    <phoneticPr fontId="2"/>
  </si>
  <si>
    <t>※入力された条件下での予測値であり、収支差を確約するものではありません</t>
    <rPh sb="1" eb="3">
      <t>ニュウリョク</t>
    </rPh>
    <rPh sb="6" eb="9">
      <t>ジョウケンカ</t>
    </rPh>
    <rPh sb="11" eb="13">
      <t>ヨソク</t>
    </rPh>
    <rPh sb="13" eb="14">
      <t>アタイ</t>
    </rPh>
    <rPh sb="22" eb="24">
      <t>カクヤク</t>
    </rPh>
    <phoneticPr fontId="2"/>
  </si>
  <si>
    <t>単位：千円</t>
    <rPh sb="0" eb="2">
      <t>タンイ</t>
    </rPh>
    <rPh sb="3" eb="5">
      <t>センエン</t>
    </rPh>
    <phoneticPr fontId="2"/>
  </si>
  <si>
    <t>平均要介護度</t>
    <rPh sb="0" eb="2">
      <t>ヘイキン</t>
    </rPh>
    <rPh sb="2" eb="5">
      <t>ヨウカイゴ</t>
    </rPh>
    <rPh sb="5" eb="6">
      <t>ド</t>
    </rPh>
    <phoneticPr fontId="2"/>
  </si>
  <si>
    <t>なお、①想定利用率と想定要介護割合から計算する方法と、②要介護別の人数を入れて計算する2種類をお選びいただけます。</t>
    <rPh sb="4" eb="6">
      <t>ソウテイ</t>
    </rPh>
    <rPh sb="6" eb="9">
      <t>リヨウリツ</t>
    </rPh>
    <rPh sb="10" eb="12">
      <t>ソウテイ</t>
    </rPh>
    <rPh sb="12" eb="15">
      <t>ヨウカイゴ</t>
    </rPh>
    <rPh sb="15" eb="17">
      <t>ワリアイ</t>
    </rPh>
    <rPh sb="19" eb="21">
      <t>ケイサン</t>
    </rPh>
    <rPh sb="23" eb="25">
      <t>ホウホウ</t>
    </rPh>
    <rPh sb="28" eb="31">
      <t>ヨウカイゴ</t>
    </rPh>
    <rPh sb="31" eb="32">
      <t>ベツ</t>
    </rPh>
    <rPh sb="33" eb="35">
      <t>ニンズウ</t>
    </rPh>
    <rPh sb="36" eb="37">
      <t>イ</t>
    </rPh>
    <rPh sb="39" eb="41">
      <t>ケイサン</t>
    </rPh>
    <rPh sb="44" eb="46">
      <t>シュルイ</t>
    </rPh>
    <rPh sb="48" eb="49">
      <t>エラ</t>
    </rPh>
    <phoneticPr fontId="2"/>
  </si>
  <si>
    <t>平均利用率(%)</t>
    <phoneticPr fontId="2"/>
  </si>
  <si>
    <t>要介護</t>
    <phoneticPr fontId="2"/>
  </si>
  <si>
    <t>年間延利用者数</t>
    <phoneticPr fontId="2"/>
  </si>
  <si>
    <t>平均要介護度</t>
    <phoneticPr fontId="2"/>
  </si>
  <si>
    <t>居室料金</t>
    <rPh sb="0" eb="2">
      <t>キョシツ</t>
    </rPh>
    <rPh sb="2" eb="4">
      <t>リョウキン</t>
    </rPh>
    <phoneticPr fontId="2"/>
  </si>
  <si>
    <t>算定不可チェック</t>
    <rPh sb="0" eb="2">
      <t>サンテイ</t>
    </rPh>
    <rPh sb="2" eb="4">
      <t>フカ</t>
    </rPh>
    <phoneticPr fontId="2"/>
  </si>
  <si>
    <t>施設・居室マッチチェック</t>
    <rPh sb="0" eb="2">
      <t>シセツ</t>
    </rPh>
    <rPh sb="3" eb="5">
      <t>キョシツ</t>
    </rPh>
    <phoneticPr fontId="2"/>
  </si>
  <si>
    <t>居室チェック</t>
    <rPh sb="0" eb="2">
      <t>キョシツ</t>
    </rPh>
    <phoneticPr fontId="2"/>
  </si>
  <si>
    <t>施設チェック</t>
    <rPh sb="0" eb="2">
      <t>シセツ</t>
    </rPh>
    <phoneticPr fontId="2"/>
  </si>
  <si>
    <t>その他料金</t>
    <rPh sb="2" eb="3">
      <t>タ</t>
    </rPh>
    <rPh sb="3" eb="5">
      <t>リョウキン</t>
    </rPh>
    <phoneticPr fontId="2"/>
  </si>
  <si>
    <t>現在</t>
    <rPh sb="0" eb="2">
      <t>ゲンザイ</t>
    </rPh>
    <phoneticPr fontId="2"/>
  </si>
  <si>
    <t>今後</t>
    <rPh sb="0" eb="2">
      <t>コンゴ</t>
    </rPh>
    <phoneticPr fontId="2"/>
  </si>
  <si>
    <t>差額</t>
    <rPh sb="0" eb="2">
      <t>サガク</t>
    </rPh>
    <phoneticPr fontId="2"/>
  </si>
  <si>
    <t>食費・居住費・その他費用・加算・特別診療費の計算</t>
    <rPh sb="0" eb="2">
      <t>ショクヒ</t>
    </rPh>
    <rPh sb="3" eb="5">
      <t>キョジュウ</t>
    </rPh>
    <rPh sb="5" eb="6">
      <t>ヒ</t>
    </rPh>
    <rPh sb="9" eb="10">
      <t>タ</t>
    </rPh>
    <rPh sb="10" eb="12">
      <t>ヒヨウ</t>
    </rPh>
    <rPh sb="13" eb="15">
      <t>カサン</t>
    </rPh>
    <rPh sb="16" eb="18">
      <t>トクベツ</t>
    </rPh>
    <rPh sb="18" eb="21">
      <t>シンリョウヒ</t>
    </rPh>
    <rPh sb="22" eb="24">
      <t>ケイサン</t>
    </rPh>
    <phoneticPr fontId="2"/>
  </si>
  <si>
    <t>日額換算</t>
    <rPh sb="0" eb="2">
      <t>ニチガク</t>
    </rPh>
    <rPh sb="2" eb="4">
      <t>カンサン</t>
    </rPh>
    <phoneticPr fontId="2"/>
  </si>
  <si>
    <t>その他費用の計算</t>
    <rPh sb="2" eb="3">
      <t>タ</t>
    </rPh>
    <rPh sb="3" eb="5">
      <t>ヒヨウ</t>
    </rPh>
    <rPh sb="6" eb="8">
      <t>ケイサン</t>
    </rPh>
    <phoneticPr fontId="2"/>
  </si>
  <si>
    <t>食費・居住費・その他</t>
    <rPh sb="0" eb="2">
      <t>ショクヒ</t>
    </rPh>
    <rPh sb="3" eb="5">
      <t>キョジュウ</t>
    </rPh>
    <rPh sb="5" eb="6">
      <t>ヒ</t>
    </rPh>
    <rPh sb="9" eb="10">
      <t>タ</t>
    </rPh>
    <phoneticPr fontId="2"/>
  </si>
  <si>
    <t>加算・減算および特別診療費の計算</t>
    <rPh sb="3" eb="5">
      <t>ゲンサン</t>
    </rPh>
    <rPh sb="14" eb="16">
      <t>ケイサン</t>
    </rPh>
    <phoneticPr fontId="2"/>
  </si>
  <si>
    <t>据置期間</t>
    <rPh sb="0" eb="2">
      <t>スエオキ</t>
    </rPh>
    <rPh sb="2" eb="4">
      <t>キカン</t>
    </rPh>
    <phoneticPr fontId="12"/>
  </si>
  <si>
    <t>ハンドブック(R2.1月版)
記載ページ</t>
    <rPh sb="11" eb="12">
      <t>ガツ</t>
    </rPh>
    <rPh sb="12" eb="13">
      <t>バン</t>
    </rPh>
    <rPh sb="15" eb="17">
      <t>キサイ</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</si>
  <si>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</si>
  <si>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（減算）夜勤体制減算</t>
    <rPh sb="1" eb="3">
      <t>ゲンサン</t>
    </rPh>
    <rPh sb="4" eb="6">
      <t>ヤキン</t>
    </rPh>
    <rPh sb="6" eb="8">
      <t>タイセイ</t>
    </rPh>
    <rPh sb="8" eb="10">
      <t>ゲンサン</t>
    </rPh>
    <phoneticPr fontId="2"/>
  </si>
  <si>
    <t>介護職員処遇改善加算</t>
    <phoneticPr fontId="2"/>
  </si>
  <si>
    <t>介護職員処遇改善加算（Ⅰ）</t>
    <phoneticPr fontId="2"/>
  </si>
  <si>
    <t>（減算）療養環境減算（Ⅰ）</t>
    <rPh sb="1" eb="3">
      <t>ゲンサン</t>
    </rPh>
    <phoneticPr fontId="2"/>
  </si>
  <si>
    <t>介護職員処遇改善加算（Ⅱ）</t>
    <phoneticPr fontId="2"/>
  </si>
  <si>
    <t>（減算）療養環境減算（Ⅱ）</t>
    <rPh sb="1" eb="3">
      <t>ゲンサン</t>
    </rPh>
    <phoneticPr fontId="2"/>
  </si>
  <si>
    <t>施設全体の減算</t>
    <rPh sb="0" eb="2">
      <t>シセツ</t>
    </rPh>
    <rPh sb="2" eb="4">
      <t>ゼンタイ</t>
    </rPh>
    <rPh sb="5" eb="7">
      <t>ゲンサン</t>
    </rPh>
    <phoneticPr fontId="2"/>
  </si>
  <si>
    <t>外泊等の加算による所定単位数減算</t>
    <rPh sb="0" eb="2">
      <t>ガイハク</t>
    </rPh>
    <rPh sb="2" eb="3">
      <t>トウ</t>
    </rPh>
    <rPh sb="9" eb="11">
      <t>ショテイ</t>
    </rPh>
    <rPh sb="11" eb="13">
      <t>タンイ</t>
    </rPh>
    <rPh sb="13" eb="14">
      <t>スウ</t>
    </rPh>
    <rPh sb="14" eb="16">
      <t>ゲンサン</t>
    </rPh>
    <phoneticPr fontId="2"/>
  </si>
  <si>
    <t>利用者負担段階</t>
    <rPh sb="0" eb="3">
      <t>リヨウシャ</t>
    </rPh>
    <rPh sb="3" eb="5">
      <t>フタン</t>
    </rPh>
    <rPh sb="5" eb="7">
      <t>ダンカイ</t>
    </rPh>
    <phoneticPr fontId="2"/>
  </si>
  <si>
    <t>入所予定の病棟</t>
    <rPh sb="0" eb="2">
      <t>ニュウショ</t>
    </rPh>
    <rPh sb="2" eb="4">
      <t>ヨテイ</t>
    </rPh>
    <rPh sb="5" eb="7">
      <t>ビョウトウ</t>
    </rPh>
    <phoneticPr fontId="2"/>
  </si>
  <si>
    <t>利用者負担割合</t>
    <rPh sb="0" eb="3">
      <t>リヨウシャ</t>
    </rPh>
    <rPh sb="3" eb="5">
      <t>フタン</t>
    </rPh>
    <rPh sb="5" eb="7">
      <t>ワリアイ</t>
    </rPh>
    <phoneticPr fontId="2"/>
  </si>
  <si>
    <t>読み替え２</t>
    <phoneticPr fontId="2"/>
  </si>
  <si>
    <t>Ⅰ型介護医療院（Ⅰ）</t>
  </si>
  <si>
    <t>Ⅰ型介護医療院（Ⅱ）</t>
  </si>
  <si>
    <t>Ⅰ型介護医療院（Ⅲ）</t>
  </si>
  <si>
    <t>Ⅱ型介護医療院（Ⅰ）</t>
  </si>
  <si>
    <t>Ⅱ型介護医療院（Ⅱ）</t>
  </si>
  <si>
    <t>Ⅱ型介護医療院（Ⅲ）</t>
  </si>
  <si>
    <t>Ⅰ型特別介護医療院</t>
    <rPh sb="1" eb="2">
      <t>ガタ</t>
    </rPh>
    <rPh sb="2" eb="4">
      <t>トクベツ</t>
    </rPh>
    <rPh sb="4" eb="6">
      <t>カイゴ</t>
    </rPh>
    <rPh sb="6" eb="8">
      <t>イリョウ</t>
    </rPh>
    <rPh sb="8" eb="9">
      <t>イン</t>
    </rPh>
    <phoneticPr fontId="2"/>
  </si>
  <si>
    <t>Ⅱ型特別介護医療院</t>
    <rPh sb="1" eb="2">
      <t>ガタ</t>
    </rPh>
    <rPh sb="2" eb="4">
      <t>トクベツ</t>
    </rPh>
    <rPh sb="4" eb="6">
      <t>カイゴ</t>
    </rPh>
    <rPh sb="6" eb="8">
      <t>イリョウ</t>
    </rPh>
    <rPh sb="8" eb="9">
      <t>イン</t>
    </rPh>
    <phoneticPr fontId="2"/>
  </si>
  <si>
    <t>ユニット型Ⅰ型介護医療院（Ⅰ）</t>
    <rPh sb="4" eb="5">
      <t>ガタ</t>
    </rPh>
    <rPh sb="6" eb="7">
      <t>カタ</t>
    </rPh>
    <rPh sb="7" eb="9">
      <t>カイゴ</t>
    </rPh>
    <rPh sb="9" eb="11">
      <t>イリョウ</t>
    </rPh>
    <rPh sb="11" eb="12">
      <t>イン</t>
    </rPh>
    <phoneticPr fontId="2"/>
  </si>
  <si>
    <t>ユニット型Ⅰ型介護医療院（Ⅱ）</t>
    <rPh sb="4" eb="5">
      <t>ガタ</t>
    </rPh>
    <phoneticPr fontId="2"/>
  </si>
  <si>
    <t>ユニット型Ⅱ型介護医療院</t>
  </si>
  <si>
    <t>ユニット型Ⅰ型特別介護医療院</t>
    <rPh sb="4" eb="5">
      <t>ガタ</t>
    </rPh>
    <rPh sb="7" eb="9">
      <t>トクベツ</t>
    </rPh>
    <phoneticPr fontId="2"/>
  </si>
  <si>
    <t>ユニット型Ⅱ型特別介護医療院</t>
  </si>
  <si>
    <t>要介護度</t>
    <rPh sb="0" eb="1">
      <t>ヨウ</t>
    </rPh>
    <rPh sb="1" eb="3">
      <t>カイゴ</t>
    </rPh>
    <rPh sb="3" eb="4">
      <t>ド</t>
    </rPh>
    <phoneticPr fontId="2"/>
  </si>
  <si>
    <t>第4段階の場合で
施設が定めている金額</t>
    <phoneticPr fontId="2"/>
  </si>
  <si>
    <t>入所予定の居室種類</t>
    <rPh sb="0" eb="2">
      <t>ニュウショ</t>
    </rPh>
    <rPh sb="2" eb="4">
      <t>ヨテイ</t>
    </rPh>
    <rPh sb="5" eb="7">
      <t>キョシツ</t>
    </rPh>
    <rPh sb="7" eb="9">
      <t>シュルイ</t>
    </rPh>
    <phoneticPr fontId="2"/>
  </si>
  <si>
    <t>　介護医療院とは要介護者であって主として長期にわたり療養が必要である方に対し、</t>
    <rPh sb="1" eb="3">
      <t>カイゴ</t>
    </rPh>
    <rPh sb="3" eb="5">
      <t>イリョウ</t>
    </rPh>
    <rPh sb="5" eb="6">
      <t>イン</t>
    </rPh>
    <rPh sb="8" eb="9">
      <t>ヨウ</t>
    </rPh>
    <rPh sb="9" eb="12">
      <t>カイゴシャ</t>
    </rPh>
    <rPh sb="16" eb="17">
      <t>シュ</t>
    </rPh>
    <rPh sb="20" eb="22">
      <t>チョウキ</t>
    </rPh>
    <rPh sb="26" eb="28">
      <t>リョウヨウ</t>
    </rPh>
    <rPh sb="29" eb="31">
      <t>ヒツヨウ</t>
    </rPh>
    <rPh sb="34" eb="35">
      <t>カタ</t>
    </rPh>
    <rPh sb="36" eb="37">
      <t>タイ</t>
    </rPh>
    <phoneticPr fontId="2"/>
  </si>
  <si>
    <t>「日常的な医学管理」や「看取りやターミナルケア」等の医療機能と、</t>
    <rPh sb="1" eb="4">
      <t>ニチジョウテキ</t>
    </rPh>
    <rPh sb="5" eb="7">
      <t>イガク</t>
    </rPh>
    <rPh sb="7" eb="9">
      <t>カンリ</t>
    </rPh>
    <rPh sb="12" eb="14">
      <t>ミト</t>
    </rPh>
    <rPh sb="24" eb="25">
      <t>トウ</t>
    </rPh>
    <rPh sb="26" eb="28">
      <t>イリョウ</t>
    </rPh>
    <rPh sb="28" eb="30">
      <t>キノウ</t>
    </rPh>
    <phoneticPr fontId="2"/>
  </si>
  <si>
    <t>「生活施設」としての機能を一体的に提供する施設です。</t>
    <rPh sb="10" eb="12">
      <t>キノウ</t>
    </rPh>
    <rPh sb="13" eb="16">
      <t>イッタイテキ</t>
    </rPh>
    <rPh sb="17" eb="19">
      <t>テイキョウ</t>
    </rPh>
    <rPh sb="21" eb="23">
      <t>シセツ</t>
    </rPh>
    <phoneticPr fontId="2"/>
  </si>
  <si>
    <t>様</t>
    <rPh sb="0" eb="1">
      <t>サマ</t>
    </rPh>
    <phoneticPr fontId="2"/>
  </si>
  <si>
    <t>介護保険・医療保険自己負担額</t>
    <rPh sb="0" eb="2">
      <t>カイゴ</t>
    </rPh>
    <rPh sb="2" eb="4">
      <t>ホケン</t>
    </rPh>
    <rPh sb="5" eb="7">
      <t>イリョウ</t>
    </rPh>
    <rPh sb="7" eb="9">
      <t>ホケン</t>
    </rPh>
    <rPh sb="9" eb="11">
      <t>ジコ</t>
    </rPh>
    <rPh sb="11" eb="13">
      <t>フタン</t>
    </rPh>
    <rPh sb="13" eb="14">
      <t>ガク</t>
    </rPh>
    <phoneticPr fontId="2"/>
  </si>
  <si>
    <t>加算額</t>
    <rPh sb="0" eb="2">
      <t>カサン</t>
    </rPh>
    <rPh sb="2" eb="3">
      <t>ガク</t>
    </rPh>
    <phoneticPr fontId="2"/>
  </si>
  <si>
    <t>月額基本報酬</t>
    <rPh sb="0" eb="2">
      <t>ゲツガク</t>
    </rPh>
    <rPh sb="2" eb="4">
      <t>キホン</t>
    </rPh>
    <rPh sb="4" eb="6">
      <t>ホウシュウ</t>
    </rPh>
    <phoneticPr fontId="2"/>
  </si>
  <si>
    <t>月額加算</t>
    <rPh sb="0" eb="2">
      <t>ゲツガク</t>
    </rPh>
    <rPh sb="2" eb="4">
      <t>カサン</t>
    </rPh>
    <phoneticPr fontId="2"/>
  </si>
  <si>
    <t>※1か月を30日として計算しております</t>
  </si>
  <si>
    <t>月額自己負担</t>
    <rPh sb="0" eb="2">
      <t>ゲツガク</t>
    </rPh>
    <rPh sb="2" eb="4">
      <t>ジコ</t>
    </rPh>
    <rPh sb="4" eb="6">
      <t>フタン</t>
    </rPh>
    <phoneticPr fontId="2"/>
  </si>
  <si>
    <t>高額介護サービス負担上限</t>
    <rPh sb="0" eb="2">
      <t>コウガク</t>
    </rPh>
    <rPh sb="2" eb="4">
      <t>カイゴ</t>
    </rPh>
    <rPh sb="8" eb="10">
      <t>フタン</t>
    </rPh>
    <rPh sb="10" eb="12">
      <t>ジョウゲン</t>
    </rPh>
    <phoneticPr fontId="2"/>
  </si>
  <si>
    <t>第1段階</t>
    <rPh sb="0" eb="1">
      <t>ダイ</t>
    </rPh>
    <rPh sb="2" eb="4">
      <t>ダンカイ</t>
    </rPh>
    <phoneticPr fontId="2"/>
  </si>
  <si>
    <t>第2段階</t>
    <rPh sb="0" eb="1">
      <t>ダイ</t>
    </rPh>
    <rPh sb="2" eb="4">
      <t>ダンカイ</t>
    </rPh>
    <phoneticPr fontId="2"/>
  </si>
  <si>
    <t>第4段階</t>
    <rPh sb="0" eb="1">
      <t>ダイ</t>
    </rPh>
    <rPh sb="2" eb="4">
      <t>ダンカイ</t>
    </rPh>
    <phoneticPr fontId="2"/>
  </si>
  <si>
    <t>第4段階</t>
    <rPh sb="0" eb="1">
      <t>ダイ</t>
    </rPh>
    <rPh sb="2" eb="4">
      <t>ダンカイ</t>
    </rPh>
    <phoneticPr fontId="2"/>
  </si>
  <si>
    <t>第2段階</t>
    <phoneticPr fontId="2"/>
  </si>
  <si>
    <t>第1段階</t>
    <phoneticPr fontId="2"/>
  </si>
  <si>
    <t>食費負担</t>
    <rPh sb="0" eb="2">
      <t>ショクヒ</t>
    </rPh>
    <rPh sb="2" eb="4">
      <t>フタン</t>
    </rPh>
    <phoneticPr fontId="2"/>
  </si>
  <si>
    <t>居室料金負担</t>
    <rPh sb="0" eb="2">
      <t>キョシツ</t>
    </rPh>
    <rPh sb="2" eb="4">
      <t>リョウキン</t>
    </rPh>
    <rPh sb="4" eb="6">
      <t>フタン</t>
    </rPh>
    <phoneticPr fontId="2"/>
  </si>
  <si>
    <t>日常生活費</t>
    <rPh sb="0" eb="2">
      <t>ニチジョウ</t>
    </rPh>
    <rPh sb="2" eb="4">
      <t>セイカツ</t>
    </rPh>
    <rPh sb="4" eb="5">
      <t>ヒ</t>
    </rPh>
    <phoneticPr fontId="2"/>
  </si>
  <si>
    <t>施設の所在地</t>
    <rPh sb="0" eb="2">
      <t>シセツ</t>
    </rPh>
    <rPh sb="3" eb="6">
      <t>ショザイチ</t>
    </rPh>
    <phoneticPr fontId="2"/>
  </si>
  <si>
    <t>都道府県</t>
    <rPh sb="0" eb="4">
      <t>トドウフケン</t>
    </rPh>
    <phoneticPr fontId="2"/>
  </si>
  <si>
    <t>（減算）療養環境減算（Ⅰ）</t>
    <rPh sb="1" eb="3">
      <t>ゲンサン</t>
    </rPh>
    <rPh sb="4" eb="6">
      <t>リョウヨウ</t>
    </rPh>
    <rPh sb="6" eb="8">
      <t>カンキョウ</t>
    </rPh>
    <rPh sb="8" eb="10">
      <t>ゲンサン</t>
    </rPh>
    <phoneticPr fontId="2"/>
  </si>
  <si>
    <t>（減算）療養環境減算（Ⅱ）</t>
    <rPh sb="1" eb="3">
      <t>ゲンサン</t>
    </rPh>
    <rPh sb="4" eb="6">
      <t>リョウヨウ</t>
    </rPh>
    <rPh sb="6" eb="8">
      <t>カンキョウ</t>
    </rPh>
    <rPh sb="8" eb="10">
      <t>ゲンサン</t>
    </rPh>
    <phoneticPr fontId="2"/>
  </si>
  <si>
    <t>（減算）夜勤体制減算</t>
    <rPh sb="1" eb="3">
      <t>ゲンサン</t>
    </rPh>
    <phoneticPr fontId="2"/>
  </si>
  <si>
    <t>7級地</t>
    <phoneticPr fontId="2"/>
  </si>
  <si>
    <t>阪南市</t>
    <rPh sb="0" eb="2">
      <t>ハンナン</t>
    </rPh>
    <rPh sb="2" eb="3">
      <t>シ</t>
    </rPh>
    <phoneticPr fontId="2"/>
  </si>
  <si>
    <t>管理栄養士</t>
    <rPh sb="0" eb="2">
      <t>カンリ</t>
    </rPh>
    <rPh sb="2" eb="5">
      <t>エイヨウシ</t>
    </rPh>
    <phoneticPr fontId="2"/>
  </si>
  <si>
    <t>個室の場合</t>
    <rPh sb="0" eb="2">
      <t>コシツ</t>
    </rPh>
    <rPh sb="3" eb="5">
      <t>バアイ</t>
    </rPh>
    <phoneticPr fontId="2"/>
  </si>
  <si>
    <t>2人部屋の場合</t>
    <rPh sb="1" eb="2">
      <t>ニン</t>
    </rPh>
    <rPh sb="2" eb="4">
      <t>ベヤ</t>
    </rPh>
    <rPh sb="5" eb="7">
      <t>バアイ</t>
    </rPh>
    <phoneticPr fontId="2"/>
  </si>
  <si>
    <t>医療機関併設型介護医療院、併設型小規模介護医療院については人員配置が緩和されておりますのでご確認ください</t>
    <rPh sb="29" eb="31">
      <t>ジンイン</t>
    </rPh>
    <rPh sb="31" eb="33">
      <t>ハイチ</t>
    </rPh>
    <rPh sb="34" eb="36">
      <t>カンワ</t>
    </rPh>
    <rPh sb="46" eb="48">
      <t>カクニン</t>
    </rPh>
    <phoneticPr fontId="2"/>
  </si>
  <si>
    <t>なお、併設医療施設と兼務職員がいる場合、個別に入力を選択したうえで介護医療院分として計上する人件費を入力してください。
（例）：調理員を併設医療機関と合わせて3名配置している場合、人数欄に1.5（人）と入力</t>
    <rPh sb="3" eb="5">
      <t>ヘイセツ</t>
    </rPh>
    <rPh sb="5" eb="7">
      <t>イリョウ</t>
    </rPh>
    <rPh sb="7" eb="9">
      <t>シセツ</t>
    </rPh>
    <rPh sb="10" eb="12">
      <t>ケンム</t>
    </rPh>
    <rPh sb="12" eb="14">
      <t>ショクイン</t>
    </rPh>
    <rPh sb="17" eb="19">
      <t>バアイ</t>
    </rPh>
    <rPh sb="20" eb="22">
      <t>コベツ</t>
    </rPh>
    <rPh sb="23" eb="25">
      <t>ニュウリョク</t>
    </rPh>
    <rPh sb="26" eb="28">
      <t>センタク</t>
    </rPh>
    <rPh sb="33" eb="35">
      <t>カイゴ</t>
    </rPh>
    <rPh sb="35" eb="37">
      <t>イリョウ</t>
    </rPh>
    <rPh sb="37" eb="38">
      <t>イン</t>
    </rPh>
    <rPh sb="38" eb="39">
      <t>ブン</t>
    </rPh>
    <rPh sb="42" eb="44">
      <t>ケイジョウ</t>
    </rPh>
    <rPh sb="46" eb="49">
      <t>ジンケンヒ</t>
    </rPh>
    <rPh sb="50" eb="52">
      <t>ニュウリョク</t>
    </rPh>
    <rPh sb="61" eb="62">
      <t>レイ</t>
    </rPh>
    <rPh sb="64" eb="67">
      <t>チョウリイン</t>
    </rPh>
    <rPh sb="68" eb="70">
      <t>ヘイセツ</t>
    </rPh>
    <rPh sb="70" eb="72">
      <t>イリョウ</t>
    </rPh>
    <rPh sb="72" eb="74">
      <t>キカン</t>
    </rPh>
    <rPh sb="75" eb="76">
      <t>ア</t>
    </rPh>
    <rPh sb="80" eb="81">
      <t>メイ</t>
    </rPh>
    <rPh sb="81" eb="83">
      <t>ハイチ</t>
    </rPh>
    <rPh sb="87" eb="89">
      <t>バアイ</t>
    </rPh>
    <rPh sb="90" eb="92">
      <t>ニンズウ</t>
    </rPh>
    <rPh sb="92" eb="93">
      <t>ラン</t>
    </rPh>
    <rPh sb="98" eb="99">
      <t>ニン</t>
    </rPh>
    <rPh sb="101" eb="103">
      <t>ニュウリョク</t>
    </rPh>
    <phoneticPr fontId="2"/>
  </si>
  <si>
    <t>※利用者様の月額ご負担額(概算)の「今後」欄の「介護保険自己負担額」については、
　介護医療院サービス費が所得区分に応じた負担限度額を超える場合に、
　「高額介護サービス費制度」の適用を申請をした際の還付後の金額です。</t>
    <rPh sb="98" eb="99">
      <t>サイ</t>
    </rPh>
    <rPh sb="104" eb="106">
      <t>キンガク</t>
    </rPh>
    <phoneticPr fontId="2"/>
  </si>
  <si>
    <t>他病棟の加算</t>
    <rPh sb="0" eb="1">
      <t>ホカ</t>
    </rPh>
    <rPh sb="1" eb="3">
      <t>ビョウトウ</t>
    </rPh>
    <rPh sb="4" eb="6">
      <t>カサン</t>
    </rPh>
    <phoneticPr fontId="2"/>
  </si>
  <si>
    <t>未選択</t>
    <rPh sb="0" eb="1">
      <t>ミ</t>
    </rPh>
    <rPh sb="1" eb="3">
      <t>センタク</t>
    </rPh>
    <phoneticPr fontId="2"/>
  </si>
  <si>
    <t/>
  </si>
  <si>
    <t>療養棟</t>
    <rPh sb="0" eb="2">
      <t>リョウヨウ</t>
    </rPh>
    <rPh sb="2" eb="3">
      <t>トウ</t>
    </rPh>
    <phoneticPr fontId="2"/>
  </si>
  <si>
    <t>療養棟ごとに、想定利用率、要介護などの情報を入力してください。</t>
    <rPh sb="0" eb="3">
      <t>リョウヨウトウ</t>
    </rPh>
    <rPh sb="7" eb="9">
      <t>ソウテイ</t>
    </rPh>
    <rPh sb="9" eb="11">
      <t>リヨウ</t>
    </rPh>
    <rPh sb="11" eb="12">
      <t>リツ</t>
    </rPh>
    <rPh sb="13" eb="16">
      <t>ヨウカイゴ</t>
    </rPh>
    <rPh sb="19" eb="21">
      <t>ジョウホウ</t>
    </rPh>
    <rPh sb="22" eb="24">
      <t>ニュウリョク</t>
    </rPh>
    <phoneticPr fontId="2"/>
  </si>
  <si>
    <t xml:space="preserve"> （参考）利用者負担計算シートを作成する</t>
    <rPh sb="2" eb="4">
      <t>サンコウ</t>
    </rPh>
    <rPh sb="5" eb="8">
      <t>リヨウシャ</t>
    </rPh>
    <rPh sb="8" eb="10">
      <t>フタン</t>
    </rPh>
    <rPh sb="10" eb="12">
      <t>ケイサン</t>
    </rPh>
    <phoneticPr fontId="2"/>
  </si>
  <si>
    <t xml:space="preserve"> （参考）資金計画・借入金返済シミュレーションシートを作成する</t>
    <rPh sb="2" eb="4">
      <t>サンコウ</t>
    </rPh>
    <rPh sb="5" eb="7">
      <t>シキン</t>
    </rPh>
    <rPh sb="7" eb="9">
      <t>ケイカク</t>
    </rPh>
    <rPh sb="10" eb="12">
      <t>カリイレ</t>
    </rPh>
    <rPh sb="12" eb="13">
      <t>キン</t>
    </rPh>
    <rPh sb="13" eb="15">
      <t>ヘンサイ</t>
    </rPh>
    <rPh sb="27" eb="29">
      <t>サクセイ</t>
    </rPh>
    <phoneticPr fontId="2"/>
  </si>
  <si>
    <t>1人1日当たり</t>
    <rPh sb="1" eb="2">
      <t>ニン</t>
    </rPh>
    <rPh sb="3" eb="4">
      <t>ニチ</t>
    </rPh>
    <rPh sb="4" eb="5">
      <t>ア</t>
    </rPh>
    <phoneticPr fontId="2"/>
  </si>
  <si>
    <t>食 費</t>
    <rPh sb="0" eb="1">
      <t>ショク</t>
    </rPh>
    <rPh sb="2" eb="3">
      <t>ヒ</t>
    </rPh>
    <phoneticPr fontId="2"/>
  </si>
  <si>
    <t>（概算）食費・居住費・加算・特別診療費（千円）</t>
    <rPh sb="1" eb="3">
      <t>ガイサン</t>
    </rPh>
    <rPh sb="4" eb="6">
      <t>ショクヒ</t>
    </rPh>
    <rPh sb="7" eb="9">
      <t>キョジュウ</t>
    </rPh>
    <rPh sb="9" eb="10">
      <t>ヒ</t>
    </rPh>
    <rPh sb="11" eb="13">
      <t>カサン</t>
    </rPh>
    <rPh sb="14" eb="16">
      <t>トクベツ</t>
    </rPh>
    <rPh sb="16" eb="19">
      <t>シンリョウヒ</t>
    </rPh>
    <rPh sb="20" eb="22">
      <t>センエン</t>
    </rPh>
    <phoneticPr fontId="2"/>
  </si>
  <si>
    <t>支出計算（収入×人件費率）</t>
    <rPh sb="0" eb="2">
      <t>シシュツ</t>
    </rPh>
    <rPh sb="2" eb="4">
      <t>ケイサン</t>
    </rPh>
    <rPh sb="5" eb="7">
      <t>シュウニュウ</t>
    </rPh>
    <rPh sb="8" eb="11">
      <t>ジンケンヒ</t>
    </rPh>
    <rPh sb="11" eb="12">
      <t>リツ</t>
    </rPh>
    <phoneticPr fontId="2"/>
  </si>
  <si>
    <t>支出計算（収入×経費率）</t>
    <rPh sb="0" eb="2">
      <t>シシュツ</t>
    </rPh>
    <rPh sb="2" eb="4">
      <t>ケイサン</t>
    </rPh>
    <rPh sb="5" eb="7">
      <t>シュウニュウ</t>
    </rPh>
    <rPh sb="8" eb="10">
      <t>ケイヒ</t>
    </rPh>
    <rPh sb="10" eb="11">
      <t>リツ</t>
    </rPh>
    <phoneticPr fontId="2"/>
  </si>
  <si>
    <t>夜間勤務等看護（Ⅰ）</t>
    <rPh sb="0" eb="2">
      <t>ヤカン</t>
    </rPh>
    <rPh sb="2" eb="4">
      <t>キンム</t>
    </rPh>
    <rPh sb="4" eb="5">
      <t>トウ</t>
    </rPh>
    <rPh sb="5" eb="7">
      <t>カンゴ</t>
    </rPh>
    <phoneticPr fontId="22"/>
  </si>
  <si>
    <t>夜間勤務等看護（Ⅱ）</t>
    <phoneticPr fontId="22"/>
  </si>
  <si>
    <t>夜間勤務等看護（Ⅲ）</t>
    <phoneticPr fontId="22"/>
  </si>
  <si>
    <t>夜間勤務等看護（Ⅳ）</t>
    <phoneticPr fontId="22"/>
  </si>
  <si>
    <t>介護職員等特定処遇改善加算（Ⅰ）</t>
    <rPh sb="4" eb="5">
      <t>トウ</t>
    </rPh>
    <rPh sb="5" eb="7">
      <t>トクテイ</t>
    </rPh>
    <phoneticPr fontId="2"/>
  </si>
  <si>
    <t>介護職員等特定処遇改善加算（Ⅱ）</t>
    <rPh sb="5" eb="7">
      <t>トクテイ</t>
    </rPh>
    <phoneticPr fontId="2"/>
  </si>
  <si>
    <t>痒痛緩和（薬剤管理指導の加算）</t>
    <rPh sb="0" eb="1">
      <t>カユ</t>
    </rPh>
    <rPh sb="1" eb="2">
      <t>イタ</t>
    </rPh>
    <rPh sb="2" eb="4">
      <t>カンワ</t>
    </rPh>
    <rPh sb="12" eb="14">
      <t>カサン</t>
    </rPh>
    <phoneticPr fontId="2"/>
  </si>
  <si>
    <t>1床当たり1日平均単価</t>
    <rPh sb="1" eb="2">
      <t>ユカ</t>
    </rPh>
    <rPh sb="2" eb="3">
      <t>ア</t>
    </rPh>
    <rPh sb="6" eb="7">
      <t>ニチ</t>
    </rPh>
    <rPh sb="7" eb="9">
      <t>ヘイキン</t>
    </rPh>
    <phoneticPr fontId="2"/>
  </si>
  <si>
    <t>1床当たり1日平均単価</t>
    <phoneticPr fontId="2"/>
  </si>
  <si>
    <t>リハ計画策定（理学療法（Ⅰ）の加算）</t>
    <rPh sb="2" eb="4">
      <t>ケイカク</t>
    </rPh>
    <rPh sb="4" eb="6">
      <t>サクテイ</t>
    </rPh>
    <rPh sb="7" eb="9">
      <t>リガク</t>
    </rPh>
    <rPh sb="9" eb="11">
      <t>リョウホウ</t>
    </rPh>
    <rPh sb="15" eb="17">
      <t>カサン</t>
    </rPh>
    <phoneticPr fontId="2"/>
  </si>
  <si>
    <t>入所生活リハ管理指導（理学療法（Ⅰ）の加算）</t>
    <phoneticPr fontId="2"/>
  </si>
  <si>
    <t>専従職員２名配置（理学療法（Ⅰ）の加算）</t>
    <phoneticPr fontId="2"/>
  </si>
  <si>
    <t>理学療法（Ⅱ）</t>
    <phoneticPr fontId="2"/>
  </si>
  <si>
    <t>作業療法</t>
    <phoneticPr fontId="2"/>
  </si>
  <si>
    <t>リハ計画策定（作業療法の加算）</t>
    <rPh sb="2" eb="4">
      <t>ケイカク</t>
    </rPh>
    <rPh sb="4" eb="6">
      <t>サクテイ</t>
    </rPh>
    <rPh sb="7" eb="9">
      <t>サギョウ</t>
    </rPh>
    <rPh sb="9" eb="11">
      <t>リョウホウ</t>
    </rPh>
    <rPh sb="12" eb="14">
      <t>カサン</t>
    </rPh>
    <phoneticPr fontId="2"/>
  </si>
  <si>
    <t>入所生活リハ管理指導（作業療法の加算）</t>
    <phoneticPr fontId="2"/>
  </si>
  <si>
    <t>専従職員２名配置（言語聴覚療法の加算）</t>
    <phoneticPr fontId="2"/>
  </si>
  <si>
    <r>
      <t>人員配置基準については「介護医療院開設に向けたハンドブック（令和2年1月版）」の</t>
    </r>
    <r>
      <rPr>
        <b/>
        <sz val="12"/>
        <rFont val="メイリオ"/>
        <family val="3"/>
        <charset val="128"/>
      </rPr>
      <t>P.31以降</t>
    </r>
    <r>
      <rPr>
        <sz val="12"/>
        <rFont val="メイリオ"/>
        <family val="3"/>
        <charset val="128"/>
      </rPr>
      <t>に詳細が掲載されています</t>
    </r>
    <rPh sb="0" eb="2">
      <t>ジンイン</t>
    </rPh>
    <rPh sb="2" eb="4">
      <t>ハイチ</t>
    </rPh>
    <rPh sb="4" eb="6">
      <t>キジュン</t>
    </rPh>
    <rPh sb="44" eb="46">
      <t>イコウ</t>
    </rPh>
    <rPh sb="47" eb="49">
      <t>ショウサイ</t>
    </rPh>
    <rPh sb="50" eb="52">
      <t>ケイサイ</t>
    </rPh>
    <phoneticPr fontId="2"/>
  </si>
  <si>
    <t>参照用列</t>
    <rPh sb="0" eb="3">
      <t>サンショウヨウ</t>
    </rPh>
    <rPh sb="3" eb="4">
      <t>レツ</t>
    </rPh>
    <phoneticPr fontId="2"/>
  </si>
  <si>
    <t>加算大項目
（診療費大項目）</t>
    <rPh sb="0" eb="2">
      <t>カサン</t>
    </rPh>
    <rPh sb="2" eb="3">
      <t>ダイ</t>
    </rPh>
    <rPh sb="3" eb="5">
      <t>コウモク</t>
    </rPh>
    <phoneticPr fontId="2"/>
  </si>
  <si>
    <t>加算小項目
（診療費小項目）</t>
    <rPh sb="0" eb="2">
      <t>カサン</t>
    </rPh>
    <rPh sb="2" eb="3">
      <t>ショウ</t>
    </rPh>
    <rPh sb="3" eb="5">
      <t>コウモク</t>
    </rPh>
    <phoneticPr fontId="2"/>
  </si>
  <si>
    <t>報酬年額
（千円）</t>
    <rPh sb="0" eb="2">
      <t>ホウシュウ</t>
    </rPh>
    <rPh sb="2" eb="3">
      <t>ネン</t>
    </rPh>
    <rPh sb="3" eb="4">
      <t>ガク</t>
    </rPh>
    <rPh sb="6" eb="8">
      <t>センエン</t>
    </rPh>
    <phoneticPr fontId="2"/>
  </si>
  <si>
    <t>区市町村</t>
    <phoneticPr fontId="2"/>
  </si>
  <si>
    <t>本シートは「入力シート」の療養棟データを引用して作成いたしますので
先に「入力シート」をご作成いただくようお願いいたします</t>
    <rPh sb="0" eb="1">
      <t>ホン</t>
    </rPh>
    <rPh sb="6" eb="8">
      <t>ニュウリョク</t>
    </rPh>
    <rPh sb="13" eb="16">
      <t>リョウヨウトウ</t>
    </rPh>
    <rPh sb="20" eb="22">
      <t>インヨウ</t>
    </rPh>
    <rPh sb="24" eb="26">
      <t>サクセイ</t>
    </rPh>
    <rPh sb="34" eb="35">
      <t>サキ</t>
    </rPh>
    <rPh sb="37" eb="39">
      <t>ニュウリョク</t>
    </rPh>
    <rPh sb="45" eb="47">
      <t>サクセイ</t>
    </rPh>
    <rPh sb="54" eb="55">
      <t>ネガ</t>
    </rPh>
    <phoneticPr fontId="2"/>
  </si>
  <si>
    <t>利用者負担額計算シートを利用されるのは</t>
    <rPh sb="0" eb="3">
      <t>リヨウシャ</t>
    </rPh>
    <rPh sb="3" eb="5">
      <t>フタン</t>
    </rPh>
    <rPh sb="5" eb="6">
      <t>ガク</t>
    </rPh>
    <rPh sb="6" eb="8">
      <t>ケイサン</t>
    </rPh>
    <rPh sb="12" eb="14">
      <t>リヨウ</t>
    </rPh>
    <phoneticPr fontId="2"/>
  </si>
  <si>
    <t>（←選択式）の利用者様です</t>
    <rPh sb="2" eb="4">
      <t>センタク</t>
    </rPh>
    <rPh sb="4" eb="5">
      <t>シキ</t>
    </rPh>
    <rPh sb="7" eb="11">
      <t>リヨウシャサマ</t>
    </rPh>
    <phoneticPr fontId="2"/>
  </si>
  <si>
    <t>A病棟</t>
    <rPh sb="1" eb="3">
      <t>ビョウトウ</t>
    </rPh>
    <phoneticPr fontId="2"/>
  </si>
  <si>
    <t>B病棟</t>
    <rPh sb="1" eb="3">
      <t>ビョウトウ</t>
    </rPh>
    <phoneticPr fontId="2"/>
  </si>
  <si>
    <t>C病棟</t>
    <rPh sb="1" eb="3">
      <t>ビョウトウ</t>
    </rPh>
    <phoneticPr fontId="2"/>
  </si>
  <si>
    <t>D病棟</t>
    <rPh sb="1" eb="3">
      <t>ビョウトウ</t>
    </rPh>
    <phoneticPr fontId="2"/>
  </si>
  <si>
    <t>期末残高</t>
    <rPh sb="0" eb="2">
      <t>キマツ</t>
    </rPh>
    <rPh sb="2" eb="4">
      <t>ザンダカ</t>
    </rPh>
    <phoneticPr fontId="2"/>
  </si>
  <si>
    <t>期首残高</t>
    <rPh sb="0" eb="2">
      <t>キシュ</t>
    </rPh>
    <phoneticPr fontId="2"/>
  </si>
  <si>
    <t>単位：千円</t>
    <rPh sb="0" eb="2">
      <t>タンイ</t>
    </rPh>
    <rPh sb="3" eb="4">
      <t>セン</t>
    </rPh>
    <rPh sb="4" eb="5">
      <t>エン</t>
    </rPh>
    <phoneticPr fontId="2"/>
  </si>
  <si>
    <t>年（1年～30年）</t>
    <rPh sb="0" eb="1">
      <t>ネン</t>
    </rPh>
    <rPh sb="3" eb="4">
      <t>ネン</t>
    </rPh>
    <rPh sb="7" eb="8">
      <t>ネン</t>
    </rPh>
    <phoneticPr fontId="12"/>
  </si>
  <si>
    <t>経口維持加算（Ⅰ）</t>
    <rPh sb="0" eb="2">
      <t>ケイコウ</t>
    </rPh>
    <rPh sb="2" eb="4">
      <t>イジ</t>
    </rPh>
    <rPh sb="4" eb="6">
      <t>カサン</t>
    </rPh>
    <phoneticPr fontId="2"/>
  </si>
  <si>
    <t>経口維持加算（Ⅱ）</t>
    <rPh sb="0" eb="2">
      <t>ケイコウ</t>
    </rPh>
    <rPh sb="2" eb="4">
      <t>イジ</t>
    </rPh>
    <rPh sb="4" eb="6">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</si>
  <si>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</si>
  <si>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4" eb="5">
      <t>トウ</t>
    </rPh>
    <phoneticPr fontId="2"/>
  </si>
  <si>
    <t>年間延べ人数－外泊時費用等加算人数</t>
    <rPh sb="0" eb="2">
      <t>ネンカン</t>
    </rPh>
    <rPh sb="2" eb="3">
      <t>ノ</t>
    </rPh>
    <rPh sb="4" eb="6">
      <t>ニンズウ</t>
    </rPh>
    <rPh sb="7" eb="9">
      <t>ガイハク</t>
    </rPh>
    <rPh sb="9" eb="10">
      <t>ジ</t>
    </rPh>
    <rPh sb="10" eb="12">
      <t>ヒヨウ</t>
    </rPh>
    <rPh sb="12" eb="13">
      <t>トウ</t>
    </rPh>
    <rPh sb="13" eb="15">
      <t>カサン</t>
    </rPh>
    <rPh sb="15" eb="17">
      <t>ニンズウ</t>
    </rPh>
    <phoneticPr fontId="2"/>
  </si>
  <si>
    <t>基本報酬額</t>
    <rPh sb="0" eb="2">
      <t>キホン</t>
    </rPh>
    <rPh sb="2" eb="4">
      <t>ホウシュウ</t>
    </rPh>
    <rPh sb="4" eb="5">
      <t>ガク</t>
    </rPh>
    <phoneticPr fontId="2"/>
  </si>
  <si>
    <t>外泊時等の加算を加味した報酬単価合計（概算）</t>
    <rPh sb="0" eb="2">
      <t>ガイハク</t>
    </rPh>
    <rPh sb="2" eb="3">
      <t>ジ</t>
    </rPh>
    <rPh sb="3" eb="4">
      <t>トウ</t>
    </rPh>
    <rPh sb="5" eb="7">
      <t>カサン</t>
    </rPh>
    <rPh sb="8" eb="10">
      <t>カミ</t>
    </rPh>
    <rPh sb="12" eb="14">
      <t>ホウシュウ</t>
    </rPh>
    <rPh sb="14" eb="16">
      <t>タンカ</t>
    </rPh>
    <rPh sb="16" eb="18">
      <t>ゴウケイ</t>
    </rPh>
    <rPh sb="19" eb="21">
      <t>ガイサン</t>
    </rPh>
    <phoneticPr fontId="2"/>
  </si>
  <si>
    <t>※1年を365日として計算</t>
    <rPh sb="2" eb="3">
      <t>ネン</t>
    </rPh>
    <rPh sb="7" eb="8">
      <t>ニチ</t>
    </rPh>
    <rPh sb="11" eb="13">
      <t>ケイサン</t>
    </rPh>
    <phoneticPr fontId="2"/>
  </si>
  <si>
    <t>加算報酬年額（千円）</t>
    <rPh sb="0" eb="2">
      <t>カサン</t>
    </rPh>
    <rPh sb="2" eb="4">
      <t>ホウシュウ</t>
    </rPh>
    <rPh sb="4" eb="5">
      <t>ネン</t>
    </rPh>
    <rPh sb="5" eb="6">
      <t>ガク</t>
    </rPh>
    <rPh sb="7" eb="9">
      <t>センエン</t>
    </rPh>
    <phoneticPr fontId="2"/>
  </si>
  <si>
    <t>特別診療費年額（千円）</t>
    <rPh sb="0" eb="2">
      <t>トクベツ</t>
    </rPh>
    <rPh sb="2" eb="5">
      <t>シンリョウヒ</t>
    </rPh>
    <rPh sb="5" eb="7">
      <t>ネンガク</t>
    </rPh>
    <rPh sb="8" eb="10">
      <t>センエン</t>
    </rPh>
    <phoneticPr fontId="2"/>
  </si>
  <si>
    <t>その他①</t>
    <rPh sb="2" eb="3">
      <t>タ</t>
    </rPh>
    <phoneticPr fontId="2"/>
  </si>
  <si>
    <t>バージョン</t>
    <phoneticPr fontId="2"/>
  </si>
  <si>
    <t>概要</t>
    <rPh sb="0" eb="2">
      <t>ガイヨウ</t>
    </rPh>
    <phoneticPr fontId="2"/>
  </si>
  <si>
    <t>日付</t>
    <rPh sb="0" eb="2">
      <t>ヒヅケ</t>
    </rPh>
    <phoneticPr fontId="2"/>
  </si>
  <si>
    <t>リリース</t>
    <phoneticPr fontId="2"/>
  </si>
  <si>
    <t>基本報酬、療養食加算、利用者負担計算シートの介護保険・医療保険自己負担額の計算式を修正</t>
    <rPh sb="11" eb="14">
      <t>リヨウシャ</t>
    </rPh>
    <rPh sb="14" eb="16">
      <t>フタン</t>
    </rPh>
    <rPh sb="16" eb="18">
      <t>ケイサン</t>
    </rPh>
    <rPh sb="22" eb="24">
      <t>カイゴ</t>
    </rPh>
    <rPh sb="24" eb="26">
      <t>ホケン</t>
    </rPh>
    <rPh sb="27" eb="29">
      <t>イリョウ</t>
    </rPh>
    <rPh sb="29" eb="31">
      <t>ホケン</t>
    </rPh>
    <rPh sb="31" eb="33">
      <t>ジコ</t>
    </rPh>
    <rPh sb="33" eb="35">
      <t>フタン</t>
    </rPh>
    <rPh sb="35" eb="36">
      <t>ガク</t>
    </rPh>
    <phoneticPr fontId="2"/>
  </si>
  <si>
    <t>入力シートで居住費を個別に入力できるように設定</t>
    <rPh sb="0" eb="2">
      <t>ニュウリョク</t>
    </rPh>
    <rPh sb="6" eb="8">
      <t>キョジュウ</t>
    </rPh>
    <rPh sb="8" eb="9">
      <t>ヒ</t>
    </rPh>
    <rPh sb="10" eb="12">
      <t>コベツ</t>
    </rPh>
    <rPh sb="13" eb="15">
      <t>ニュウリョク</t>
    </rPh>
    <rPh sb="21" eb="23">
      <t>セッテイ</t>
    </rPh>
    <phoneticPr fontId="2"/>
  </si>
  <si>
    <t>2020/08/13(木)</t>
    <rPh sb="11" eb="12">
      <t>モク</t>
    </rPh>
    <phoneticPr fontId="2"/>
  </si>
  <si>
    <t>年（０年～3年）</t>
    <rPh sb="0" eb="1">
      <t>ネン</t>
    </rPh>
    <phoneticPr fontId="12"/>
  </si>
  <si>
    <t>2020/10/30(金)</t>
    <rPh sb="11" eb="12">
      <t>キン</t>
    </rPh>
    <phoneticPr fontId="2"/>
  </si>
  <si>
    <t>口腔衛生管理体制加算、口腔衛生管理加算の計算式を修正</t>
    <rPh sb="20" eb="23">
      <t>ケイサンシキ</t>
    </rPh>
    <rPh sb="24" eb="26">
      <t>シュウセイ</t>
    </rPh>
    <phoneticPr fontId="2"/>
  </si>
  <si>
    <t>東京都</t>
    <phoneticPr fontId="2"/>
  </si>
  <si>
    <t>東村山市</t>
    <phoneticPr fontId="2"/>
  </si>
  <si>
    <t>東久留米市</t>
    <phoneticPr fontId="2"/>
  </si>
  <si>
    <t>4級地</t>
    <phoneticPr fontId="2"/>
  </si>
  <si>
    <t>5級地</t>
    <phoneticPr fontId="2"/>
  </si>
  <si>
    <t>宮城県</t>
    <phoneticPr fontId="2"/>
  </si>
  <si>
    <t>多賀城市</t>
    <rPh sb="0" eb="4">
      <t>タガジョウシ</t>
    </rPh>
    <phoneticPr fontId="2"/>
  </si>
  <si>
    <t>6級地</t>
    <phoneticPr fontId="2"/>
  </si>
  <si>
    <t>富里市</t>
    <rPh sb="0" eb="3">
      <t>トミサトシ</t>
    </rPh>
    <phoneticPr fontId="2"/>
  </si>
  <si>
    <t>神奈川県</t>
    <phoneticPr fontId="2"/>
  </si>
  <si>
    <t>山北町</t>
    <rPh sb="0" eb="3">
      <t>ヤマキタマチ</t>
    </rPh>
    <phoneticPr fontId="2"/>
  </si>
  <si>
    <t>高島市</t>
    <rPh sb="0" eb="3">
      <t>タカシマシ</t>
    </rPh>
    <phoneticPr fontId="2"/>
  </si>
  <si>
    <t>日野町</t>
    <rPh sb="0" eb="3">
      <t>ヒノマチ</t>
    </rPh>
    <phoneticPr fontId="2"/>
  </si>
  <si>
    <t>長期療養生活移行加算</t>
    <rPh sb="0" eb="2">
      <t>チョウキ</t>
    </rPh>
    <rPh sb="2" eb="4">
      <t>リョウヨウ</t>
    </rPh>
    <rPh sb="4" eb="6">
      <t>セイカツ</t>
    </rPh>
    <rPh sb="6" eb="8">
      <t>イコウ</t>
    </rPh>
    <rPh sb="8" eb="10">
      <t>カサン</t>
    </rPh>
    <phoneticPr fontId="2"/>
  </si>
  <si>
    <t>（加算）服薬情報等提出</t>
    <rPh sb="1" eb="3">
      <t>カサン</t>
    </rPh>
    <rPh sb="9" eb="11">
      <t>テイシュツ</t>
    </rPh>
    <phoneticPr fontId="2"/>
  </si>
  <si>
    <t>理学療法、作業療法又は言語聴覚療法に係る加算</t>
    <phoneticPr fontId="2"/>
  </si>
  <si>
    <t>口腔衛生管理加算</t>
    <phoneticPr fontId="2"/>
  </si>
  <si>
    <t>口腔衛生管理加算（Ⅰ）</t>
    <phoneticPr fontId="2"/>
  </si>
  <si>
    <t>口腔衛生管理加算（Ⅱ）</t>
    <phoneticPr fontId="2"/>
  </si>
  <si>
    <t>栄養マネジメント強化加算</t>
    <phoneticPr fontId="2"/>
  </si>
  <si>
    <t xml:space="preserve">自立支援促進加算 </t>
    <phoneticPr fontId="2"/>
  </si>
  <si>
    <t>科学的介護推進体制加算</t>
    <phoneticPr fontId="2"/>
  </si>
  <si>
    <t>科学的介護推進体制加算（Ⅰ）</t>
    <phoneticPr fontId="2"/>
  </si>
  <si>
    <t>科学的介護推進体制加算（Ⅱ）</t>
    <phoneticPr fontId="2"/>
  </si>
  <si>
    <t>　</t>
  </si>
  <si>
    <t>安全対策体制加算</t>
    <phoneticPr fontId="2"/>
  </si>
  <si>
    <t>褥瘡対策指導管理（Ⅰ）</t>
    <phoneticPr fontId="2"/>
  </si>
  <si>
    <t>褥瘡対策指導管理（Ⅱ）</t>
    <phoneticPr fontId="2"/>
  </si>
  <si>
    <t>排せつ支援加算（Ⅰ）</t>
    <phoneticPr fontId="2"/>
  </si>
  <si>
    <t>排せつ支援加算（Ⅱ）</t>
    <phoneticPr fontId="2"/>
  </si>
  <si>
    <t>排せつ支援加算（Ⅲ）</t>
    <phoneticPr fontId="2"/>
  </si>
  <si>
    <t>サービス提供体制強化加算（Ⅰ）</t>
    <phoneticPr fontId="2"/>
  </si>
  <si>
    <t>（減算）安全管理体制未実施減算</t>
    <rPh sb="1" eb="3">
      <t>ゲンサン</t>
    </rPh>
    <rPh sb="4" eb="6">
      <t>アンゼン</t>
    </rPh>
    <rPh sb="6" eb="8">
      <t>カンリ</t>
    </rPh>
    <rPh sb="8" eb="10">
      <t>タイセイ</t>
    </rPh>
    <rPh sb="10" eb="13">
      <t>ミジッシ</t>
    </rPh>
    <rPh sb="13" eb="15">
      <t>ゲンサン</t>
    </rPh>
    <phoneticPr fontId="2"/>
  </si>
  <si>
    <t>回</t>
    <rPh sb="0" eb="1">
      <t>カイ</t>
    </rPh>
    <phoneticPr fontId="2"/>
  </si>
  <si>
    <t>年収約383万円～約770万円未満</t>
    <rPh sb="0" eb="2">
      <t>ネンシュウ</t>
    </rPh>
    <phoneticPr fontId="2"/>
  </si>
  <si>
    <t>年収約770万円～約1,160万円未満</t>
    <phoneticPr fontId="2"/>
  </si>
  <si>
    <t>年収約1,160万円以上</t>
    <phoneticPr fontId="2"/>
  </si>
  <si>
    <t>　介護医療院への移行にあたり、利用者様の負担は次のとおり変わる見込みです。</t>
    <rPh sb="1" eb="3">
      <t>カイゴ</t>
    </rPh>
    <rPh sb="3" eb="5">
      <t>イリョウ</t>
    </rPh>
    <rPh sb="5" eb="6">
      <t>イン</t>
    </rPh>
    <rPh sb="8" eb="10">
      <t>イコウ</t>
    </rPh>
    <rPh sb="15" eb="18">
      <t>リヨウシャ</t>
    </rPh>
    <rPh sb="18" eb="19">
      <t>サマ</t>
    </rPh>
    <rPh sb="20" eb="22">
      <t>フタン</t>
    </rPh>
    <rPh sb="23" eb="24">
      <t>ツギ</t>
    </rPh>
    <rPh sb="28" eb="29">
      <t>カ</t>
    </rPh>
    <rPh sb="31" eb="33">
      <t>ミコ</t>
    </rPh>
    <phoneticPr fontId="2"/>
  </si>
  <si>
    <t>第3段階(1)</t>
    <phoneticPr fontId="2"/>
  </si>
  <si>
    <t>第3段階(2)</t>
    <phoneticPr fontId="2"/>
  </si>
  <si>
    <t>ー</t>
    <phoneticPr fontId="2"/>
  </si>
  <si>
    <t>介護事業経営実態調査結果の利用有無→</t>
    <rPh sb="0" eb="2">
      <t>カイゴ</t>
    </rPh>
    <rPh sb="2" eb="4">
      <t>ジギョウ</t>
    </rPh>
    <rPh sb="4" eb="6">
      <t>ケイエイ</t>
    </rPh>
    <rPh sb="6" eb="8">
      <t>ジッタイ</t>
    </rPh>
    <rPh sb="8" eb="10">
      <t>チョウサ</t>
    </rPh>
    <rPh sb="10" eb="12">
      <t>ケッカ</t>
    </rPh>
    <rPh sb="13" eb="15">
      <t>リヨウ</t>
    </rPh>
    <rPh sb="15" eb="17">
      <t>ウム</t>
    </rPh>
    <phoneticPr fontId="2"/>
  </si>
  <si>
    <t>人件費と同様に介護事業経営概況調査結果の平均値による推計値の算出と、個別に項目の入力による算出のどちらかを選択ください。
なお、併設医療施設と共同購入する備品や共通して発生する費用（水光熱費等）については介護医療院分として計上する経費を入力してください。（例）：水光熱費を折半して計上する場合、数量欄に0.5と入力する。
また、経費に「減価償却費」は含みません。</t>
    <rPh sb="0" eb="3">
      <t>ジンケンヒ</t>
    </rPh>
    <rPh sb="4" eb="6">
      <t>ドウヨウ</t>
    </rPh>
    <rPh sb="40" eb="42">
      <t>ニュウリョク</t>
    </rPh>
    <rPh sb="45" eb="47">
      <t>サンシュツ</t>
    </rPh>
    <rPh sb="53" eb="55">
      <t>センタク</t>
    </rPh>
    <rPh sb="71" eb="73">
      <t>キョウドウ</t>
    </rPh>
    <rPh sb="73" eb="75">
      <t>コウニュウ</t>
    </rPh>
    <rPh sb="77" eb="79">
      <t>ビヒン</t>
    </rPh>
    <rPh sb="80" eb="82">
      <t>キョウツウ</t>
    </rPh>
    <rPh sb="84" eb="86">
      <t>ハッセイ</t>
    </rPh>
    <rPh sb="88" eb="90">
      <t>ヒヨウ</t>
    </rPh>
    <rPh sb="91" eb="95">
      <t>スイコウネツヒ</t>
    </rPh>
    <rPh sb="95" eb="96">
      <t>トウ</t>
    </rPh>
    <rPh sb="115" eb="117">
      <t>ケイヒ</t>
    </rPh>
    <rPh sb="131" eb="135">
      <t>スイコウネツヒ</t>
    </rPh>
    <rPh sb="136" eb="138">
      <t>セッパン</t>
    </rPh>
    <rPh sb="140" eb="142">
      <t>ケイジョウ</t>
    </rPh>
    <rPh sb="144" eb="146">
      <t>バアイ</t>
    </rPh>
    <rPh sb="147" eb="149">
      <t>スウリョウ</t>
    </rPh>
    <rPh sb="149" eb="150">
      <t>ラン</t>
    </rPh>
    <rPh sb="155" eb="157">
      <t>ニュウリョク</t>
    </rPh>
    <rPh sb="164" eb="166">
      <t>ケイヒ</t>
    </rPh>
    <rPh sb="168" eb="170">
      <t>ゲンカ</t>
    </rPh>
    <rPh sb="170" eb="172">
      <t>ショウキャク</t>
    </rPh>
    <rPh sb="172" eb="173">
      <t>ヒ</t>
    </rPh>
    <rPh sb="175" eb="176">
      <t>フク</t>
    </rPh>
    <phoneticPr fontId="2"/>
  </si>
  <si>
    <t>令和3年度介護報酬改定等を反映</t>
    <rPh sb="0" eb="2">
      <t>レイワ</t>
    </rPh>
    <rPh sb="3" eb="5">
      <t>ネンド</t>
    </rPh>
    <rPh sb="5" eb="7">
      <t>カイゴ</t>
    </rPh>
    <rPh sb="7" eb="9">
      <t>ホウシュウ</t>
    </rPh>
    <rPh sb="9" eb="11">
      <t>カイテイ</t>
    </rPh>
    <rPh sb="11" eb="12">
      <t>トウ</t>
    </rPh>
    <rPh sb="13" eb="15">
      <t>ハンエイ</t>
    </rPh>
    <phoneticPr fontId="2"/>
  </si>
  <si>
    <t>栄養マネジメント強化加算</t>
    <phoneticPr fontId="2"/>
  </si>
  <si>
    <t>口腔衛生管理加算（Ⅰ）</t>
    <phoneticPr fontId="2"/>
  </si>
  <si>
    <t>経口維持加算（Ⅱ）</t>
    <phoneticPr fontId="2"/>
  </si>
  <si>
    <t>口腔衛生管理加算（Ⅱ）</t>
    <phoneticPr fontId="2"/>
  </si>
  <si>
    <t>認知症専門ケア加算（Ⅰ）</t>
    <phoneticPr fontId="2"/>
  </si>
  <si>
    <t>排せつ支援加算（Ⅰ）</t>
    <rPh sb="0" eb="1">
      <t>ハイ</t>
    </rPh>
    <rPh sb="3" eb="5">
      <t>シエン</t>
    </rPh>
    <rPh sb="5" eb="7">
      <t>カサン</t>
    </rPh>
    <phoneticPr fontId="22"/>
  </si>
  <si>
    <t>排せつ支援加算（Ⅱ）</t>
    <rPh sb="0" eb="1">
      <t>ハイ</t>
    </rPh>
    <rPh sb="3" eb="5">
      <t>シエン</t>
    </rPh>
    <rPh sb="5" eb="7">
      <t>カサン</t>
    </rPh>
    <phoneticPr fontId="22"/>
  </si>
  <si>
    <t>排せつ支援加算（Ⅲ）</t>
    <rPh sb="0" eb="1">
      <t>ハイ</t>
    </rPh>
    <rPh sb="3" eb="5">
      <t>シエン</t>
    </rPh>
    <rPh sb="5" eb="7">
      <t>カサン</t>
    </rPh>
    <phoneticPr fontId="22"/>
  </si>
  <si>
    <t xml:space="preserve">自立支援促進加算 </t>
    <rPh sb="0" eb="2">
      <t>ジリツ</t>
    </rPh>
    <rPh sb="2" eb="4">
      <t>シエン</t>
    </rPh>
    <rPh sb="4" eb="6">
      <t>ソクシン</t>
    </rPh>
    <rPh sb="6" eb="8">
      <t>カサン</t>
    </rPh>
    <phoneticPr fontId="22"/>
  </si>
  <si>
    <t>科学的介護推進体制加算（Ⅰ）</t>
    <rPh sb="0" eb="3">
      <t>カガクテキ</t>
    </rPh>
    <rPh sb="3" eb="5">
      <t>カイゴ</t>
    </rPh>
    <rPh sb="5" eb="7">
      <t>スイシン</t>
    </rPh>
    <rPh sb="7" eb="9">
      <t>タイセイ</t>
    </rPh>
    <rPh sb="9" eb="11">
      <t>カサン</t>
    </rPh>
    <phoneticPr fontId="22"/>
  </si>
  <si>
    <t>科学的介護推進体制加算（Ⅱ）</t>
    <rPh sb="0" eb="3">
      <t>カガクテキ</t>
    </rPh>
    <rPh sb="3" eb="5">
      <t>カイゴ</t>
    </rPh>
    <rPh sb="5" eb="7">
      <t>スイシン</t>
    </rPh>
    <rPh sb="7" eb="9">
      <t>タイセイ</t>
    </rPh>
    <rPh sb="9" eb="11">
      <t>カサン</t>
    </rPh>
    <phoneticPr fontId="22"/>
  </si>
  <si>
    <t>長期療養生活移行加算</t>
    <phoneticPr fontId="2"/>
  </si>
  <si>
    <t>（減算）安全管理体制未実施減算</t>
    <rPh sb="1" eb="3">
      <t>ゲンサン</t>
    </rPh>
    <phoneticPr fontId="2"/>
  </si>
  <si>
    <t>褥瘡対策指導管理（Ⅰ）</t>
    <rPh sb="0" eb="2">
      <t>ジョクソウ</t>
    </rPh>
    <rPh sb="2" eb="4">
      <t>タイサク</t>
    </rPh>
    <rPh sb="4" eb="6">
      <t>シドウ</t>
    </rPh>
    <rPh sb="6" eb="8">
      <t>カンリ</t>
    </rPh>
    <phoneticPr fontId="2"/>
  </si>
  <si>
    <t>褥瘡対策指導管理（Ⅱ）</t>
    <rPh sb="0" eb="2">
      <t>ジョクソウ</t>
    </rPh>
    <rPh sb="2" eb="4">
      <t>タイサク</t>
    </rPh>
    <rPh sb="4" eb="6">
      <t>シドウ</t>
    </rPh>
    <rPh sb="6" eb="8">
      <t>カンリ</t>
    </rPh>
    <phoneticPr fontId="2"/>
  </si>
  <si>
    <t>服薬情報等提出（薬剤管理指導の加算）</t>
    <rPh sb="0" eb="2">
      <t>フクヤク</t>
    </rPh>
    <rPh sb="2" eb="5">
      <t>ジョウホウナド</t>
    </rPh>
    <rPh sb="5" eb="7">
      <t>テイシュツ</t>
    </rPh>
    <rPh sb="15" eb="17">
      <t>カサン</t>
    </rPh>
    <phoneticPr fontId="2"/>
  </si>
  <si>
    <t>理学療法、作業療法又は言語聴覚療法に係る加算</t>
    <rPh sb="0" eb="2">
      <t>リガク</t>
    </rPh>
    <rPh sb="2" eb="4">
      <t>リョウホウ</t>
    </rPh>
    <rPh sb="5" eb="7">
      <t>サギョウ</t>
    </rPh>
    <rPh sb="7" eb="9">
      <t>リョウホウ</t>
    </rPh>
    <rPh sb="9" eb="10">
      <t>マタ</t>
    </rPh>
    <rPh sb="11" eb="13">
      <t>ゲンゴ</t>
    </rPh>
    <rPh sb="13" eb="15">
      <t>チョウカク</t>
    </rPh>
    <rPh sb="15" eb="17">
      <t>リョウホウ</t>
    </rPh>
    <rPh sb="18" eb="19">
      <t>カカ</t>
    </rPh>
    <rPh sb="20" eb="22">
      <t>カサン</t>
    </rPh>
    <phoneticPr fontId="2"/>
  </si>
  <si>
    <t>年</t>
    <rPh sb="0" eb="1">
      <t>ネン</t>
    </rPh>
    <phoneticPr fontId="2"/>
  </si>
  <si>
    <t>月</t>
    <rPh sb="0" eb="1">
      <t>ガツ</t>
    </rPh>
    <phoneticPr fontId="2"/>
  </si>
  <si>
    <t>日</t>
    <rPh sb="0" eb="1">
      <t>ニチ</t>
    </rPh>
    <phoneticPr fontId="2"/>
  </si>
  <si>
    <t>算定基準日</t>
    <rPh sb="0" eb="2">
      <t>サンテイ</t>
    </rPh>
    <rPh sb="2" eb="4">
      <t>キジュン</t>
    </rPh>
    <rPh sb="4" eb="5">
      <t>ビ</t>
    </rPh>
    <phoneticPr fontId="2"/>
  </si>
  <si>
    <t>←日付フラグ</t>
    <rPh sb="1" eb="3">
      <t>ヒヅケ</t>
    </rPh>
    <phoneticPr fontId="2"/>
  </si>
  <si>
    <t>基準フラグ</t>
    <rPh sb="0" eb="2">
      <t>キジュン</t>
    </rPh>
    <phoneticPr fontId="2"/>
  </si>
  <si>
    <t>コロナ報酬係数</t>
    <rPh sb="3" eb="5">
      <t>ホウシュウ</t>
    </rPh>
    <rPh sb="5" eb="7">
      <t>ケイスウ</t>
    </rPh>
    <phoneticPr fontId="2"/>
  </si>
  <si>
    <t>いずれか1つ</t>
    <phoneticPr fontId="2"/>
  </si>
  <si>
    <t>を基準に算定します（変更する場合は年月日を上書き）</t>
    <rPh sb="1" eb="3">
      <t>キジュン</t>
    </rPh>
    <rPh sb="4" eb="6">
      <t>サンテイ</t>
    </rPh>
    <rPh sb="10" eb="12">
      <t>ヘンコウ</t>
    </rPh>
    <rPh sb="14" eb="16">
      <t>バアイ</t>
    </rPh>
    <rPh sb="17" eb="20">
      <t>ネンガッピ</t>
    </rPh>
    <rPh sb="21" eb="23">
      <t>ウワガ</t>
    </rPh>
    <phoneticPr fontId="2"/>
  </si>
  <si>
    <t>※令和３年度改定（4月1日適用）における報酬を基に算定しています</t>
    <rPh sb="1" eb="3">
      <t>レイワ</t>
    </rPh>
    <rPh sb="4" eb="6">
      <t>ネンド</t>
    </rPh>
    <rPh sb="5" eb="6">
      <t>ド</t>
    </rPh>
    <rPh sb="6" eb="8">
      <t>カイテイ</t>
    </rPh>
    <rPh sb="10" eb="11">
      <t>ガツ</t>
    </rPh>
    <rPh sb="12" eb="13">
      <t>ニチ</t>
    </rPh>
    <rPh sb="13" eb="15">
      <t>テキヨウ</t>
    </rPh>
    <rPh sb="20" eb="22">
      <t>ホウシュウ</t>
    </rPh>
    <rPh sb="23" eb="24">
      <t>モト</t>
    </rPh>
    <rPh sb="25" eb="27">
      <t>サンテイ</t>
    </rPh>
    <phoneticPr fontId="2"/>
  </si>
  <si>
    <t>算定基準日：</t>
    <rPh sb="0" eb="2">
      <t>サンテイ</t>
    </rPh>
    <rPh sb="2" eb="4">
      <t>キジュン</t>
    </rPh>
    <rPh sb="4" eb="5">
      <t>ビ</t>
    </rPh>
    <phoneticPr fontId="2"/>
  </si>
  <si>
    <t>（減算）栄養ケア・マネジメントの未実施減算</t>
    <phoneticPr fontId="2"/>
  </si>
  <si>
    <t>介護職員処遇改善加算（Ⅴ）</t>
    <phoneticPr fontId="2"/>
  </si>
  <si>
    <t>介護職員処遇改善加算（Ⅳ）</t>
    <phoneticPr fontId="2"/>
  </si>
  <si>
    <t>排せつ支援加算（Ⅳ）</t>
    <rPh sb="0" eb="1">
      <t>ハイ</t>
    </rPh>
    <rPh sb="3" eb="5">
      <t>シエン</t>
    </rPh>
    <rPh sb="5" eb="7">
      <t>カサン</t>
    </rPh>
    <phoneticPr fontId="22"/>
  </si>
  <si>
    <t>有</t>
  </si>
  <si>
    <t>フラグ番号</t>
    <rPh sb="3" eb="5">
      <t>バンゴウ</t>
    </rPh>
    <phoneticPr fontId="2"/>
  </si>
  <si>
    <t>時限措置の内容</t>
    <rPh sb="0" eb="2">
      <t>ジゲン</t>
    </rPh>
    <rPh sb="2" eb="4">
      <t>ソチ</t>
    </rPh>
    <rPh sb="5" eb="7">
      <t>ナイヨウ</t>
    </rPh>
    <phoneticPr fontId="2"/>
  </si>
  <si>
    <t>コロナ対応で2021年9月末まで0.1%基本報酬を上乗せ</t>
    <rPh sb="3" eb="5">
      <t>タイオウ</t>
    </rPh>
    <rPh sb="10" eb="11">
      <t>ネン</t>
    </rPh>
    <rPh sb="12" eb="14">
      <t>ガツマツ</t>
    </rPh>
    <rPh sb="20" eb="22">
      <t>キホン</t>
    </rPh>
    <rPh sb="22" eb="24">
      <t>ホウシュウ</t>
    </rPh>
    <rPh sb="25" eb="27">
      <t>ウワノ</t>
    </rPh>
    <phoneticPr fontId="1"/>
  </si>
  <si>
    <t>食費の基準の見直し</t>
    <rPh sb="0" eb="2">
      <t>ショクヒ</t>
    </rPh>
    <rPh sb="3" eb="5">
      <t>キジュン</t>
    </rPh>
    <rPh sb="6" eb="8">
      <t>ミナオ</t>
    </rPh>
    <phoneticPr fontId="2"/>
  </si>
  <si>
    <t>高額介護（予防）サービス費の見直しについて</t>
    <phoneticPr fontId="1"/>
  </si>
  <si>
    <t>介護職員処遇改善加算（Ⅳ）及び（Ⅴ）の廃止</t>
    <phoneticPr fontId="2"/>
  </si>
  <si>
    <t>排せつ支援加算（Ⅳ）の廃止</t>
    <rPh sb="11" eb="13">
      <t>ハイシ</t>
    </rPh>
    <phoneticPr fontId="1"/>
  </si>
  <si>
    <t>栄養マネジメント未実施減算の経過措置は2024年末まで</t>
    <rPh sb="0" eb="2">
      <t>エイヨウ</t>
    </rPh>
    <rPh sb="8" eb="13">
      <t>ミジッシゲンサン</t>
    </rPh>
    <rPh sb="14" eb="16">
      <t>ケイカ</t>
    </rPh>
    <rPh sb="16" eb="18">
      <t>ソチ</t>
    </rPh>
    <rPh sb="23" eb="25">
      <t>ネンマツ</t>
    </rPh>
    <phoneticPr fontId="1"/>
  </si>
  <si>
    <t>令和２年度介護事業経営実態調査結果</t>
    <phoneticPr fontId="2"/>
  </si>
  <si>
    <t>清瀬市</t>
    <rPh sb="0" eb="3">
      <t>キヨセシ</t>
    </rPh>
    <phoneticPr fontId="2"/>
  </si>
  <si>
    <t>令和２年度介護事業経営実態調査結果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</si>
</sst>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_ "/>
    <numFmt numFmtId="177" formatCode="#,##0_);[Red]\(#,##0\)"/>
    <numFmt numFmtId="178" formatCode="0\P"/>
    <numFmt numFmtId="179" formatCode="0.0%"/>
    <numFmt numFmtId="180" formatCode="#,##0;&quot;▲ &quot;#,##0"/>
    <numFmt numFmtId="181" formatCode="#,##0&quot;円&quot;"/>
    <numFmt numFmtId="182" formatCode="0.00&quot;円&quot;"/>
    <numFmt numFmtId="183" formatCode="0_);[Red]\(0\)"/>
    <numFmt numFmtId="184" formatCode="#,##0.0;[Red]\-#,##0.0"/>
    <numFmt numFmtId="185" formatCode="0.0"/>
    <numFmt numFmtId="186" formatCode="&quot;P.&quot;0"/>
    <numFmt numFmtId="187" formatCode="&quot;¥&quot;#,##0_);[Red]\(&quot;¥&quot;#,##0\)"/>
    <numFmt numFmtId="188" formatCode="yyyy/mm/dd\(aaa\)"/>
    <numFmt numFmtId="189" formatCode="[$-F800]dddd\,\ mmmm\ dd\,\ yyyy"/>
  </numFmts>
  <fonts count="82">
    <font>
      <sz val="11"/>
      <name val="ＭＳ Ｐゴシック"/>
      <family val="3"/>
      <charset val="128"/>
    </font>
    <font>
      <sz val="11"/>
      <name val="ＭＳ Ｐゴシック"/>
      <family val="3"/>
      <charset val="128"/>
    </font>
    <font>
      <sz val="6"/>
      <name val="ＭＳ Ｐゴシック"/>
      <family val="3"/>
      <charset val="128"/>
    </font>
    <font>
      <sz val="8"/>
      <color indexed="8"/>
      <name val="HGPｺﾞｼｯｸM"/>
      <family val="3"/>
      <charset val="128"/>
    </font>
    <font>
      <sz val="6.85"/>
      <name val="ＭＳ Ｐゴシック"/>
      <family val="3"/>
      <charset val="128"/>
    </font>
    <font>
      <b/>
      <sz val="6.85"/>
      <name val="ＭＳ Ｐゴシック"/>
      <family val="3"/>
      <charset val="128"/>
    </font>
    <font>
      <sz val="11"/>
      <name val="ＭＳ Ｐゴシック"/>
      <family val="3"/>
      <charset val="128"/>
    </font>
    <font>
      <sz val="11"/>
      <name val="ＭＳ Ｐゴシック"/>
      <family val="3"/>
      <charset val="128"/>
    </font>
    <font>
      <b/>
      <sz val="11"/>
      <name val="ＭＳ Ｐゴシック"/>
      <family val="3"/>
      <charset val="128"/>
    </font>
    <font>
      <b/>
      <sz val="9"/>
      <color indexed="81"/>
      <name val="MS P ゴシック"/>
      <family val="3"/>
      <charset val="128"/>
    </font>
    <font>
      <sz val="9"/>
      <color indexed="81"/>
      <name val="MS P ゴシック"/>
      <family val="3"/>
      <charset val="128"/>
    </font>
    <font>
      <sz val="10"/>
      <name val="ＭＳ 明朝"/>
      <family val="1"/>
      <charset val="128"/>
    </font>
    <font>
      <sz val="6"/>
      <name val="ＭＳ Ｐ明朝"/>
      <family val="1"/>
      <charset val="128"/>
    </font>
    <font>
      <sz val="11"/>
      <name val="メイリオ"/>
      <family val="3"/>
      <charset val="128"/>
    </font>
    <font>
      <sz val="12"/>
      <name val="メイリオ"/>
      <family val="3"/>
      <charset val="128"/>
    </font>
    <font>
      <u/>
      <sz val="12"/>
      <name val="メイリオ"/>
      <family val="3"/>
      <charset val="128"/>
    </font>
    <font>
      <b/>
      <sz val="12"/>
      <color theme="0"/>
      <name val="メイリオ"/>
      <family val="3"/>
      <charset val="128"/>
    </font>
    <font>
      <sz val="14"/>
      <name val="メイリオ"/>
      <family val="3"/>
      <charset val="128"/>
    </font>
    <font>
      <sz val="12"/>
      <color rgb="FFFF0000"/>
      <name val="メイリオ"/>
      <family val="3"/>
      <charset val="128"/>
    </font>
    <font>
      <u/>
      <sz val="11"/>
      <color theme="10"/>
      <name val="ＭＳ Ｐゴシック"/>
      <family val="3"/>
      <charset val="128"/>
    </font>
    <font>
      <b/>
      <sz val="12"/>
      <color rgb="FFFF0000"/>
      <name val="メイリオ"/>
      <family val="3"/>
      <charset val="128"/>
    </font>
    <font>
      <b/>
      <sz val="12"/>
      <name val="メイリオ"/>
      <family val="3"/>
      <charset val="128"/>
    </font>
    <font>
      <sz val="6"/>
      <name val="ＭＳ Ｐゴシック"/>
      <family val="2"/>
      <charset val="128"/>
      <scheme val="minor"/>
    </font>
    <font>
      <sz val="18"/>
      <name val="メイリオ"/>
      <family val="3"/>
      <charset val="128"/>
    </font>
    <font>
      <u/>
      <sz val="11"/>
      <color theme="10"/>
      <name val="メイリオ"/>
      <family val="3"/>
      <charset val="128"/>
    </font>
    <font>
      <b/>
      <u/>
      <sz val="11"/>
      <color theme="10"/>
      <name val="メイリオ"/>
      <family val="3"/>
      <charset val="128"/>
    </font>
    <font>
      <b/>
      <u/>
      <sz val="12"/>
      <name val="メイリオ"/>
      <family val="3"/>
      <charset val="128"/>
    </font>
    <font>
      <b/>
      <sz val="14"/>
      <name val="メイリオ"/>
      <family val="3"/>
      <charset val="128"/>
    </font>
    <font>
      <sz val="10"/>
      <color rgb="FFFF0000"/>
      <name val="メイリオ"/>
      <family val="3"/>
      <charset val="128"/>
    </font>
    <font>
      <sz val="10"/>
      <color indexed="81"/>
      <name val="ＭＳ ゴシック"/>
      <family val="3"/>
      <charset val="128"/>
    </font>
    <font>
      <b/>
      <sz val="14"/>
      <color theme="0"/>
      <name val="メイリオ"/>
      <family val="3"/>
      <charset val="128"/>
    </font>
    <font>
      <b/>
      <sz val="24"/>
      <color theme="0"/>
      <name val="メイリオ"/>
      <family val="3"/>
      <charset val="128"/>
    </font>
    <font>
      <u/>
      <sz val="12"/>
      <color rgb="FF0070C0"/>
      <name val="メイリオ"/>
      <family val="3"/>
      <charset val="128"/>
    </font>
    <font>
      <b/>
      <u/>
      <sz val="18"/>
      <name val="メイリオ"/>
      <family val="3"/>
      <charset val="128"/>
    </font>
    <font>
      <b/>
      <u/>
      <sz val="14"/>
      <name val="メイリオ"/>
      <family val="3"/>
      <charset val="128"/>
    </font>
    <font>
      <sz val="11"/>
      <name val="ＭＳ Ｐゴシック"/>
      <family val="3"/>
      <charset val="128"/>
      <scheme val="major"/>
    </font>
    <font>
      <sz val="11"/>
      <name val="ＭＳ 明朝"/>
      <family val="1"/>
      <charset val="128"/>
    </font>
    <font>
      <sz val="10"/>
      <color indexed="81"/>
      <name val="MS P ゴシック"/>
      <family val="3"/>
      <charset val="128"/>
    </font>
    <font>
      <sz val="10"/>
      <color indexed="81"/>
      <name val="ＭＳ Ｐゴシック"/>
      <family val="3"/>
      <charset val="128"/>
      <scheme val="minor"/>
    </font>
    <font>
      <sz val="10"/>
      <color indexed="81"/>
      <name val="ＭＳ Ｐゴシック"/>
      <family val="3"/>
      <charset val="128"/>
      <scheme val="major"/>
    </font>
    <font>
      <b/>
      <u/>
      <sz val="12"/>
      <color theme="10"/>
      <name val="メイリオ"/>
      <family val="3"/>
      <charset val="128"/>
    </font>
    <font>
      <u/>
      <sz val="14"/>
      <color theme="10"/>
      <name val="メイリオ"/>
      <family val="3"/>
      <charset val="128"/>
    </font>
    <font>
      <sz val="10"/>
      <name val="メイリオ"/>
      <family val="3"/>
      <charset val="128"/>
    </font>
    <font>
      <sz val="11"/>
      <color rgb="FFFF0000"/>
      <name val="メイリオ"/>
      <family val="3"/>
      <charset val="128"/>
    </font>
    <font>
      <sz val="8"/>
      <color indexed="8"/>
      <name val="メイリオ"/>
      <family val="3"/>
      <charset val="128"/>
    </font>
    <font>
      <sz val="9"/>
      <color rgb="FFFF0000"/>
      <name val="メイリオ"/>
      <family val="3"/>
      <charset val="128"/>
    </font>
    <font>
      <b/>
      <sz val="16"/>
      <name val="メイリオ"/>
      <family val="3"/>
      <charset val="128"/>
    </font>
    <font>
      <sz val="8"/>
      <color rgb="FFFF0000"/>
      <name val="メイリオ"/>
      <family val="3"/>
      <charset val="128"/>
    </font>
    <font>
      <sz val="16"/>
      <name val="メイリオ"/>
      <family val="3"/>
      <charset val="128"/>
    </font>
    <font>
      <sz val="10"/>
      <name val="ＭＳ Ｐゴシック"/>
      <family val="3"/>
      <charset val="128"/>
      <scheme val="major"/>
    </font>
    <font>
      <sz val="8"/>
      <color indexed="8"/>
      <name val="ＭＳ Ｐゴシック"/>
      <family val="3"/>
      <charset val="128"/>
      <scheme val="major"/>
    </font>
    <font>
      <u/>
      <sz val="36"/>
      <color theme="10"/>
      <name val="メイリオ"/>
      <family val="3"/>
      <charset val="128"/>
    </font>
    <font>
      <u/>
      <sz val="26"/>
      <color theme="10"/>
      <name val="メイリオ"/>
      <family val="3"/>
      <charset val="128"/>
    </font>
    <font>
      <u/>
      <sz val="24"/>
      <color theme="10"/>
      <name val="ＭＳ Ｐゴシック"/>
      <family val="3"/>
      <charset val="128"/>
    </font>
    <font>
      <u/>
      <sz val="24"/>
      <color theme="10"/>
      <name val="メイリオ"/>
      <family val="3"/>
      <charset val="128"/>
    </font>
    <font>
      <sz val="26"/>
      <name val="メイリオ"/>
      <family val="3"/>
      <charset val="128"/>
    </font>
    <font>
      <u/>
      <sz val="26"/>
      <color theme="10"/>
      <name val="ＭＳ Ｐゴシック"/>
      <family val="3"/>
      <charset val="128"/>
    </font>
    <font>
      <sz val="11"/>
      <color rgb="FFFF0000"/>
      <name val="ＭＳ Ｐゴシック"/>
      <family val="3"/>
      <charset val="128"/>
      <scheme val="major"/>
    </font>
    <font>
      <u/>
      <sz val="18"/>
      <color theme="10"/>
      <name val="メイリオ"/>
      <family val="3"/>
      <charset val="128"/>
    </font>
    <font>
      <u/>
      <sz val="20"/>
      <color theme="10"/>
      <name val="メイリオ"/>
      <family val="3"/>
      <charset val="128"/>
    </font>
    <font>
      <sz val="10"/>
      <color rgb="FFFF0000"/>
      <name val="ＭＳ Ｐゴシック"/>
      <family val="3"/>
      <charset val="128"/>
      <scheme val="major"/>
    </font>
    <font>
      <sz val="8"/>
      <color rgb="FFFF0000"/>
      <name val="ＭＳ Ｐゴシック"/>
      <family val="3"/>
      <charset val="128"/>
      <scheme val="major"/>
    </font>
    <font>
      <sz val="12"/>
      <color theme="0"/>
      <name val="メイリオ"/>
      <family val="3"/>
      <charset val="128"/>
    </font>
    <font>
      <b/>
      <sz val="14"/>
      <color rgb="FFFF0000"/>
      <name val="メイリオ"/>
      <family val="3"/>
      <charset val="128"/>
    </font>
    <font>
      <b/>
      <sz val="11"/>
      <name val="メイリオ"/>
      <family val="3"/>
      <charset val="128"/>
    </font>
    <font>
      <sz val="36"/>
      <name val="メイリオ"/>
      <family val="3"/>
      <charset val="128"/>
    </font>
    <font>
      <sz val="10"/>
      <color indexed="32"/>
      <name val="メイリオ"/>
      <family val="3"/>
      <charset val="128"/>
    </font>
    <font>
      <u/>
      <sz val="10"/>
      <color rgb="FFFF0000"/>
      <name val="メイリオ"/>
      <family val="3"/>
      <charset val="128"/>
    </font>
    <font>
      <u/>
      <sz val="14"/>
      <color theme="4"/>
      <name val="メイリオ"/>
      <family val="3"/>
      <charset val="128"/>
    </font>
    <font>
      <b/>
      <sz val="8"/>
      <color rgb="FFFF0000"/>
      <name val="メイリオ"/>
      <family val="3"/>
      <charset val="128"/>
    </font>
    <font>
      <b/>
      <sz val="9"/>
      <color indexed="81"/>
      <name val="ＭＳ Ｐゴシック"/>
      <family val="3"/>
      <charset val="128"/>
    </font>
    <font>
      <u/>
      <sz val="11"/>
      <color rgb="FF0070C0"/>
      <name val="メイリオ"/>
      <family val="3"/>
      <charset val="128"/>
    </font>
    <font>
      <sz val="11"/>
      <color rgb="FFFF0000"/>
      <name val="ＭＳ Ｐゴシック"/>
      <family val="3"/>
      <charset val="128"/>
    </font>
    <font>
      <sz val="8"/>
      <name val="HGPｺﾞｼｯｸM"/>
      <family val="3"/>
      <charset val="128"/>
    </font>
    <font>
      <b/>
      <sz val="8"/>
      <color rgb="FFFF0000"/>
      <name val="HGPｺﾞｼｯｸM"/>
      <family val="3"/>
      <charset val="128"/>
    </font>
    <font>
      <sz val="10"/>
      <color indexed="81"/>
      <name val="ＭＳ Ｐゴシック"/>
      <family val="3"/>
      <charset val="128"/>
    </font>
    <font>
      <b/>
      <sz val="11"/>
      <color rgb="FFFF0000"/>
      <name val="ＭＳ Ｐゴシック"/>
      <family val="3"/>
      <charset val="128"/>
    </font>
    <font>
      <sz val="11"/>
      <color theme="1"/>
      <name val="メイリオ"/>
      <family val="3"/>
      <charset val="128"/>
    </font>
    <font>
      <sz val="20"/>
      <color rgb="FFFF0000"/>
      <name val="メイリオ"/>
      <family val="3"/>
      <charset val="128"/>
    </font>
    <font>
      <sz val="8"/>
      <name val="メイリオ"/>
      <family val="3"/>
      <charset val="128"/>
    </font>
    <font>
      <sz val="9"/>
      <name val="メイリオ"/>
      <family val="3"/>
      <charset val="128"/>
    </font>
    <font>
      <sz val="8"/>
      <name val="ＭＳ Ｐゴシック"/>
      <family val="3"/>
      <charset val="128"/>
      <scheme val="major"/>
    </font>
  </fonts>
  <fills count="22">
    <fill>
      <patternFill patternType="none"/>
    </fill>
    <fill>
      <patternFill patternType="gray125"/>
    </fill>
    <fill>
      <patternFill patternType="solid">
        <fgColor indexed="55"/>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9"/>
        <bgColor indexed="64"/>
      </patternFill>
    </fill>
    <fill>
      <patternFill patternType="solid">
        <fgColor theme="7" tint="0.79998168889431442"/>
        <bgColor indexed="64"/>
      </patternFill>
    </fill>
    <fill>
      <patternFill patternType="solid">
        <fgColor rgb="FF00B05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00B0F0"/>
        <bgColor indexed="64"/>
      </patternFill>
    </fill>
    <fill>
      <patternFill patternType="solid">
        <fgColor theme="8" tint="0.79998168889431442"/>
        <bgColor indexed="64"/>
      </patternFill>
    </fill>
    <fill>
      <patternFill patternType="solid">
        <fgColor rgb="FFCDF2FF"/>
        <bgColor indexed="64"/>
      </patternFill>
    </fill>
    <fill>
      <patternFill patternType="solid">
        <fgColor rgb="FF0070C0"/>
        <bgColor indexed="64"/>
      </patternFill>
    </fill>
    <fill>
      <patternFill patternType="solid">
        <fgColor theme="0" tint="-0.34998626667073579"/>
        <bgColor indexed="64"/>
      </patternFill>
    </fill>
    <fill>
      <patternFill patternType="solid">
        <fgColor theme="0" tint="-0.249977111117893"/>
        <bgColor indexed="64"/>
      </patternFill>
    </fill>
  </fills>
  <borders count="13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bottom/>
      <diagonal/>
    </border>
    <border>
      <left/>
      <right style="medium">
        <color indexed="64"/>
      </right>
      <top style="medium">
        <color indexed="64"/>
      </top>
      <bottom/>
      <diagonal/>
    </border>
    <border>
      <left style="medium">
        <color indexed="64"/>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bottom style="double">
        <color indexed="64"/>
      </bottom>
      <diagonal/>
    </border>
    <border>
      <left style="medium">
        <color indexed="64"/>
      </left>
      <right/>
      <top/>
      <bottom style="medium">
        <color indexed="64"/>
      </bottom>
      <diagonal/>
    </border>
    <border diagonalDown="1">
      <left style="thin">
        <color indexed="64"/>
      </left>
      <right style="thin">
        <color indexed="64"/>
      </right>
      <top/>
      <bottom style="medium">
        <color indexed="64"/>
      </bottom>
      <diagonal style="thin">
        <color indexed="64"/>
      </diagonal>
    </border>
    <border>
      <left style="thin">
        <color indexed="64"/>
      </left>
      <right/>
      <top/>
      <bottom style="medium">
        <color indexed="64"/>
      </bottom>
      <diagonal/>
    </border>
    <border diagonalDown="1">
      <left style="thin">
        <color indexed="64"/>
      </left>
      <right style="medium">
        <color indexed="64"/>
      </right>
      <top/>
      <bottom style="medium">
        <color indexed="64"/>
      </bottom>
      <diagonal style="thin">
        <color indexed="64"/>
      </diagonal>
    </border>
    <border>
      <left style="thin">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0">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0" borderId="0"/>
    <xf numFmtId="9" fontId="11" fillId="0" borderId="0" applyFont="0" applyFill="0" applyBorder="0" applyAlignment="0" applyProtection="0">
      <alignment vertical="center"/>
    </xf>
    <xf numFmtId="0" fontId="19" fillId="0" borderId="0" applyNumberFormat="0" applyFill="0" applyBorder="0" applyAlignment="0" applyProtection="0"/>
    <xf numFmtId="0" fontId="1" fillId="0" borderId="0"/>
    <xf numFmtId="0" fontId="36" fillId="0" borderId="0"/>
    <xf numFmtId="38" fontId="36" fillId="0" borderId="0" applyFont="0" applyFill="0" applyBorder="0" applyAlignment="0" applyProtection="0"/>
    <xf numFmtId="0" fontId="36" fillId="0" borderId="0"/>
  </cellStyleXfs>
  <cellXfs count="1030">
    <xf numFmtId="0" fontId="0" fillId="0" borderId="0" xfId="0"/>
    <xf numFmtId="0" fontId="3" fillId="0" borderId="2" xfId="0" applyFont="1" applyFill="1" applyBorder="1" applyAlignment="1">
      <alignment vertical="center"/>
    </xf>
    <xf numFmtId="0" fontId="3" fillId="0" borderId="1" xfId="0" applyFont="1" applyFill="1" applyBorder="1" applyAlignment="1">
      <alignment vertical="center"/>
    </xf>
    <xf numFmtId="0" fontId="3" fillId="0" borderId="3" xfId="0" applyFont="1" applyFill="1" applyBorder="1" applyAlignment="1">
      <alignment vertical="center"/>
    </xf>
    <xf numFmtId="0" fontId="5" fillId="0" borderId="0" xfId="0" applyFont="1"/>
    <xf numFmtId="0" fontId="5" fillId="0" borderId="0" xfId="0" applyFont="1" applyBorder="1"/>
    <xf numFmtId="0" fontId="4" fillId="0" borderId="0" xfId="0" applyFont="1" applyBorder="1"/>
    <xf numFmtId="0" fontId="0" fillId="0" borderId="5" xfId="0" applyBorder="1"/>
    <xf numFmtId="0" fontId="0" fillId="0" borderId="6" xfId="0" applyBorder="1"/>
    <xf numFmtId="0" fontId="0" fillId="0" borderId="7" xfId="0" applyBorder="1" applyAlignment="1">
      <alignment wrapText="1"/>
    </xf>
    <xf numFmtId="0" fontId="0" fillId="0" borderId="8" xfId="0" applyBorder="1" applyAlignment="1">
      <alignment wrapText="1"/>
    </xf>
    <xf numFmtId="0" fontId="0" fillId="0" borderId="11" xfId="0" applyBorder="1" applyAlignment="1">
      <alignment wrapText="1"/>
    </xf>
    <xf numFmtId="0" fontId="0" fillId="0" borderId="13" xfId="0" applyBorder="1" applyAlignment="1">
      <alignment wrapText="1"/>
    </xf>
    <xf numFmtId="0" fontId="0" fillId="0" borderId="14" xfId="0" applyBorder="1" applyAlignment="1">
      <alignment wrapText="1"/>
    </xf>
    <xf numFmtId="0" fontId="6" fillId="0" borderId="8" xfId="0" applyFont="1" applyFill="1" applyBorder="1" applyAlignment="1">
      <alignment horizontal="center" vertical="center" shrinkToFit="1"/>
    </xf>
    <xf numFmtId="0" fontId="0" fillId="2" borderId="4" xfId="0" applyFill="1" applyBorder="1"/>
    <xf numFmtId="0" fontId="0" fillId="0" borderId="0" xfId="0" applyFill="1" applyBorder="1" applyAlignment="1">
      <alignment wrapText="1"/>
    </xf>
    <xf numFmtId="0" fontId="6" fillId="4" borderId="9" xfId="0" applyFont="1" applyFill="1" applyBorder="1" applyAlignment="1">
      <alignment horizontal="center" vertical="center" shrinkToFit="1"/>
    </xf>
    <xf numFmtId="0" fontId="6" fillId="4" borderId="14" xfId="0" applyFont="1" applyFill="1" applyBorder="1" applyAlignment="1">
      <alignment horizontal="center" vertical="center" shrinkToFit="1"/>
    </xf>
    <xf numFmtId="0" fontId="6" fillId="4" borderId="18" xfId="0" applyFont="1" applyFill="1" applyBorder="1" applyAlignment="1">
      <alignment horizontal="center" vertical="center" shrinkToFit="1"/>
    </xf>
    <xf numFmtId="0" fontId="0" fillId="4" borderId="7" xfId="0" applyFill="1" applyBorder="1" applyAlignment="1">
      <alignment wrapText="1"/>
    </xf>
    <xf numFmtId="0" fontId="0" fillId="4" borderId="17" xfId="0" applyFill="1" applyBorder="1" applyAlignment="1">
      <alignment wrapText="1"/>
    </xf>
    <xf numFmtId="0" fontId="0" fillId="4" borderId="14" xfId="0" applyFill="1" applyBorder="1" applyAlignment="1">
      <alignment wrapText="1"/>
    </xf>
    <xf numFmtId="0" fontId="0" fillId="4" borderId="18" xfId="0" applyFill="1" applyBorder="1" applyAlignment="1">
      <alignment wrapText="1"/>
    </xf>
    <xf numFmtId="0" fontId="5" fillId="4" borderId="7" xfId="0" applyFont="1" applyFill="1" applyBorder="1"/>
    <xf numFmtId="0" fontId="0" fillId="0" borderId="0" xfId="0" applyFill="1"/>
    <xf numFmtId="0" fontId="0" fillId="0" borderId="11"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13" xfId="0" applyFill="1" applyBorder="1" applyAlignment="1">
      <alignment horizontal="center" vertical="center" shrinkToFit="1"/>
    </xf>
    <xf numFmtId="0" fontId="6" fillId="4" borderId="16" xfId="0" applyFont="1" applyFill="1" applyBorder="1" applyAlignment="1">
      <alignment horizontal="center" vertical="center" shrinkToFit="1"/>
    </xf>
    <xf numFmtId="0" fontId="0" fillId="0" borderId="0" xfId="0" applyFont="1"/>
    <xf numFmtId="0" fontId="8" fillId="0" borderId="0" xfId="0" applyFont="1" applyBorder="1"/>
    <xf numFmtId="0" fontId="0" fillId="0" borderId="0" xfId="0" applyFont="1" applyBorder="1"/>
    <xf numFmtId="0" fontId="0" fillId="0" borderId="0" xfId="0" applyFont="1" applyFill="1"/>
    <xf numFmtId="0" fontId="8" fillId="0" borderId="0" xfId="0" applyFont="1"/>
    <xf numFmtId="0" fontId="7" fillId="0" borderId="0" xfId="0" applyFont="1" applyAlignment="1">
      <alignment horizontal="center"/>
    </xf>
    <xf numFmtId="0" fontId="0" fillId="0" borderId="0" xfId="0" applyAlignment="1">
      <alignment horizontal="center"/>
    </xf>
    <xf numFmtId="0" fontId="0" fillId="0" borderId="24" xfId="0" applyBorder="1"/>
    <xf numFmtId="0" fontId="0" fillId="0" borderId="0" xfId="0" applyAlignment="1">
      <alignment vertical="center"/>
    </xf>
    <xf numFmtId="0" fontId="0" fillId="0" borderId="0" xfId="0" applyFont="1" applyAlignment="1">
      <alignment vertical="center"/>
    </xf>
    <xf numFmtId="183" fontId="0" fillId="0" borderId="0" xfId="0" applyNumberFormat="1"/>
    <xf numFmtId="0" fontId="0" fillId="2" borderId="0" xfId="0" applyFill="1" applyBorder="1"/>
    <xf numFmtId="0" fontId="13" fillId="0" borderId="0" xfId="0" applyFont="1"/>
    <xf numFmtId="0" fontId="35" fillId="0" borderId="0" xfId="0" applyFont="1" applyAlignment="1">
      <alignment vertical="center" shrinkToFit="1"/>
    </xf>
    <xf numFmtId="0" fontId="0" fillId="20" borderId="0" xfId="0" applyFill="1"/>
    <xf numFmtId="0" fontId="17" fillId="0" borderId="0" xfId="0" applyFont="1"/>
    <xf numFmtId="0" fontId="13" fillId="0" borderId="0" xfId="0" applyFont="1" applyBorder="1"/>
    <xf numFmtId="0" fontId="27" fillId="0" borderId="0" xfId="0" applyFont="1" applyAlignment="1">
      <alignment vertical="center" shrinkToFit="1"/>
    </xf>
    <xf numFmtId="0" fontId="13" fillId="0" borderId="0" xfId="0" applyFont="1" applyBorder="1" applyAlignment="1">
      <alignment vertical="center" shrinkToFit="1"/>
    </xf>
    <xf numFmtId="0" fontId="13" fillId="0" borderId="0" xfId="0" applyFont="1" applyAlignment="1">
      <alignment vertical="center" shrinkToFit="1"/>
    </xf>
    <xf numFmtId="0" fontId="13" fillId="0" borderId="66" xfId="0" applyFont="1" applyBorder="1" applyAlignment="1">
      <alignment horizontal="center" vertical="center"/>
    </xf>
    <xf numFmtId="0" fontId="13" fillId="0" borderId="64" xfId="0" applyFont="1" applyBorder="1" applyAlignment="1">
      <alignment horizontal="right" vertical="center" indent="1" shrinkToFit="1"/>
    </xf>
    <xf numFmtId="0" fontId="43" fillId="0" borderId="64" xfId="0" applyFont="1" applyBorder="1" applyAlignment="1">
      <alignment horizontal="center" vertical="center"/>
    </xf>
    <xf numFmtId="0" fontId="44" fillId="0" borderId="64" xfId="0" applyFont="1" applyBorder="1" applyAlignment="1">
      <alignment horizontal="center" vertical="center"/>
    </xf>
    <xf numFmtId="0" fontId="28" fillId="0" borderId="64" xfId="0" applyFont="1" applyBorder="1" applyAlignment="1">
      <alignment horizontal="center" vertical="center"/>
    </xf>
    <xf numFmtId="0" fontId="13" fillId="0" borderId="65" xfId="0" applyFont="1" applyBorder="1" applyAlignment="1">
      <alignment horizontal="right" vertical="center" indent="1" shrinkToFit="1"/>
    </xf>
    <xf numFmtId="0" fontId="13" fillId="0" borderId="65" xfId="0" applyFont="1" applyBorder="1" applyAlignment="1">
      <alignment horizontal="center" vertical="center" shrinkToFit="1"/>
    </xf>
    <xf numFmtId="0" fontId="44" fillId="0" borderId="65" xfId="0" applyFont="1" applyBorder="1" applyAlignment="1">
      <alignment horizontal="center" vertical="center"/>
    </xf>
    <xf numFmtId="0" fontId="13" fillId="5" borderId="0" xfId="0" applyFont="1" applyFill="1" applyBorder="1" applyAlignment="1">
      <alignment horizontal="center" vertical="center" shrinkToFit="1"/>
    </xf>
    <xf numFmtId="0" fontId="42" fillId="5" borderId="0" xfId="0" applyFont="1" applyFill="1" applyBorder="1" applyAlignment="1">
      <alignment horizontal="center" vertical="center" shrinkToFit="1"/>
    </xf>
    <xf numFmtId="0" fontId="44" fillId="5" borderId="0" xfId="0" applyFont="1" applyFill="1" applyBorder="1" applyAlignment="1">
      <alignment horizontal="center" vertical="center"/>
    </xf>
    <xf numFmtId="177" fontId="13" fillId="5" borderId="0" xfId="0" applyNumberFormat="1" applyFont="1" applyFill="1" applyBorder="1" applyAlignment="1">
      <alignment horizontal="right" vertical="center" shrinkToFit="1"/>
    </xf>
    <xf numFmtId="0" fontId="13" fillId="0" borderId="66" xfId="0" applyFont="1" applyFill="1" applyBorder="1" applyAlignment="1">
      <alignment horizontal="center" vertical="center" shrinkToFit="1"/>
    </xf>
    <xf numFmtId="0" fontId="13" fillId="0" borderId="66" xfId="0" applyFont="1" applyBorder="1" applyAlignment="1">
      <alignment horizontal="right" vertical="center" indent="1" shrinkToFit="1"/>
    </xf>
    <xf numFmtId="0" fontId="13" fillId="0" borderId="66" xfId="0" applyFont="1" applyBorder="1" applyAlignment="1">
      <alignment horizontal="center" vertical="center" shrinkToFit="1"/>
    </xf>
    <xf numFmtId="0" fontId="44" fillId="0" borderId="66" xfId="0" applyFont="1" applyBorder="1" applyAlignment="1">
      <alignment horizontal="center" vertical="center"/>
    </xf>
    <xf numFmtId="0" fontId="13" fillId="5" borderId="64" xfId="0" applyFont="1" applyFill="1" applyBorder="1" applyAlignment="1">
      <alignment horizontal="right" vertical="center" indent="1" shrinkToFit="1"/>
    </xf>
    <xf numFmtId="0" fontId="43" fillId="0" borderId="64" xfId="0" applyFont="1" applyBorder="1" applyAlignment="1">
      <alignment horizontal="center" vertical="center" shrinkToFit="1"/>
    </xf>
    <xf numFmtId="0" fontId="28" fillId="0" borderId="64" xfId="0" applyFont="1" applyBorder="1" applyAlignment="1">
      <alignment horizontal="center" vertical="center" shrinkToFit="1"/>
    </xf>
    <xf numFmtId="177" fontId="13" fillId="0" borderId="0" xfId="0" applyNumberFormat="1" applyFont="1" applyBorder="1" applyAlignment="1">
      <alignment vertical="center" shrinkToFit="1"/>
    </xf>
    <xf numFmtId="0" fontId="28" fillId="0" borderId="64" xfId="0" applyFont="1" applyBorder="1" applyAlignment="1">
      <alignment vertical="center" shrinkToFit="1"/>
    </xf>
    <xf numFmtId="0" fontId="28" fillId="0" borderId="65" xfId="0" applyFont="1" applyBorder="1" applyAlignment="1">
      <alignment vertical="center" shrinkToFit="1"/>
    </xf>
    <xf numFmtId="0" fontId="13" fillId="0" borderId="66" xfId="0" applyFont="1" applyBorder="1" applyAlignment="1">
      <alignment horizontal="center" vertical="center" wrapText="1"/>
    </xf>
    <xf numFmtId="0" fontId="44" fillId="0" borderId="64" xfId="0" applyFont="1" applyBorder="1" applyAlignment="1">
      <alignment vertical="center"/>
    </xf>
    <xf numFmtId="0" fontId="47" fillId="0" borderId="64" xfId="0" applyFont="1" applyBorder="1" applyAlignment="1">
      <alignment horizontal="center" vertical="center"/>
    </xf>
    <xf numFmtId="186" fontId="13" fillId="5" borderId="64" xfId="0" applyNumberFormat="1" applyFont="1" applyFill="1" applyBorder="1" applyAlignment="1">
      <alignment horizontal="center" vertical="center" shrinkToFit="1"/>
    </xf>
    <xf numFmtId="186" fontId="13" fillId="5" borderId="65" xfId="0" applyNumberFormat="1" applyFont="1" applyFill="1" applyBorder="1" applyAlignment="1">
      <alignment horizontal="center" vertical="center" shrinkToFit="1"/>
    </xf>
    <xf numFmtId="0" fontId="13" fillId="5" borderId="0" xfId="0" applyFont="1" applyFill="1" applyBorder="1" applyAlignment="1">
      <alignment vertical="center" shrinkToFit="1"/>
    </xf>
    <xf numFmtId="186" fontId="13" fillId="0" borderId="66" xfId="0" applyNumberFormat="1" applyFont="1" applyBorder="1" applyAlignment="1">
      <alignment horizontal="center" vertical="center" shrinkToFit="1"/>
    </xf>
    <xf numFmtId="178" fontId="13" fillId="5" borderId="64" xfId="0" applyNumberFormat="1" applyFont="1" applyFill="1" applyBorder="1" applyAlignment="1">
      <alignment horizontal="center" vertical="center" shrinkToFit="1"/>
    </xf>
    <xf numFmtId="186" fontId="13" fillId="0" borderId="64" xfId="0" applyNumberFormat="1" applyFont="1" applyBorder="1" applyAlignment="1">
      <alignment horizontal="center" vertical="center" shrinkToFit="1"/>
    </xf>
    <xf numFmtId="186" fontId="13" fillId="0" borderId="65" xfId="0" applyNumberFormat="1" applyFont="1" applyBorder="1" applyAlignment="1">
      <alignment horizontal="center" vertical="center" shrinkToFit="1"/>
    </xf>
    <xf numFmtId="0" fontId="42" fillId="18" borderId="66" xfId="0" applyFont="1" applyFill="1" applyBorder="1" applyAlignment="1">
      <alignment horizontal="center" vertical="center" wrapText="1"/>
    </xf>
    <xf numFmtId="38" fontId="13" fillId="5" borderId="0" xfId="1" applyFont="1" applyFill="1" applyBorder="1" applyAlignment="1">
      <alignment horizontal="right" vertical="center" indent="1" shrinkToFit="1"/>
    </xf>
    <xf numFmtId="0" fontId="35" fillId="0" borderId="0" xfId="0" applyFont="1" applyBorder="1" applyAlignment="1">
      <alignment vertical="center" shrinkToFit="1"/>
    </xf>
    <xf numFmtId="38" fontId="13" fillId="0" borderId="0" xfId="1" applyFont="1" applyBorder="1" applyAlignment="1">
      <alignment horizontal="right" vertical="center" indent="1" shrinkToFit="1"/>
    </xf>
    <xf numFmtId="38" fontId="13" fillId="7" borderId="0" xfId="1" applyFont="1" applyFill="1" applyBorder="1" applyAlignment="1">
      <alignment horizontal="right" vertical="center" indent="1" shrinkToFit="1"/>
    </xf>
    <xf numFmtId="0" fontId="13" fillId="5" borderId="0" xfId="0" applyFont="1" applyFill="1" applyBorder="1" applyAlignment="1">
      <alignment horizontal="center" vertical="center" wrapText="1" shrinkToFit="1"/>
    </xf>
    <xf numFmtId="0" fontId="0" fillId="0" borderId="8" xfId="0" applyBorder="1" applyAlignment="1">
      <alignment wrapText="1"/>
    </xf>
    <xf numFmtId="0" fontId="0" fillId="0" borderId="11" xfId="0" applyBorder="1" applyAlignment="1">
      <alignment wrapText="1"/>
    </xf>
    <xf numFmtId="0" fontId="0" fillId="0" borderId="10" xfId="0" applyBorder="1" applyAlignment="1">
      <alignment wrapText="1"/>
    </xf>
    <xf numFmtId="0" fontId="0" fillId="0" borderId="7" xfId="0" applyBorder="1" applyAlignment="1">
      <alignment wrapText="1"/>
    </xf>
    <xf numFmtId="0" fontId="35" fillId="0" borderId="8" xfId="0" applyFont="1" applyBorder="1"/>
    <xf numFmtId="0" fontId="35" fillId="4" borderId="9" xfId="0" applyFont="1" applyFill="1" applyBorder="1"/>
    <xf numFmtId="0" fontId="35" fillId="0" borderId="11" xfId="0" applyFont="1" applyBorder="1"/>
    <xf numFmtId="0" fontId="35" fillId="4" borderId="14" xfId="0" applyFont="1" applyFill="1" applyBorder="1"/>
    <xf numFmtId="0" fontId="35" fillId="0" borderId="13" xfId="0" applyFont="1" applyBorder="1"/>
    <xf numFmtId="0" fontId="35" fillId="4" borderId="18" xfId="0" applyFont="1" applyFill="1" applyBorder="1"/>
    <xf numFmtId="0" fontId="14" fillId="0" borderId="90" xfId="0" applyFont="1" applyBorder="1" applyAlignment="1" applyProtection="1">
      <alignment horizontal="distributed" vertical="center"/>
    </xf>
    <xf numFmtId="0" fontId="14" fillId="0" borderId="112" xfId="0" applyFont="1" applyBorder="1" applyAlignment="1" applyProtection="1">
      <alignment horizontal="distributed" vertical="center"/>
    </xf>
    <xf numFmtId="0" fontId="14" fillId="7" borderId="90" xfId="0" applyFont="1" applyFill="1" applyBorder="1" applyAlignment="1" applyProtection="1">
      <alignment horizontal="center" vertical="center" shrinkToFit="1"/>
    </xf>
    <xf numFmtId="0" fontId="14" fillId="0" borderId="100" xfId="0" applyFont="1" applyFill="1" applyBorder="1" applyAlignment="1" applyProtection="1">
      <alignment horizontal="center" vertical="center" shrinkToFit="1"/>
    </xf>
    <xf numFmtId="0" fontId="14" fillId="0" borderId="85" xfId="0" applyFont="1" applyFill="1" applyBorder="1" applyAlignment="1" applyProtection="1">
      <alignment horizontal="center" vertical="center" shrinkToFit="1"/>
    </xf>
    <xf numFmtId="0" fontId="14" fillId="0" borderId="92" xfId="0" applyFont="1" applyFill="1" applyBorder="1" applyAlignment="1" applyProtection="1">
      <alignment horizontal="center" vertical="center" shrinkToFit="1"/>
    </xf>
    <xf numFmtId="0" fontId="6" fillId="0" borderId="0" xfId="0" applyFont="1" applyBorder="1" applyAlignment="1" applyProtection="1">
      <alignment vertical="center" shrinkToFit="1"/>
    </xf>
    <xf numFmtId="0" fontId="14" fillId="7" borderId="95" xfId="0" applyFont="1" applyFill="1" applyBorder="1" applyAlignment="1" applyProtection="1">
      <alignment horizontal="center" vertical="center" shrinkToFit="1"/>
    </xf>
    <xf numFmtId="177" fontId="14" fillId="7" borderId="104" xfId="0" applyNumberFormat="1" applyFont="1" applyFill="1" applyBorder="1" applyAlignment="1" applyProtection="1">
      <alignment horizontal="center" vertical="center" shrinkToFit="1"/>
    </xf>
    <xf numFmtId="0" fontId="14" fillId="0" borderId="87" xfId="0" applyFont="1" applyFill="1" applyBorder="1" applyAlignment="1" applyProtection="1">
      <alignment horizontal="center" vertical="center" shrinkToFit="1"/>
    </xf>
    <xf numFmtId="0" fontId="58" fillId="0" borderId="0" xfId="5" applyFont="1" applyAlignment="1">
      <alignment wrapText="1"/>
    </xf>
    <xf numFmtId="0" fontId="13" fillId="18" borderId="66" xfId="0" applyFont="1" applyFill="1" applyBorder="1" applyAlignment="1">
      <alignment horizontal="center" vertical="center" shrinkToFit="1"/>
    </xf>
    <xf numFmtId="0" fontId="13" fillId="18" borderId="66" xfId="0" applyFont="1" applyFill="1" applyBorder="1" applyAlignment="1">
      <alignment horizontal="center" vertical="center" wrapText="1" shrinkToFit="1"/>
    </xf>
    <xf numFmtId="0" fontId="13" fillId="0" borderId="0" xfId="0" applyFont="1" applyAlignment="1">
      <alignment vertical="center" wrapText="1" shrinkToFit="1"/>
    </xf>
    <xf numFmtId="0" fontId="61" fillId="0" borderId="1" xfId="0" applyFont="1" applyFill="1" applyBorder="1" applyAlignment="1">
      <alignment vertical="center"/>
    </xf>
    <xf numFmtId="0" fontId="35" fillId="0" borderId="0" xfId="0" applyFont="1" applyBorder="1" applyAlignment="1">
      <alignment vertical="center"/>
    </xf>
    <xf numFmtId="0" fontId="35" fillId="0" borderId="0" xfId="0" applyFont="1" applyAlignment="1">
      <alignment vertical="center"/>
    </xf>
    <xf numFmtId="0" fontId="60" fillId="0" borderId="1" xfId="0" applyFont="1" applyFill="1" applyBorder="1" applyAlignment="1">
      <alignment vertical="center"/>
    </xf>
    <xf numFmtId="0" fontId="13" fillId="0" borderId="15" xfId="0" applyFont="1" applyFill="1" applyBorder="1" applyAlignment="1">
      <alignment horizontal="center" vertical="center" shrinkToFit="1"/>
    </xf>
    <xf numFmtId="186" fontId="13" fillId="5" borderId="15" xfId="0" applyNumberFormat="1" applyFont="1" applyFill="1" applyBorder="1" applyAlignment="1">
      <alignment horizontal="center" vertical="center" shrinkToFit="1"/>
    </xf>
    <xf numFmtId="0" fontId="43" fillId="0" borderId="15" xfId="0" applyFont="1" applyBorder="1" applyAlignment="1">
      <alignment horizontal="right" vertical="center" indent="1" shrinkToFit="1"/>
    </xf>
    <xf numFmtId="0" fontId="13" fillId="0" borderId="15" xfId="0" applyFont="1" applyBorder="1" applyAlignment="1">
      <alignment horizontal="center" vertical="center" shrinkToFit="1"/>
    </xf>
    <xf numFmtId="0" fontId="50" fillId="0" borderId="15" xfId="0" applyFont="1" applyBorder="1" applyAlignment="1">
      <alignment vertical="center"/>
    </xf>
    <xf numFmtId="0" fontId="13" fillId="0" borderId="12" xfId="0" applyFont="1" applyFill="1" applyBorder="1" applyAlignment="1">
      <alignment horizontal="center" vertical="center" shrinkToFit="1"/>
    </xf>
    <xf numFmtId="186" fontId="13" fillId="5" borderId="12" xfId="0" applyNumberFormat="1" applyFont="1" applyFill="1" applyBorder="1" applyAlignment="1">
      <alignment horizontal="center" vertical="center" shrinkToFit="1"/>
    </xf>
    <xf numFmtId="0" fontId="43" fillId="0" borderId="12" xfId="0" applyFont="1" applyBorder="1" applyAlignment="1">
      <alignment horizontal="right" vertical="center" indent="1" shrinkToFit="1"/>
    </xf>
    <xf numFmtId="0" fontId="13" fillId="0" borderId="12" xfId="0" applyFont="1" applyBorder="1" applyAlignment="1">
      <alignment horizontal="center" vertical="center" shrinkToFit="1"/>
    </xf>
    <xf numFmtId="0" fontId="50" fillId="0" borderId="12" xfId="0" applyFont="1" applyBorder="1" applyAlignment="1">
      <alignment vertical="center"/>
    </xf>
    <xf numFmtId="0" fontId="43" fillId="0" borderId="64" xfId="0" applyFont="1" applyBorder="1" applyAlignment="1">
      <alignment horizontal="right" vertical="center" indent="1" shrinkToFit="1"/>
    </xf>
    <xf numFmtId="0" fontId="50" fillId="0" borderId="64" xfId="0" applyFont="1" applyBorder="1" applyAlignment="1">
      <alignment vertical="center"/>
    </xf>
    <xf numFmtId="0" fontId="0" fillId="0" borderId="0" xfId="0" applyFont="1" applyBorder="1" applyAlignment="1" applyProtection="1">
      <alignment vertical="center" shrinkToFit="1"/>
    </xf>
    <xf numFmtId="0" fontId="13" fillId="0" borderId="0" xfId="0" applyFont="1" applyProtection="1">
      <protection locked="0"/>
    </xf>
    <xf numFmtId="0" fontId="15" fillId="0" borderId="0" xfId="0" applyFont="1" applyBorder="1" applyAlignment="1" applyProtection="1">
      <alignment vertical="center"/>
    </xf>
    <xf numFmtId="0" fontId="14" fillId="0" borderId="61" xfId="0" applyFont="1" applyFill="1" applyBorder="1" applyAlignment="1" applyProtection="1">
      <alignment horizontal="right" vertical="center" shrinkToFit="1"/>
    </xf>
    <xf numFmtId="0" fontId="13" fillId="0" borderId="0" xfId="0" applyFont="1" applyFill="1" applyBorder="1" applyAlignment="1" applyProtection="1">
      <alignment horizontal="right" vertical="center" shrinkToFit="1"/>
    </xf>
    <xf numFmtId="0" fontId="6" fillId="18" borderId="27" xfId="0" applyFont="1" applyFill="1" applyBorder="1" applyAlignment="1" applyProtection="1">
      <alignment horizontal="center" vertical="center" shrinkToFit="1"/>
    </xf>
    <xf numFmtId="0" fontId="14" fillId="0" borderId="90" xfId="0" applyFont="1" applyFill="1" applyBorder="1" applyAlignment="1" applyProtection="1">
      <alignment horizontal="center" vertical="center" shrinkToFit="1"/>
    </xf>
    <xf numFmtId="0" fontId="6" fillId="0" borderId="0" xfId="0" applyFont="1" applyFill="1" applyBorder="1" applyAlignment="1" applyProtection="1">
      <alignment vertical="center" shrinkToFit="1"/>
    </xf>
    <xf numFmtId="177" fontId="6" fillId="0" borderId="0" xfId="0" applyNumberFormat="1" applyFont="1" applyFill="1" applyBorder="1" applyAlignment="1" applyProtection="1">
      <alignment horizontal="right" vertical="center" shrinkToFit="1"/>
    </xf>
    <xf numFmtId="0" fontId="17" fillId="0" borderId="0" xfId="0" applyFont="1" applyProtection="1"/>
    <xf numFmtId="0" fontId="13" fillId="0" borderId="0" xfId="0" applyFont="1" applyProtection="1"/>
    <xf numFmtId="0" fontId="26" fillId="0" borderId="0" xfId="0" applyFont="1" applyAlignment="1" applyProtection="1">
      <alignment horizontal="left" vertical="center" shrinkToFit="1"/>
    </xf>
    <xf numFmtId="0" fontId="14" fillId="0" borderId="0" xfId="0" applyFont="1" applyAlignment="1" applyProtection="1">
      <alignment vertical="center"/>
    </xf>
    <xf numFmtId="0" fontId="14" fillId="0" borderId="0" xfId="0" applyFont="1" applyAlignment="1" applyProtection="1">
      <alignment horizontal="center" vertical="center"/>
    </xf>
    <xf numFmtId="38" fontId="14" fillId="0" borderId="0" xfId="1" applyFont="1" applyBorder="1" applyAlignment="1" applyProtection="1">
      <alignment horizontal="right" vertical="center"/>
    </xf>
    <xf numFmtId="38" fontId="14" fillId="0" borderId="0" xfId="1" applyFont="1" applyAlignment="1" applyProtection="1">
      <alignment vertical="center"/>
    </xf>
    <xf numFmtId="38" fontId="14" fillId="0" borderId="0" xfId="1" applyFont="1" applyBorder="1" applyAlignment="1" applyProtection="1">
      <alignment horizontal="center" vertical="center"/>
    </xf>
    <xf numFmtId="0" fontId="13" fillId="0" borderId="0" xfId="0" applyFont="1" applyBorder="1" applyProtection="1"/>
    <xf numFmtId="0" fontId="13" fillId="0" borderId="0" xfId="0" applyFont="1" applyBorder="1" applyProtection="1">
      <protection locked="0"/>
    </xf>
    <xf numFmtId="0" fontId="13" fillId="0" borderId="0" xfId="0" applyFont="1" applyBorder="1" applyAlignment="1" applyProtection="1">
      <alignment horizontal="center" vertical="center"/>
      <protection locked="0"/>
    </xf>
    <xf numFmtId="0" fontId="48" fillId="0" borderId="0" xfId="0" applyFont="1" applyBorder="1" applyProtection="1">
      <protection locked="0"/>
    </xf>
    <xf numFmtId="0" fontId="48" fillId="0" borderId="0" xfId="0" applyFont="1" applyProtection="1">
      <protection locked="0"/>
    </xf>
    <xf numFmtId="0" fontId="13" fillId="0" borderId="0" xfId="0" applyFont="1" applyBorder="1" applyAlignment="1" applyProtection="1">
      <alignment vertical="top" wrapText="1"/>
      <protection locked="0"/>
    </xf>
    <xf numFmtId="0" fontId="0" fillId="5" borderId="0" xfId="0" applyFill="1" applyBorder="1" applyProtection="1">
      <protection locked="0"/>
    </xf>
    <xf numFmtId="0" fontId="55" fillId="0" borderId="0" xfId="0" applyFont="1" applyProtection="1">
      <protection locked="0"/>
    </xf>
    <xf numFmtId="0" fontId="13" fillId="3" borderId="64" xfId="0" applyFont="1" applyFill="1" applyBorder="1" applyAlignment="1" applyProtection="1">
      <alignment horizontal="center" vertical="center" shrinkToFit="1"/>
      <protection locked="0"/>
    </xf>
    <xf numFmtId="0" fontId="13" fillId="3" borderId="65" xfId="0" applyFont="1" applyFill="1" applyBorder="1" applyAlignment="1" applyProtection="1">
      <alignment horizontal="center" vertical="center" shrinkToFit="1"/>
      <protection locked="0"/>
    </xf>
    <xf numFmtId="0" fontId="13" fillId="3" borderId="66" xfId="0" applyFont="1" applyFill="1" applyBorder="1" applyAlignment="1" applyProtection="1">
      <alignment horizontal="center" vertical="center" shrinkToFit="1"/>
      <protection locked="0"/>
    </xf>
    <xf numFmtId="0" fontId="13" fillId="3" borderId="15" xfId="0" applyFont="1" applyFill="1" applyBorder="1" applyAlignment="1" applyProtection="1">
      <alignment horizontal="center" vertical="center" shrinkToFit="1"/>
      <protection locked="0"/>
    </xf>
    <xf numFmtId="0" fontId="13" fillId="3" borderId="12" xfId="0" applyFont="1" applyFill="1" applyBorder="1" applyAlignment="1" applyProtection="1">
      <alignment horizontal="center" vertical="center" shrinkToFit="1"/>
      <protection locked="0"/>
    </xf>
    <xf numFmtId="0" fontId="13" fillId="6" borderId="64" xfId="0" applyFont="1" applyFill="1" applyBorder="1" applyAlignment="1" applyProtection="1">
      <alignment horizontal="center" vertical="center" shrinkToFit="1"/>
      <protection locked="0"/>
    </xf>
    <xf numFmtId="0" fontId="13" fillId="6" borderId="7" xfId="0" applyFont="1" applyFill="1" applyBorder="1" applyAlignment="1" applyProtection="1">
      <alignment horizontal="center" vertical="center" shrinkToFit="1"/>
      <protection locked="0"/>
    </xf>
    <xf numFmtId="38" fontId="13" fillId="0" borderId="0" xfId="1" applyFont="1" applyAlignment="1" applyProtection="1">
      <alignment horizontal="right" indent="1"/>
    </xf>
    <xf numFmtId="0" fontId="13" fillId="0" borderId="0" xfId="0" applyFont="1" applyAlignment="1" applyProtection="1">
      <alignment vertical="center" shrinkToFit="1"/>
    </xf>
    <xf numFmtId="0" fontId="27" fillId="0" borderId="0" xfId="0" applyFont="1" applyAlignment="1" applyProtection="1">
      <alignment vertical="center" shrinkToFit="1"/>
    </xf>
    <xf numFmtId="38" fontId="27" fillId="0" borderId="0" xfId="1" applyFont="1" applyAlignment="1" applyProtection="1">
      <alignment horizontal="right" vertical="center" indent="1" shrinkToFit="1"/>
    </xf>
    <xf numFmtId="0" fontId="42" fillId="18" borderId="66" xfId="0" applyFont="1" applyFill="1" applyBorder="1" applyAlignment="1" applyProtection="1">
      <alignment horizontal="center" vertical="center" wrapText="1"/>
    </xf>
    <xf numFmtId="186" fontId="13" fillId="5" borderId="64" xfId="0" applyNumberFormat="1" applyFont="1" applyFill="1" applyBorder="1" applyAlignment="1" applyProtection="1">
      <alignment horizontal="center" vertical="center" shrinkToFit="1"/>
    </xf>
    <xf numFmtId="0" fontId="13" fillId="0" borderId="64" xfId="0" applyFont="1" applyBorder="1" applyAlignment="1" applyProtection="1">
      <alignment horizontal="right" vertical="center" indent="1" shrinkToFit="1"/>
    </xf>
    <xf numFmtId="38" fontId="13" fillId="0" borderId="64" xfId="1" applyFont="1" applyBorder="1" applyAlignment="1" applyProtection="1">
      <alignment horizontal="right" vertical="center" indent="1" shrinkToFit="1"/>
    </xf>
    <xf numFmtId="0" fontId="43" fillId="0" borderId="64" xfId="0" applyFont="1" applyBorder="1" applyAlignment="1" applyProtection="1">
      <alignment horizontal="center" vertical="center"/>
    </xf>
    <xf numFmtId="0" fontId="44" fillId="0" borderId="64" xfId="0" applyFont="1" applyBorder="1" applyAlignment="1" applyProtection="1">
      <alignment horizontal="center" vertical="center"/>
    </xf>
    <xf numFmtId="0" fontId="28" fillId="0" borderId="64" xfId="0" applyFont="1" applyBorder="1" applyAlignment="1" applyProtection="1">
      <alignment horizontal="center" vertical="center"/>
    </xf>
    <xf numFmtId="186" fontId="13" fillId="5" borderId="65" xfId="0" applyNumberFormat="1" applyFont="1" applyFill="1" applyBorder="1" applyAlignment="1" applyProtection="1">
      <alignment horizontal="center" vertical="center" shrinkToFit="1"/>
    </xf>
    <xf numFmtId="0" fontId="13" fillId="0" borderId="65" xfId="0" applyFont="1" applyBorder="1" applyAlignment="1" applyProtection="1">
      <alignment horizontal="right" vertical="center" indent="1" shrinkToFit="1"/>
    </xf>
    <xf numFmtId="0" fontId="13" fillId="0" borderId="65" xfId="0" applyFont="1" applyBorder="1" applyAlignment="1" applyProtection="1">
      <alignment horizontal="center" vertical="center" shrinkToFit="1"/>
    </xf>
    <xf numFmtId="0" fontId="44" fillId="0" borderId="65" xfId="0" applyFont="1" applyBorder="1" applyAlignment="1" applyProtection="1">
      <alignment horizontal="center" vertical="center"/>
    </xf>
    <xf numFmtId="38" fontId="13" fillId="0" borderId="65" xfId="1" applyFont="1" applyBorder="1" applyAlignment="1" applyProtection="1">
      <alignment horizontal="right" vertical="center" indent="1" shrinkToFit="1"/>
    </xf>
    <xf numFmtId="0" fontId="13" fillId="5" borderId="0" xfId="0" applyFont="1" applyFill="1" applyBorder="1" applyAlignment="1" applyProtection="1">
      <alignment horizontal="center" vertical="center" shrinkToFit="1"/>
    </xf>
    <xf numFmtId="0" fontId="42" fillId="5" borderId="0" xfId="0" applyFont="1" applyFill="1" applyBorder="1" applyAlignment="1" applyProtection="1">
      <alignment horizontal="center" vertical="center" shrinkToFit="1"/>
    </xf>
    <xf numFmtId="0" fontId="42" fillId="5" borderId="0" xfId="0" applyFont="1" applyFill="1" applyBorder="1" applyAlignment="1" applyProtection="1">
      <alignment vertical="center" shrinkToFit="1"/>
    </xf>
    <xf numFmtId="0" fontId="44" fillId="5"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shrinkToFit="1"/>
    </xf>
    <xf numFmtId="38" fontId="13" fillId="5" borderId="0" xfId="1" applyFont="1" applyFill="1" applyBorder="1" applyAlignment="1" applyProtection="1">
      <alignment horizontal="right" vertical="center" indent="1" shrinkToFit="1"/>
    </xf>
    <xf numFmtId="0" fontId="13" fillId="0" borderId="66" xfId="0" applyFont="1" applyFill="1" applyBorder="1" applyAlignment="1" applyProtection="1">
      <alignment horizontal="center" vertical="center" shrinkToFit="1"/>
    </xf>
    <xf numFmtId="186" fontId="13" fillId="0" borderId="66" xfId="0" applyNumberFormat="1" applyFont="1" applyBorder="1" applyAlignment="1" applyProtection="1">
      <alignment horizontal="center" vertical="center" shrinkToFit="1"/>
    </xf>
    <xf numFmtId="0" fontId="13" fillId="0" borderId="66" xfId="0" applyFont="1" applyBorder="1" applyAlignment="1" applyProtection="1">
      <alignment horizontal="right" vertical="center" indent="1" shrinkToFit="1"/>
    </xf>
    <xf numFmtId="0" fontId="13" fillId="0" borderId="66" xfId="0" applyFont="1" applyBorder="1" applyAlignment="1" applyProtection="1">
      <alignment horizontal="center" vertical="center" shrinkToFit="1"/>
    </xf>
    <xf numFmtId="0" fontId="44" fillId="0" borderId="66" xfId="0" applyFont="1" applyBorder="1" applyAlignment="1" applyProtection="1">
      <alignment horizontal="center" vertical="center"/>
    </xf>
    <xf numFmtId="0" fontId="13" fillId="5" borderId="64" xfId="0" applyFont="1" applyFill="1" applyBorder="1" applyAlignment="1" applyProtection="1">
      <alignment horizontal="right" vertical="center" indent="1" shrinkToFit="1"/>
    </xf>
    <xf numFmtId="0" fontId="43" fillId="0" borderId="64" xfId="0" applyFont="1" applyBorder="1" applyAlignment="1" applyProtection="1">
      <alignment horizontal="center" vertical="center" shrinkToFit="1"/>
    </xf>
    <xf numFmtId="178" fontId="13" fillId="5" borderId="64" xfId="0" applyNumberFormat="1" applyFont="1" applyFill="1" applyBorder="1" applyAlignment="1" applyProtection="1">
      <alignment horizontal="center" vertical="center" shrinkToFit="1"/>
    </xf>
    <xf numFmtId="0" fontId="28" fillId="0" borderId="64" xfId="0" applyFont="1" applyBorder="1" applyAlignment="1" applyProtection="1">
      <alignment horizontal="center" vertical="center" shrinkToFit="1"/>
    </xf>
    <xf numFmtId="38" fontId="13" fillId="5" borderId="64" xfId="1" applyFont="1" applyFill="1" applyBorder="1" applyAlignment="1" applyProtection="1">
      <alignment horizontal="right" vertical="center" indent="1" shrinkToFit="1"/>
    </xf>
    <xf numFmtId="0" fontId="28" fillId="0" borderId="64" xfId="0" applyFont="1" applyBorder="1" applyAlignment="1" applyProtection="1">
      <alignment vertical="center" shrinkToFit="1"/>
    </xf>
    <xf numFmtId="0" fontId="13" fillId="0" borderId="0" xfId="0" applyFont="1" applyBorder="1" applyAlignment="1" applyProtection="1">
      <alignment vertical="center" shrinkToFit="1"/>
    </xf>
    <xf numFmtId="0" fontId="28" fillId="0" borderId="65" xfId="0" applyFont="1" applyBorder="1" applyAlignment="1" applyProtection="1">
      <alignment vertical="center" shrinkToFit="1"/>
    </xf>
    <xf numFmtId="38" fontId="13" fillId="5" borderId="65" xfId="1" applyFont="1" applyFill="1" applyBorder="1" applyAlignment="1" applyProtection="1">
      <alignment horizontal="right" vertical="center" indent="1" shrinkToFit="1"/>
    </xf>
    <xf numFmtId="0" fontId="60" fillId="0" borderId="1" xfId="0" applyFont="1" applyFill="1" applyBorder="1" applyAlignment="1" applyProtection="1">
      <alignment vertical="center"/>
    </xf>
    <xf numFmtId="0" fontId="57" fillId="0" borderId="1" xfId="0" applyFont="1" applyFill="1" applyBorder="1" applyAlignment="1" applyProtection="1">
      <alignment vertical="center" shrinkToFit="1"/>
    </xf>
    <xf numFmtId="0" fontId="35" fillId="0" borderId="0" xfId="0" applyFont="1" applyBorder="1" applyAlignment="1" applyProtection="1">
      <alignment vertical="center" shrinkToFit="1"/>
    </xf>
    <xf numFmtId="0" fontId="35" fillId="0" borderId="0" xfId="0" applyFont="1" applyAlignment="1" applyProtection="1">
      <alignment vertical="center" shrinkToFit="1"/>
    </xf>
    <xf numFmtId="38" fontId="13" fillId="0" borderId="15" xfId="1" applyFont="1" applyBorder="1" applyAlignment="1" applyProtection="1">
      <alignment horizontal="right" vertical="center" indent="1" shrinkToFit="1"/>
    </xf>
    <xf numFmtId="0" fontId="43" fillId="0" borderId="64" xfId="0" applyFont="1" applyBorder="1" applyAlignment="1" applyProtection="1">
      <alignment horizontal="right" vertical="center" indent="1" shrinkToFit="1"/>
    </xf>
    <xf numFmtId="0" fontId="50" fillId="0" borderId="64" xfId="0" applyFont="1" applyBorder="1" applyAlignment="1" applyProtection="1">
      <alignment vertical="center"/>
    </xf>
    <xf numFmtId="38" fontId="13" fillId="0" borderId="12" xfId="1" applyFont="1" applyBorder="1" applyAlignment="1" applyProtection="1">
      <alignment horizontal="right" vertical="center" indent="1" shrinkToFit="1"/>
    </xf>
    <xf numFmtId="38" fontId="13" fillId="0" borderId="0" xfId="1" applyFont="1" applyAlignment="1" applyProtection="1">
      <alignment horizontal="right" vertical="center" indent="1" shrinkToFit="1"/>
    </xf>
    <xf numFmtId="0" fontId="26" fillId="0" borderId="0" xfId="0" applyFont="1" applyAlignment="1" applyProtection="1">
      <alignment vertical="center" shrinkToFit="1"/>
    </xf>
    <xf numFmtId="0" fontId="26" fillId="0" borderId="0" xfId="0" applyFont="1" applyAlignment="1" applyProtection="1">
      <alignment horizontal="right" vertical="center" shrinkToFit="1"/>
    </xf>
    <xf numFmtId="0" fontId="13" fillId="18" borderId="66" xfId="0" applyFont="1" applyFill="1" applyBorder="1" applyAlignment="1" applyProtection="1">
      <alignment horizontal="center" vertical="center" wrapText="1" shrinkToFit="1"/>
    </xf>
    <xf numFmtId="0" fontId="13" fillId="0" borderId="66" xfId="0" applyFont="1" applyBorder="1" applyAlignment="1" applyProtection="1">
      <alignment horizontal="center" vertical="center" wrapText="1"/>
    </xf>
    <xf numFmtId="38" fontId="13" fillId="18" borderId="66" xfId="1" applyFont="1" applyFill="1" applyBorder="1" applyAlignment="1" applyProtection="1">
      <alignment horizontal="right" vertical="center" wrapText="1" indent="1" shrinkToFit="1"/>
    </xf>
    <xf numFmtId="0" fontId="44" fillId="0" borderId="64" xfId="0" applyFont="1" applyBorder="1" applyAlignment="1" applyProtection="1">
      <alignment vertical="center"/>
    </xf>
    <xf numFmtId="186" fontId="13" fillId="0" borderId="64" xfId="0" applyNumberFormat="1" applyFont="1" applyBorder="1" applyAlignment="1" applyProtection="1">
      <alignment horizontal="center" vertical="center" shrinkToFit="1"/>
    </xf>
    <xf numFmtId="38" fontId="13" fillId="0" borderId="0" xfId="1" applyFont="1" applyBorder="1" applyAlignment="1" applyProtection="1">
      <alignment horizontal="right" vertical="center" indent="1" shrinkToFit="1"/>
    </xf>
    <xf numFmtId="0" fontId="47" fillId="0" borderId="64" xfId="0" applyFont="1" applyBorder="1" applyAlignment="1" applyProtection="1">
      <alignment horizontal="center" vertical="center"/>
    </xf>
    <xf numFmtId="186" fontId="13" fillId="0" borderId="65" xfId="0" applyNumberFormat="1" applyFont="1" applyBorder="1" applyAlignment="1" applyProtection="1">
      <alignment horizontal="center" vertical="center" shrinkToFit="1"/>
    </xf>
    <xf numFmtId="177" fontId="13" fillId="0" borderId="0" xfId="0" applyNumberFormat="1" applyFont="1" applyAlignment="1" applyProtection="1">
      <alignment horizontal="right" vertical="center" shrinkToFit="1"/>
    </xf>
    <xf numFmtId="0" fontId="13" fillId="0" borderId="0" xfId="0" applyFont="1" applyFill="1" applyBorder="1" applyAlignment="1" applyProtection="1">
      <alignment vertical="center" shrinkToFit="1"/>
    </xf>
    <xf numFmtId="177" fontId="46" fillId="0" borderId="0" xfId="0" applyNumberFormat="1" applyFont="1" applyBorder="1" applyAlignment="1" applyProtection="1">
      <alignment vertical="center" shrinkToFit="1"/>
    </xf>
    <xf numFmtId="38" fontId="13" fillId="0" borderId="0" xfId="1" applyFont="1" applyFill="1" applyAlignment="1" applyProtection="1">
      <alignment horizontal="right" indent="1"/>
    </xf>
    <xf numFmtId="38" fontId="27" fillId="0" borderId="0" xfId="1" applyFont="1" applyFill="1" applyAlignment="1" applyProtection="1">
      <alignment horizontal="right" vertical="center" indent="1" shrinkToFit="1"/>
    </xf>
    <xf numFmtId="38" fontId="13" fillId="0" borderId="0" xfId="1" applyFont="1" applyFill="1" applyBorder="1" applyAlignment="1" applyProtection="1">
      <alignment horizontal="right" vertical="center" wrapText="1" indent="1" shrinkToFit="1"/>
    </xf>
    <xf numFmtId="38" fontId="13" fillId="0" borderId="0" xfId="1" applyFont="1" applyFill="1" applyBorder="1" applyAlignment="1" applyProtection="1">
      <alignment horizontal="right" vertical="center" indent="1" shrinkToFit="1"/>
    </xf>
    <xf numFmtId="0" fontId="13" fillId="5" borderId="0" xfId="0" applyFont="1" applyFill="1" applyBorder="1" applyAlignment="1" applyProtection="1">
      <alignment vertical="center" shrinkToFit="1"/>
    </xf>
    <xf numFmtId="38" fontId="13" fillId="7" borderId="64" xfId="1" applyFont="1" applyFill="1" applyBorder="1" applyAlignment="1" applyProtection="1">
      <alignment horizontal="right" vertical="center" indent="1" shrinkToFit="1"/>
    </xf>
    <xf numFmtId="38" fontId="13" fillId="0" borderId="0" xfId="1" applyFont="1" applyFill="1" applyAlignment="1" applyProtection="1">
      <alignment horizontal="right" vertical="center" indent="1" shrinkToFit="1"/>
    </xf>
    <xf numFmtId="177" fontId="46" fillId="0" borderId="0" xfId="0" applyNumberFormat="1" applyFont="1" applyFill="1" applyBorder="1" applyAlignment="1" applyProtection="1">
      <alignment horizontal="center" vertical="center" shrinkToFit="1"/>
    </xf>
    <xf numFmtId="0" fontId="26" fillId="0" borderId="0" xfId="0" applyFont="1" applyFill="1" applyAlignment="1" applyProtection="1">
      <alignment horizontal="right" vertical="center" shrinkToFit="1"/>
    </xf>
    <xf numFmtId="0" fontId="13" fillId="5" borderId="65" xfId="0" applyFont="1" applyFill="1" applyBorder="1" applyAlignment="1" applyProtection="1">
      <alignment horizontal="center" vertical="center" shrinkToFit="1"/>
    </xf>
    <xf numFmtId="0" fontId="23" fillId="0" borderId="0" xfId="0" applyFont="1" applyAlignment="1" applyProtection="1">
      <alignment vertical="center"/>
    </xf>
    <xf numFmtId="0" fontId="23" fillId="0" borderId="0" xfId="0" applyFont="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0" xfId="0" applyFont="1" applyAlignment="1" applyProtection="1">
      <alignment horizontal="center" vertical="center"/>
    </xf>
    <xf numFmtId="0" fontId="64" fillId="0" borderId="0" xfId="0" applyFont="1" applyBorder="1" applyAlignment="1" applyProtection="1">
      <alignment vertical="center"/>
    </xf>
    <xf numFmtId="0" fontId="30"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64"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0" xfId="0" applyFont="1" applyBorder="1" applyAlignment="1" applyProtection="1">
      <alignment vertical="center"/>
    </xf>
    <xf numFmtId="0" fontId="13" fillId="0" borderId="0" xfId="0" applyFont="1" applyBorder="1" applyAlignment="1" applyProtection="1">
      <alignment horizontal="right"/>
    </xf>
    <xf numFmtId="38" fontId="46" fillId="0" borderId="0" xfId="1" applyFont="1" applyFill="1" applyBorder="1" applyAlignment="1" applyProtection="1">
      <alignment vertical="center"/>
    </xf>
    <xf numFmtId="38" fontId="46" fillId="0" borderId="0" xfId="1" applyFont="1" applyFill="1" applyBorder="1" applyAlignment="1" applyProtection="1">
      <alignment horizontal="center" vertical="center"/>
    </xf>
    <xf numFmtId="0" fontId="30" fillId="0" borderId="0" xfId="0" applyFont="1" applyFill="1" applyBorder="1" applyAlignment="1" applyProtection="1">
      <alignment vertical="center"/>
    </xf>
    <xf numFmtId="180" fontId="48" fillId="0" borderId="0" xfId="0" applyNumberFormat="1" applyFont="1" applyFill="1" applyBorder="1" applyAlignment="1" applyProtection="1">
      <alignment horizontal="center" vertical="center"/>
    </xf>
    <xf numFmtId="0" fontId="13" fillId="0" borderId="0" xfId="0" applyFont="1" applyBorder="1" applyAlignment="1" applyProtection="1">
      <alignment horizontal="left" vertical="center"/>
    </xf>
    <xf numFmtId="0" fontId="13" fillId="0" borderId="0" xfId="6" applyFont="1" applyFill="1" applyBorder="1" applyAlignment="1" applyProtection="1">
      <alignment horizontal="center" vertical="center"/>
    </xf>
    <xf numFmtId="0" fontId="13" fillId="0" borderId="0" xfId="0" applyFont="1" applyAlignment="1" applyProtection="1">
      <alignment vertical="center"/>
    </xf>
    <xf numFmtId="0" fontId="28" fillId="0" borderId="0" xfId="0" applyFont="1" applyAlignment="1" applyProtection="1">
      <protection locked="0"/>
    </xf>
    <xf numFmtId="0" fontId="66" fillId="18" borderId="48" xfId="3" applyFont="1" applyFill="1" applyBorder="1" applyAlignment="1" applyProtection="1">
      <alignment vertical="center"/>
    </xf>
    <xf numFmtId="0" fontId="66" fillId="18" borderId="50" xfId="3" applyFont="1" applyFill="1" applyBorder="1" applyAlignment="1" applyProtection="1">
      <alignment horizontal="center" vertical="center"/>
    </xf>
    <xf numFmtId="0" fontId="66" fillId="5" borderId="7" xfId="3" applyFont="1" applyFill="1" applyBorder="1" applyAlignment="1" applyProtection="1">
      <alignment horizontal="center" vertical="center"/>
    </xf>
    <xf numFmtId="179" fontId="42" fillId="0" borderId="0" xfId="3" applyNumberFormat="1" applyFont="1" applyFill="1" applyBorder="1" applyAlignment="1" applyProtection="1">
      <alignment vertical="center"/>
    </xf>
    <xf numFmtId="0" fontId="66" fillId="0" borderId="0" xfId="3" applyFont="1" applyFill="1" applyBorder="1" applyAlignment="1" applyProtection="1">
      <alignment horizontal="center" vertical="center"/>
    </xf>
    <xf numFmtId="0" fontId="42" fillId="0" borderId="0" xfId="3" applyFont="1" applyFill="1" applyBorder="1" applyAlignment="1" applyProtection="1">
      <alignment vertical="center"/>
    </xf>
    <xf numFmtId="0" fontId="66" fillId="0" borderId="0" xfId="3" applyFont="1" applyFill="1" applyBorder="1" applyAlignment="1" applyProtection="1">
      <alignment vertical="center"/>
    </xf>
    <xf numFmtId="0" fontId="67" fillId="0" borderId="0" xfId="3" applyFont="1" applyFill="1" applyBorder="1" applyAlignment="1" applyProtection="1">
      <alignment vertical="center"/>
    </xf>
    <xf numFmtId="49" fontId="42" fillId="0" borderId="25" xfId="3" applyNumberFormat="1" applyFont="1" applyFill="1" applyBorder="1" applyAlignment="1" applyProtection="1">
      <alignment horizontal="right" vertical="center"/>
    </xf>
    <xf numFmtId="0" fontId="42" fillId="0" borderId="37" xfId="3" applyFont="1" applyBorder="1" applyAlignment="1" applyProtection="1">
      <alignment vertical="center"/>
    </xf>
    <xf numFmtId="37" fontId="42" fillId="0" borderId="38" xfId="3" applyNumberFormat="1" applyFont="1" applyBorder="1" applyAlignment="1" applyProtection="1">
      <alignment vertical="center"/>
    </xf>
    <xf numFmtId="37" fontId="42" fillId="0" borderId="39" xfId="3" applyNumberFormat="1" applyFont="1" applyBorder="1" applyAlignment="1" applyProtection="1">
      <alignment vertical="center"/>
    </xf>
    <xf numFmtId="37" fontId="42" fillId="0" borderId="40" xfId="3" applyNumberFormat="1" applyFont="1" applyBorder="1" applyAlignment="1" applyProtection="1">
      <alignment vertical="center"/>
    </xf>
    <xf numFmtId="0" fontId="42" fillId="0" borderId="80" xfId="3" applyFont="1" applyBorder="1" applyAlignment="1" applyProtection="1">
      <alignment vertical="center"/>
    </xf>
    <xf numFmtId="0" fontId="42" fillId="0" borderId="81" xfId="3" applyFont="1" applyBorder="1" applyAlignment="1" applyProtection="1">
      <alignment vertical="center"/>
    </xf>
    <xf numFmtId="37" fontId="42" fillId="0" borderId="82" xfId="3" applyNumberFormat="1" applyFont="1" applyBorder="1" applyAlignment="1" applyProtection="1">
      <alignment vertical="center"/>
    </xf>
    <xf numFmtId="37" fontId="42" fillId="0" borderId="83" xfId="3" applyNumberFormat="1" applyFont="1" applyBorder="1" applyAlignment="1" applyProtection="1">
      <alignment vertical="center"/>
    </xf>
    <xf numFmtId="0" fontId="42" fillId="0" borderId="42" xfId="3" applyFont="1" applyBorder="1" applyAlignment="1" applyProtection="1">
      <alignment horizontal="center" vertical="center"/>
    </xf>
    <xf numFmtId="0" fontId="42" fillId="0" borderId="43" xfId="3" applyFont="1" applyBorder="1" applyAlignment="1" applyProtection="1">
      <alignment vertical="center"/>
    </xf>
    <xf numFmtId="37" fontId="42" fillId="0" borderId="44" xfId="3" applyNumberFormat="1" applyFont="1" applyBorder="1" applyAlignment="1" applyProtection="1">
      <alignment vertical="center"/>
    </xf>
    <xf numFmtId="0" fontId="42" fillId="0" borderId="45" xfId="3" applyFont="1" applyBorder="1" applyAlignment="1" applyProtection="1">
      <alignment vertical="center"/>
    </xf>
    <xf numFmtId="0" fontId="13" fillId="14" borderId="85" xfId="0" applyFont="1" applyFill="1" applyBorder="1" applyAlignment="1" applyProtection="1">
      <alignment horizontal="right" vertical="center" shrinkToFit="1"/>
      <protection locked="0"/>
    </xf>
    <xf numFmtId="0" fontId="13" fillId="14" borderId="120" xfId="0" applyFont="1" applyFill="1" applyBorder="1" applyAlignment="1" applyProtection="1">
      <alignment horizontal="right" vertical="center" shrinkToFit="1"/>
      <protection locked="0"/>
    </xf>
    <xf numFmtId="0" fontId="13" fillId="14" borderId="100" xfId="0" applyFont="1" applyFill="1" applyBorder="1" applyAlignment="1" applyProtection="1">
      <alignment horizontal="right" vertical="center" shrinkToFit="1"/>
      <protection locked="0"/>
    </xf>
    <xf numFmtId="0" fontId="13" fillId="0" borderId="125" xfId="0" applyFont="1" applyFill="1" applyBorder="1" applyAlignment="1" applyProtection="1">
      <alignment horizontal="center" vertical="center" shrinkToFit="1"/>
    </xf>
    <xf numFmtId="0" fontId="13" fillId="0" borderId="126" xfId="0" applyFont="1" applyFill="1" applyBorder="1" applyAlignment="1" applyProtection="1">
      <alignment horizontal="center" vertical="center" shrinkToFit="1"/>
    </xf>
    <xf numFmtId="0" fontId="43" fillId="0" borderId="1" xfId="0" applyFont="1" applyFill="1" applyBorder="1" applyAlignment="1" applyProtection="1">
      <alignment vertical="center" shrinkToFit="1"/>
    </xf>
    <xf numFmtId="0" fontId="14" fillId="18" borderId="102" xfId="0" applyFont="1" applyFill="1" applyBorder="1" applyAlignment="1" applyProtection="1">
      <alignment vertical="center"/>
    </xf>
    <xf numFmtId="0" fontId="14" fillId="18" borderId="67" xfId="0" applyFont="1" applyFill="1" applyBorder="1" applyAlignment="1" applyProtection="1">
      <alignment vertical="center"/>
    </xf>
    <xf numFmtId="0" fontId="17" fillId="0" borderId="0" xfId="0" applyFont="1" applyAlignment="1" applyProtection="1">
      <alignment vertical="center"/>
    </xf>
    <xf numFmtId="0" fontId="30" fillId="16" borderId="0" xfId="0" applyFont="1" applyFill="1" applyAlignment="1" applyProtection="1">
      <alignment vertical="center"/>
    </xf>
    <xf numFmtId="0" fontId="16" fillId="16" borderId="0" xfId="0" applyFont="1" applyFill="1" applyAlignment="1" applyProtection="1">
      <alignment vertical="center"/>
    </xf>
    <xf numFmtId="0" fontId="14" fillId="16" borderId="0" xfId="0" applyFont="1" applyFill="1" applyAlignment="1" applyProtection="1">
      <alignment vertical="center"/>
    </xf>
    <xf numFmtId="0" fontId="13" fillId="0" borderId="0" xfId="0" applyFont="1" applyFill="1" applyAlignment="1" applyProtection="1">
      <alignment vertical="center"/>
    </xf>
    <xf numFmtId="0" fontId="18" fillId="0" borderId="0" xfId="0" applyFont="1" applyAlignment="1" applyProtection="1">
      <alignment vertical="center"/>
    </xf>
    <xf numFmtId="0" fontId="13" fillId="0" borderId="7" xfId="0" applyFont="1" applyBorder="1" applyAlignment="1" applyProtection="1">
      <alignment vertical="center"/>
    </xf>
    <xf numFmtId="0" fontId="18" fillId="0" borderId="0" xfId="0" applyFont="1" applyBorder="1" applyAlignment="1" applyProtection="1">
      <alignment vertical="center"/>
    </xf>
    <xf numFmtId="0" fontId="62" fillId="0" borderId="0" xfId="0" applyFont="1" applyAlignment="1" applyProtection="1">
      <alignment vertical="center"/>
    </xf>
    <xf numFmtId="0" fontId="14" fillId="0" borderId="0" xfId="0" applyFont="1" applyBorder="1" applyAlignment="1" applyProtection="1">
      <alignment vertical="center"/>
    </xf>
    <xf numFmtId="0" fontId="17" fillId="0" borderId="0" xfId="0" applyFont="1" applyFill="1" applyBorder="1" applyAlignment="1" applyProtection="1">
      <alignment horizontal="right" vertical="center" shrinkToFit="1"/>
    </xf>
    <xf numFmtId="0" fontId="27" fillId="18" borderId="51" xfId="0" applyFont="1" applyFill="1" applyBorder="1" applyAlignment="1" applyProtection="1">
      <alignment vertical="center"/>
    </xf>
    <xf numFmtId="0" fontId="14" fillId="18" borderId="27" xfId="0" applyFont="1" applyFill="1" applyBorder="1" applyAlignment="1" applyProtection="1">
      <alignment vertical="center"/>
    </xf>
    <xf numFmtId="0" fontId="14" fillId="18" borderId="36" xfId="0" applyFont="1" applyFill="1" applyBorder="1" applyAlignment="1" applyProtection="1">
      <alignment vertical="center"/>
    </xf>
    <xf numFmtId="0" fontId="14" fillId="18" borderId="34" xfId="0" applyFont="1" applyFill="1" applyBorder="1" applyAlignment="1" applyProtection="1">
      <alignment vertical="center"/>
    </xf>
    <xf numFmtId="0" fontId="14" fillId="0" borderId="52" xfId="0" applyFont="1" applyBorder="1" applyAlignment="1" applyProtection="1">
      <alignment vertical="center"/>
    </xf>
    <xf numFmtId="0" fontId="16" fillId="16" borderId="28" xfId="0" applyFont="1" applyFill="1" applyBorder="1" applyAlignment="1" applyProtection="1">
      <alignment vertical="center"/>
    </xf>
    <xf numFmtId="0" fontId="16" fillId="16" borderId="29" xfId="0" applyFont="1" applyFill="1" applyBorder="1" applyAlignment="1" applyProtection="1">
      <alignment vertical="center"/>
    </xf>
    <xf numFmtId="0" fontId="16" fillId="16" borderId="30" xfId="0" applyFont="1" applyFill="1" applyBorder="1" applyAlignment="1" applyProtection="1">
      <alignment vertical="center"/>
    </xf>
    <xf numFmtId="0" fontId="20" fillId="0" borderId="0" xfId="0" applyFont="1" applyBorder="1" applyAlignment="1" applyProtection="1">
      <alignment horizontal="center" vertical="center"/>
    </xf>
    <xf numFmtId="184" fontId="14" fillId="0" borderId="0" xfId="1" applyNumberFormat="1" applyFont="1" applyFill="1" applyBorder="1" applyAlignment="1" applyProtection="1">
      <alignment vertical="center"/>
    </xf>
    <xf numFmtId="0" fontId="14" fillId="0" borderId="63" xfId="0" applyFont="1" applyBorder="1" applyAlignment="1" applyProtection="1">
      <alignment vertical="center"/>
    </xf>
    <xf numFmtId="0" fontId="14" fillId="0" borderId="35" xfId="0" applyFont="1" applyBorder="1" applyAlignment="1" applyProtection="1">
      <alignment vertical="center"/>
    </xf>
    <xf numFmtId="184" fontId="14" fillId="0" borderId="35" xfId="1" applyNumberFormat="1" applyFont="1" applyFill="1" applyBorder="1" applyAlignment="1" applyProtection="1">
      <alignment vertical="center"/>
    </xf>
    <xf numFmtId="184" fontId="14" fillId="14" borderId="0" xfId="1" applyNumberFormat="1" applyFont="1" applyFill="1" applyBorder="1" applyAlignment="1" applyProtection="1">
      <alignment vertical="center"/>
      <protection locked="0"/>
    </xf>
    <xf numFmtId="179" fontId="14" fillId="0" borderId="63" xfId="2" applyNumberFormat="1" applyFont="1" applyBorder="1" applyAlignment="1" applyProtection="1">
      <alignment horizontal="center" vertical="center"/>
    </xf>
    <xf numFmtId="0" fontId="14" fillId="7" borderId="91" xfId="0" applyFont="1" applyFill="1" applyBorder="1" applyAlignment="1" applyProtection="1">
      <alignment vertical="center" shrinkToFit="1"/>
    </xf>
    <xf numFmtId="0" fontId="14" fillId="7" borderId="7" xfId="0" applyFont="1" applyFill="1" applyBorder="1" applyAlignment="1" applyProtection="1">
      <alignment vertical="center" shrinkToFit="1"/>
    </xf>
    <xf numFmtId="38" fontId="14" fillId="14" borderId="101" xfId="1" applyFont="1" applyFill="1" applyBorder="1" applyAlignment="1" applyProtection="1">
      <alignment horizontal="right" vertical="center"/>
      <protection locked="0"/>
    </xf>
    <xf numFmtId="38" fontId="14" fillId="0" borderId="96" xfId="1" applyFont="1" applyFill="1" applyBorder="1" applyAlignment="1" applyProtection="1">
      <alignment horizontal="right" vertical="center" wrapText="1" shrinkToFit="1"/>
    </xf>
    <xf numFmtId="38" fontId="14" fillId="0" borderId="98" xfId="1" applyFont="1" applyBorder="1" applyAlignment="1" applyProtection="1">
      <alignment horizontal="right" vertical="center"/>
    </xf>
    <xf numFmtId="38" fontId="14" fillId="0" borderId="105" xfId="1" applyFont="1" applyFill="1" applyBorder="1" applyAlignment="1" applyProtection="1">
      <alignment horizontal="right" vertical="center" shrinkToFit="1"/>
    </xf>
    <xf numFmtId="38" fontId="13" fillId="0" borderId="0" xfId="1" applyFont="1" applyAlignment="1" applyProtection="1">
      <alignment vertical="center"/>
    </xf>
    <xf numFmtId="38" fontId="14" fillId="14" borderId="86" xfId="1" applyFont="1" applyFill="1" applyBorder="1" applyAlignment="1" applyProtection="1">
      <alignment horizontal="right" vertical="center"/>
      <protection locked="0"/>
    </xf>
    <xf numFmtId="38" fontId="14" fillId="0" borderId="53" xfId="1" applyFont="1" applyFill="1" applyBorder="1" applyAlignment="1" applyProtection="1">
      <alignment horizontal="right" vertical="center" wrapText="1" shrinkToFit="1"/>
    </xf>
    <xf numFmtId="38" fontId="14" fillId="0" borderId="64" xfId="1" applyFont="1" applyBorder="1" applyAlignment="1" applyProtection="1">
      <alignment horizontal="right" vertical="center"/>
    </xf>
    <xf numFmtId="38" fontId="14" fillId="0" borderId="106" xfId="1" applyFont="1" applyFill="1" applyBorder="1" applyAlignment="1" applyProtection="1">
      <alignment horizontal="right" vertical="center" shrinkToFit="1"/>
    </xf>
    <xf numFmtId="38" fontId="14" fillId="14" borderId="94" xfId="1" applyFont="1" applyFill="1" applyBorder="1" applyAlignment="1" applyProtection="1">
      <alignment horizontal="right" vertical="center"/>
      <protection locked="0"/>
    </xf>
    <xf numFmtId="38" fontId="14" fillId="0" borderId="97" xfId="1" applyFont="1" applyFill="1" applyBorder="1" applyAlignment="1" applyProtection="1">
      <alignment horizontal="right" vertical="center" wrapText="1" shrinkToFit="1"/>
    </xf>
    <xf numFmtId="38" fontId="14" fillId="0" borderId="99" xfId="1" applyFont="1" applyBorder="1" applyAlignment="1" applyProtection="1">
      <alignment horizontal="right" vertical="center"/>
    </xf>
    <xf numFmtId="38" fontId="14" fillId="0" borderId="107" xfId="1" applyFont="1" applyFill="1" applyBorder="1" applyAlignment="1" applyProtection="1">
      <alignment horizontal="right" vertical="center" shrinkToFit="1"/>
    </xf>
    <xf numFmtId="0" fontId="14" fillId="0" borderId="90" xfId="0" applyFont="1" applyBorder="1" applyAlignment="1" applyProtection="1">
      <alignment horizontal="center" vertical="center" shrinkToFit="1"/>
    </xf>
    <xf numFmtId="40" fontId="14" fillId="0" borderId="91" xfId="1" applyNumberFormat="1" applyFont="1" applyFill="1" applyBorder="1" applyAlignment="1" applyProtection="1">
      <alignment horizontal="center" vertical="center"/>
    </xf>
    <xf numFmtId="40" fontId="14" fillId="0" borderId="0" xfId="1" applyNumberFormat="1" applyFont="1" applyFill="1" applyBorder="1" applyAlignment="1" applyProtection="1">
      <alignment vertical="center"/>
    </xf>
    <xf numFmtId="38" fontId="14" fillId="0" borderId="7" xfId="0" applyNumberFormat="1" applyFont="1" applyBorder="1" applyAlignment="1" applyProtection="1">
      <alignment horizontal="right" vertical="center"/>
    </xf>
    <xf numFmtId="38" fontId="14" fillId="0" borderId="104" xfId="1" applyFont="1" applyFill="1" applyBorder="1" applyAlignment="1" applyProtection="1">
      <alignment horizontal="right" vertical="center" shrinkToFit="1"/>
    </xf>
    <xf numFmtId="38" fontId="13" fillId="0" borderId="0" xfId="0" applyNumberFormat="1" applyFont="1" applyAlignment="1" applyProtection="1">
      <alignment vertical="center"/>
    </xf>
    <xf numFmtId="40" fontId="14" fillId="0" borderId="0" xfId="1" applyNumberFormat="1" applyFont="1" applyFill="1" applyBorder="1" applyAlignment="1" applyProtection="1">
      <alignment horizontal="center" vertical="center"/>
    </xf>
    <xf numFmtId="177" fontId="14" fillId="0" borderId="52" xfId="0" applyNumberFormat="1" applyFont="1" applyFill="1" applyBorder="1" applyAlignment="1" applyProtection="1">
      <alignment horizontal="right" vertical="center" shrinkToFit="1"/>
    </xf>
    <xf numFmtId="0" fontId="14" fillId="0" borderId="0" xfId="0" applyFont="1" applyFill="1" applyBorder="1" applyAlignment="1" applyProtection="1">
      <alignment vertical="center"/>
    </xf>
    <xf numFmtId="0" fontId="14" fillId="0" borderId="85" xfId="0" applyFont="1" applyBorder="1" applyAlignment="1" applyProtection="1">
      <alignment horizontal="distributed" vertical="center" justifyLastLine="1"/>
    </xf>
    <xf numFmtId="38" fontId="14" fillId="0" borderId="110" xfId="1" applyFont="1" applyFill="1" applyBorder="1" applyAlignment="1" applyProtection="1">
      <alignment horizontal="right" vertical="center" shrinkToFit="1"/>
    </xf>
    <xf numFmtId="38" fontId="14" fillId="0" borderId="111" xfId="1" applyFont="1" applyFill="1" applyBorder="1" applyAlignment="1" applyProtection="1">
      <alignment horizontal="right" vertical="center" shrinkToFit="1"/>
    </xf>
    <xf numFmtId="0" fontId="14" fillId="0" borderId="112" xfId="0" applyFont="1" applyBorder="1" applyAlignment="1" applyProtection="1">
      <alignment horizontal="distributed" vertical="center" justifyLastLine="1"/>
    </xf>
    <xf numFmtId="0" fontId="14" fillId="0" borderId="33" xfId="0" applyFont="1" applyBorder="1" applyAlignment="1" applyProtection="1">
      <alignment vertical="center"/>
    </xf>
    <xf numFmtId="0" fontId="14" fillId="18" borderId="42" xfId="0" applyFont="1" applyFill="1" applyBorder="1" applyAlignment="1" applyProtection="1">
      <alignment vertical="center"/>
    </xf>
    <xf numFmtId="0" fontId="14" fillId="0" borderId="25" xfId="0" applyFont="1" applyBorder="1" applyAlignment="1" applyProtection="1">
      <alignment horizontal="center" vertical="center"/>
    </xf>
    <xf numFmtId="40" fontId="14" fillId="0" borderId="25" xfId="1" applyNumberFormat="1" applyFont="1" applyFill="1" applyBorder="1" applyAlignment="1" applyProtection="1">
      <alignment horizontal="center" vertical="center"/>
    </xf>
    <xf numFmtId="38" fontId="14" fillId="0" borderId="25" xfId="1" applyFont="1" applyBorder="1" applyAlignment="1" applyProtection="1">
      <alignment horizontal="center" vertical="center"/>
    </xf>
    <xf numFmtId="0" fontId="14" fillId="0" borderId="25" xfId="0" applyFont="1" applyBorder="1" applyAlignment="1" applyProtection="1">
      <alignment vertical="center"/>
    </xf>
    <xf numFmtId="40" fontId="14" fillId="0" borderId="25" xfId="1" applyNumberFormat="1" applyFont="1" applyFill="1" applyBorder="1" applyAlignment="1" applyProtection="1">
      <alignment vertical="center"/>
    </xf>
    <xf numFmtId="38" fontId="14" fillId="0" borderId="116" xfId="1" applyFont="1" applyFill="1" applyBorder="1" applyAlignment="1" applyProtection="1">
      <alignment horizontal="right" vertical="center" shrinkToFit="1"/>
    </xf>
    <xf numFmtId="177" fontId="14" fillId="0" borderId="0" xfId="0" applyNumberFormat="1" applyFont="1" applyFill="1" applyBorder="1" applyAlignment="1" applyProtection="1">
      <alignment horizontal="right" vertical="center" shrinkToFit="1"/>
    </xf>
    <xf numFmtId="0" fontId="20" fillId="0" borderId="0" xfId="0" applyFont="1" applyAlignment="1" applyProtection="1">
      <alignment vertical="center"/>
    </xf>
    <xf numFmtId="0" fontId="21" fillId="0" borderId="0" xfId="0" applyFont="1" applyAlignment="1" applyProtection="1">
      <alignment vertical="center"/>
    </xf>
    <xf numFmtId="0" fontId="21" fillId="18" borderId="27" xfId="0" applyFont="1" applyFill="1" applyBorder="1" applyAlignment="1" applyProtection="1">
      <alignment vertical="center"/>
    </xf>
    <xf numFmtId="0" fontId="21" fillId="18" borderId="34" xfId="0" applyFont="1" applyFill="1" applyBorder="1" applyAlignment="1" applyProtection="1">
      <alignment vertical="center"/>
    </xf>
    <xf numFmtId="0" fontId="14" fillId="0" borderId="0" xfId="0" applyFont="1" applyBorder="1" applyAlignment="1" applyProtection="1">
      <alignment vertical="center" textRotation="255" wrapText="1"/>
    </xf>
    <xf numFmtId="38" fontId="13" fillId="0" borderId="0" xfId="1" applyFont="1" applyAlignment="1" applyProtection="1">
      <alignment horizontal="right" vertical="center"/>
    </xf>
    <xf numFmtId="0" fontId="21" fillId="18" borderId="42" xfId="0" applyFont="1" applyFill="1" applyBorder="1" applyAlignment="1" applyProtection="1">
      <alignment vertical="center"/>
    </xf>
    <xf numFmtId="0" fontId="21" fillId="0" borderId="0" xfId="0" applyFont="1" applyBorder="1" applyAlignment="1" applyProtection="1">
      <alignment vertical="center"/>
    </xf>
    <xf numFmtId="0" fontId="21" fillId="0" borderId="0" xfId="0" applyFont="1" applyBorder="1" applyAlignment="1" applyProtection="1">
      <alignment horizontal="center" vertical="center"/>
    </xf>
    <xf numFmtId="40" fontId="21" fillId="0" borderId="0" xfId="1" applyNumberFormat="1" applyFont="1" applyFill="1" applyBorder="1" applyAlignment="1" applyProtection="1">
      <alignment horizontal="center" vertical="center"/>
    </xf>
    <xf numFmtId="38" fontId="21" fillId="0" borderId="0" xfId="1" applyFont="1" applyBorder="1" applyAlignment="1" applyProtection="1">
      <alignment horizontal="center" vertical="center"/>
    </xf>
    <xf numFmtId="0" fontId="21" fillId="0" borderId="0" xfId="0" applyFont="1" applyFill="1" applyBorder="1" applyAlignment="1" applyProtection="1">
      <alignment vertical="center"/>
    </xf>
    <xf numFmtId="38" fontId="13" fillId="0" borderId="0" xfId="1" applyFont="1" applyBorder="1" applyAlignment="1" applyProtection="1">
      <alignment vertical="center"/>
    </xf>
    <xf numFmtId="38" fontId="13" fillId="0" borderId="0" xfId="0" applyNumberFormat="1" applyFont="1" applyBorder="1" applyAlignment="1" applyProtection="1">
      <alignment vertical="center"/>
    </xf>
    <xf numFmtId="0" fontId="14" fillId="0" borderId="29" xfId="0" applyFont="1" applyBorder="1" applyAlignment="1" applyProtection="1">
      <alignment vertical="center"/>
    </xf>
    <xf numFmtId="177" fontId="14" fillId="0" borderId="108" xfId="0" applyNumberFormat="1" applyFont="1" applyFill="1" applyBorder="1" applyAlignment="1" applyProtection="1">
      <alignment horizontal="right" vertical="center" shrinkToFit="1"/>
    </xf>
    <xf numFmtId="0" fontId="18" fillId="0" borderId="0" xfId="0" applyFont="1" applyBorder="1" applyAlignment="1" applyProtection="1">
      <alignment horizontal="center" vertical="center"/>
    </xf>
    <xf numFmtId="0" fontId="13" fillId="0" borderId="0" xfId="0" applyFont="1" applyAlignment="1" applyProtection="1">
      <alignment vertical="center" wrapText="1"/>
    </xf>
    <xf numFmtId="0" fontId="30" fillId="16" borderId="0" xfId="0" applyFont="1" applyFill="1" applyAlignment="1" applyProtection="1">
      <alignment horizontal="center" vertical="center"/>
    </xf>
    <xf numFmtId="181" fontId="64" fillId="0" borderId="0" xfId="1" applyNumberFormat="1" applyFont="1" applyFill="1" applyBorder="1" applyAlignment="1" applyProtection="1">
      <alignment horizontal="center" vertical="center"/>
    </xf>
    <xf numFmtId="0" fontId="64" fillId="0" borderId="0" xfId="0" applyFont="1" applyAlignment="1" applyProtection="1">
      <alignment vertical="center"/>
    </xf>
    <xf numFmtId="0" fontId="43" fillId="0" borderId="0" xfId="0" applyFont="1" applyFill="1" applyAlignment="1" applyProtection="1">
      <alignment vertical="center"/>
    </xf>
    <xf numFmtId="0" fontId="43" fillId="0" borderId="0" xfId="0" applyFont="1" applyAlignment="1" applyProtection="1">
      <alignment vertical="center"/>
    </xf>
    <xf numFmtId="38" fontId="42" fillId="14" borderId="70" xfId="1" applyFont="1" applyFill="1" applyBorder="1" applyAlignment="1" applyProtection="1">
      <alignment vertical="center"/>
      <protection locked="0"/>
    </xf>
    <xf numFmtId="38" fontId="42" fillId="14" borderId="75" xfId="1" applyFont="1" applyFill="1" applyBorder="1" applyAlignment="1" applyProtection="1">
      <alignment vertical="center"/>
      <protection locked="0"/>
    </xf>
    <xf numFmtId="38" fontId="42" fillId="14" borderId="64" xfId="1" applyFont="1" applyFill="1" applyBorder="1" applyAlignment="1" applyProtection="1">
      <alignment vertical="center"/>
      <protection locked="0"/>
    </xf>
    <xf numFmtId="38" fontId="42" fillId="14" borderId="76" xfId="1" applyFont="1" applyFill="1" applyBorder="1" applyAlignment="1" applyProtection="1">
      <alignment vertical="center"/>
      <protection locked="0"/>
    </xf>
    <xf numFmtId="0" fontId="43" fillId="0" borderId="29" xfId="0" applyFont="1" applyBorder="1" applyAlignment="1" applyProtection="1">
      <alignment vertical="center" shrinkToFit="1"/>
    </xf>
    <xf numFmtId="181" fontId="64" fillId="0" borderId="0" xfId="1" applyNumberFormat="1" applyFont="1" applyBorder="1" applyAlignment="1" applyProtection="1">
      <alignment vertical="center"/>
    </xf>
    <xf numFmtId="0" fontId="13" fillId="0" borderId="0" xfId="0" applyFont="1" applyAlignment="1">
      <alignment horizontal="center"/>
    </xf>
    <xf numFmtId="0" fontId="13" fillId="7" borderId="0" xfId="0" applyFont="1" applyFill="1" applyAlignment="1">
      <alignment horizontal="center"/>
    </xf>
    <xf numFmtId="188" fontId="13" fillId="0" borderId="0" xfId="0" applyNumberFormat="1" applyFont="1" applyAlignment="1">
      <alignment horizontal="center"/>
    </xf>
    <xf numFmtId="0" fontId="14" fillId="0" borderId="0" xfId="0" applyFont="1" applyBorder="1" applyAlignment="1" applyProtection="1">
      <alignment horizontal="center" vertical="center"/>
    </xf>
    <xf numFmtId="0" fontId="33" fillId="0" borderId="0" xfId="0" applyFont="1" applyAlignment="1" applyProtection="1">
      <alignment horizontal="left" vertical="center" shrinkToFit="1"/>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0" xfId="0" applyFont="1" applyAlignment="1" applyProtection="1">
      <alignment horizontal="left" vertical="center"/>
    </xf>
    <xf numFmtId="0" fontId="13" fillId="0" borderId="0" xfId="0" applyFont="1" applyBorder="1" applyAlignment="1" applyProtection="1">
      <alignment horizontal="center" vertical="center"/>
    </xf>
    <xf numFmtId="0" fontId="64" fillId="0" borderId="0" xfId="0" applyFont="1" applyFill="1" applyBorder="1" applyAlignment="1" applyProtection="1">
      <alignment horizontal="center" vertical="center"/>
    </xf>
    <xf numFmtId="0" fontId="13" fillId="0" borderId="0" xfId="0" applyFont="1" applyBorder="1" applyAlignment="1" applyProtection="1">
      <alignment horizontal="left" vertical="top" wrapText="1"/>
      <protection locked="0"/>
    </xf>
    <xf numFmtId="0" fontId="13" fillId="0" borderId="64" xfId="0" applyFont="1" applyFill="1" applyBorder="1" applyAlignment="1">
      <alignment horizontal="center" vertical="center" shrinkToFit="1"/>
    </xf>
    <xf numFmtId="0" fontId="13" fillId="0" borderId="65" xfId="0" applyFont="1" applyFill="1" applyBorder="1" applyAlignment="1">
      <alignment horizontal="center" vertical="center" shrinkToFit="1"/>
    </xf>
    <xf numFmtId="0" fontId="13" fillId="0" borderId="0" xfId="0" applyFont="1" applyBorder="1" applyAlignment="1">
      <alignment horizontal="center" vertical="center" shrinkToFit="1"/>
    </xf>
    <xf numFmtId="0" fontId="13" fillId="0" borderId="0" xfId="0" applyFont="1" applyAlignment="1">
      <alignment horizontal="center" vertical="center" shrinkToFit="1"/>
    </xf>
    <xf numFmtId="0" fontId="13" fillId="5" borderId="64" xfId="0" applyFont="1" applyFill="1" applyBorder="1" applyAlignment="1">
      <alignment horizontal="center" vertical="center" shrinkToFit="1"/>
    </xf>
    <xf numFmtId="0" fontId="13" fillId="0" borderId="64" xfId="0" applyFont="1" applyBorder="1" applyAlignment="1">
      <alignment horizontal="center" vertical="center" shrinkToFit="1"/>
    </xf>
    <xf numFmtId="0" fontId="13" fillId="5" borderId="65" xfId="0" applyFont="1" applyFill="1" applyBorder="1" applyAlignment="1">
      <alignment horizontal="center" vertical="center" shrinkToFit="1"/>
    </xf>
    <xf numFmtId="0" fontId="13" fillId="18" borderId="66" xfId="0" applyFont="1" applyFill="1" applyBorder="1" applyAlignment="1">
      <alignment horizontal="center" vertical="center" wrapText="1"/>
    </xf>
    <xf numFmtId="0" fontId="13" fillId="18" borderId="66" xfId="0" applyFont="1" applyFill="1" applyBorder="1" applyAlignment="1">
      <alignment horizontal="center" vertical="center"/>
    </xf>
    <xf numFmtId="0" fontId="13" fillId="0" borderId="64" xfId="0" applyFont="1" applyFill="1" applyBorder="1" applyAlignment="1" applyProtection="1">
      <alignment horizontal="center" vertical="center" shrinkToFit="1"/>
    </xf>
    <xf numFmtId="0" fontId="13" fillId="18" borderId="66" xfId="0" applyFont="1" applyFill="1" applyBorder="1" applyAlignment="1" applyProtection="1">
      <alignment horizontal="center" vertical="center" wrapText="1"/>
    </xf>
    <xf numFmtId="0" fontId="21" fillId="0" borderId="0" xfId="0" applyFont="1" applyAlignment="1" applyProtection="1">
      <alignment horizontal="left" vertical="center" shrinkToFit="1"/>
    </xf>
    <xf numFmtId="0" fontId="13" fillId="5" borderId="64" xfId="0" applyFont="1" applyFill="1" applyBorder="1" applyAlignment="1" applyProtection="1">
      <alignment horizontal="center" vertical="center" shrinkToFit="1"/>
    </xf>
    <xf numFmtId="0" fontId="13" fillId="0" borderId="65" xfId="0" applyFont="1" applyFill="1" applyBorder="1" applyAlignment="1" applyProtection="1">
      <alignment horizontal="center" vertical="center" shrinkToFit="1"/>
    </xf>
    <xf numFmtId="0" fontId="13" fillId="0" borderId="0" xfId="0" applyFont="1" applyAlignment="1" applyProtection="1">
      <alignment horizontal="center" vertical="center" shrinkToFit="1"/>
    </xf>
    <xf numFmtId="0" fontId="13" fillId="0" borderId="64" xfId="0" applyFont="1" applyBorder="1" applyAlignment="1" applyProtection="1">
      <alignment horizontal="center" vertical="center" shrinkToFit="1"/>
    </xf>
    <xf numFmtId="0" fontId="65" fillId="0" borderId="0" xfId="0" applyFont="1" applyAlignment="1" applyProtection="1">
      <alignment horizontal="center" vertical="center"/>
    </xf>
    <xf numFmtId="0" fontId="13" fillId="0" borderId="0" xfId="0" applyFont="1" applyAlignment="1" applyProtection="1">
      <alignment horizontal="center" vertical="center" shrinkToFit="1"/>
    </xf>
    <xf numFmtId="0" fontId="13" fillId="18" borderId="66" xfId="0" applyFont="1" applyFill="1" applyBorder="1" applyAlignment="1" applyProtection="1">
      <alignment horizontal="center" vertical="center" shrinkToFit="1"/>
    </xf>
    <xf numFmtId="0" fontId="14" fillId="0" borderId="7" xfId="0" applyFont="1" applyBorder="1" applyAlignment="1" applyProtection="1">
      <alignment vertical="center"/>
    </xf>
    <xf numFmtId="0" fontId="16" fillId="16" borderId="0" xfId="0" applyFont="1" applyFill="1" applyAlignment="1" applyProtection="1">
      <alignment horizontal="left" vertical="center"/>
    </xf>
    <xf numFmtId="0" fontId="14" fillId="0" borderId="0" xfId="0" applyFont="1" applyFill="1" applyAlignment="1" applyProtection="1">
      <alignment vertical="center"/>
    </xf>
    <xf numFmtId="38" fontId="13" fillId="0" borderId="66" xfId="1" applyFont="1" applyBorder="1" applyAlignment="1" applyProtection="1">
      <alignment horizontal="right" vertical="center" indent="1" shrinkToFit="1"/>
    </xf>
    <xf numFmtId="0" fontId="13" fillId="0" borderId="0" xfId="0" applyFont="1" applyAlignment="1" applyProtection="1">
      <alignment horizontal="right" vertical="center"/>
    </xf>
    <xf numFmtId="0" fontId="42" fillId="18" borderId="67" xfId="0" applyFont="1" applyFill="1" applyBorder="1" applyAlignment="1" applyProtection="1">
      <alignment vertical="center"/>
    </xf>
    <xf numFmtId="0" fontId="42" fillId="18" borderId="69" xfId="0" applyFont="1" applyFill="1" applyBorder="1" applyAlignment="1" applyProtection="1">
      <alignment horizontal="center" vertical="center"/>
    </xf>
    <xf numFmtId="0" fontId="42" fillId="18" borderId="72" xfId="0" applyFont="1" applyFill="1" applyBorder="1" applyAlignment="1" applyProtection="1">
      <alignment horizontal="center" vertical="center"/>
    </xf>
    <xf numFmtId="0" fontId="42" fillId="18" borderId="73" xfId="0" applyFont="1" applyFill="1" applyBorder="1" applyAlignment="1" applyProtection="1">
      <alignment horizontal="center" vertical="center"/>
    </xf>
    <xf numFmtId="0" fontId="42" fillId="18" borderId="74" xfId="0" applyFont="1" applyFill="1" applyBorder="1" applyAlignment="1" applyProtection="1">
      <alignment horizontal="center" vertical="center"/>
    </xf>
    <xf numFmtId="0" fontId="42" fillId="0" borderId="40" xfId="0" applyFont="1" applyBorder="1" applyAlignment="1" applyProtection="1">
      <alignment vertical="center"/>
    </xf>
    <xf numFmtId="0" fontId="42" fillId="0" borderId="68" xfId="0" applyFont="1" applyBorder="1" applyAlignment="1" applyProtection="1">
      <alignment vertical="center"/>
    </xf>
    <xf numFmtId="38" fontId="42" fillId="0" borderId="71" xfId="1" applyFont="1" applyBorder="1" applyAlignment="1" applyProtection="1">
      <alignment vertical="center" shrinkToFit="1"/>
    </xf>
    <xf numFmtId="38" fontId="42" fillId="0" borderId="77" xfId="1" applyFont="1" applyBorder="1" applyAlignment="1" applyProtection="1">
      <alignment vertical="center"/>
    </xf>
    <xf numFmtId="38" fontId="42" fillId="0" borderId="78" xfId="1" applyFont="1" applyBorder="1" applyAlignment="1" applyProtection="1">
      <alignment vertical="center"/>
    </xf>
    <xf numFmtId="38" fontId="42" fillId="0" borderId="79" xfId="1" applyFont="1" applyBorder="1" applyAlignment="1" applyProtection="1">
      <alignment vertical="center"/>
    </xf>
    <xf numFmtId="0" fontId="13" fillId="21" borderId="0" xfId="0" applyFont="1" applyFill="1" applyAlignment="1" applyProtection="1">
      <alignment vertical="center"/>
    </xf>
    <xf numFmtId="0" fontId="42" fillId="0" borderId="25" xfId="3" applyFont="1" applyBorder="1" applyAlignment="1" applyProtection="1">
      <alignment vertical="center"/>
    </xf>
    <xf numFmtId="0" fontId="42" fillId="0" borderId="25" xfId="3" applyFont="1" applyFill="1" applyBorder="1" applyAlignment="1" applyProtection="1">
      <alignment vertical="center"/>
    </xf>
    <xf numFmtId="0" fontId="51" fillId="0" borderId="0" xfId="5" applyFont="1" applyAlignment="1" applyProtection="1">
      <alignment vertical="center"/>
    </xf>
    <xf numFmtId="0" fontId="69" fillId="0" borderId="32" xfId="0" applyFont="1" applyBorder="1" applyAlignment="1" applyProtection="1">
      <alignment vertical="center"/>
    </xf>
    <xf numFmtId="0" fontId="63" fillId="0" borderId="32" xfId="0" applyFont="1" applyBorder="1" applyAlignment="1" applyProtection="1">
      <alignment vertical="center" shrinkToFit="1"/>
    </xf>
    <xf numFmtId="177" fontId="13" fillId="7" borderId="64" xfId="0" applyNumberFormat="1" applyFont="1" applyFill="1" applyBorder="1" applyAlignment="1" applyProtection="1">
      <alignment horizontal="right" vertical="center" shrinkToFit="1"/>
    </xf>
    <xf numFmtId="0" fontId="16" fillId="0" borderId="0" xfId="0" applyFont="1" applyFill="1" applyBorder="1" applyAlignment="1" applyProtection="1">
      <alignment vertical="center" shrinkToFit="1"/>
    </xf>
    <xf numFmtId="0" fontId="16" fillId="5" borderId="0" xfId="0" applyFont="1" applyFill="1" applyBorder="1" applyAlignment="1" applyProtection="1">
      <alignment horizontal="center" vertical="center" shrinkToFit="1"/>
    </xf>
    <xf numFmtId="177" fontId="46" fillId="0" borderId="0" xfId="0" applyNumberFormat="1" applyFont="1" applyFill="1" applyBorder="1" applyAlignment="1" applyProtection="1">
      <alignment vertical="center" shrinkToFit="1"/>
    </xf>
    <xf numFmtId="177" fontId="46" fillId="0" borderId="0" xfId="0" applyNumberFormat="1" applyFont="1" applyBorder="1" applyAlignment="1" applyProtection="1">
      <alignment horizontal="center" vertical="center" shrinkToFit="1"/>
    </xf>
    <xf numFmtId="0" fontId="27" fillId="0" borderId="0" xfId="0" applyFont="1" applyBorder="1" applyAlignment="1" applyProtection="1">
      <alignment vertical="center" shrinkToFit="1"/>
    </xf>
    <xf numFmtId="177" fontId="13" fillId="0" borderId="0" xfId="0" applyNumberFormat="1" applyFont="1" applyAlignment="1" applyProtection="1">
      <alignment vertical="center" shrinkToFit="1"/>
    </xf>
    <xf numFmtId="177" fontId="13" fillId="0" borderId="0" xfId="0" applyNumberFormat="1" applyFont="1" applyBorder="1" applyAlignment="1" applyProtection="1">
      <alignment horizontal="right" vertical="center" shrinkToFit="1"/>
    </xf>
    <xf numFmtId="0" fontId="13" fillId="0" borderId="127" xfId="0" applyFont="1" applyFill="1" applyBorder="1" applyAlignment="1" applyProtection="1">
      <alignment horizontal="center" vertical="center" shrinkToFit="1"/>
    </xf>
    <xf numFmtId="177" fontId="13" fillId="5" borderId="0" xfId="0" applyNumberFormat="1" applyFont="1" applyFill="1" applyBorder="1" applyAlignment="1" applyProtection="1">
      <alignment horizontal="right" vertical="center" shrinkToFit="1"/>
    </xf>
    <xf numFmtId="0" fontId="57" fillId="0" borderId="1" xfId="0" applyFont="1" applyFill="1" applyBorder="1" applyAlignment="1" applyProtection="1">
      <alignment vertical="center"/>
    </xf>
    <xf numFmtId="188" fontId="13" fillId="0" borderId="0" xfId="0" applyNumberFormat="1" applyFont="1" applyAlignment="1">
      <alignment horizontal="center" vertical="center"/>
    </xf>
    <xf numFmtId="0" fontId="13" fillId="0" borderId="0" xfId="0" applyFont="1" applyAlignment="1">
      <alignment horizontal="center" vertical="center"/>
    </xf>
    <xf numFmtId="0" fontId="13" fillId="0" borderId="64" xfId="0" applyFont="1" applyBorder="1" applyAlignment="1">
      <alignment horizontal="center" vertical="center" shrinkToFit="1"/>
    </xf>
    <xf numFmtId="0" fontId="13" fillId="0" borderId="64" xfId="0" applyFont="1" applyBorder="1" applyAlignment="1">
      <alignment horizontal="center" vertical="center" shrinkToFit="1"/>
    </xf>
    <xf numFmtId="0" fontId="13" fillId="0" borderId="64" xfId="0" applyFont="1" applyFill="1" applyBorder="1" applyAlignment="1">
      <alignment horizontal="center" vertical="center" shrinkToFit="1"/>
    </xf>
    <xf numFmtId="0" fontId="13" fillId="0" borderId="65" xfId="0" applyFont="1" applyFill="1" applyBorder="1" applyAlignment="1">
      <alignment horizontal="center" vertical="center" shrinkToFit="1"/>
    </xf>
    <xf numFmtId="0" fontId="13" fillId="0" borderId="0" xfId="0" applyFont="1" applyBorder="1" applyAlignment="1">
      <alignment horizontal="center" vertical="center" shrinkToFit="1"/>
    </xf>
    <xf numFmtId="0" fontId="13" fillId="0" borderId="0" xfId="0" applyFont="1" applyAlignment="1" applyProtection="1">
      <alignment horizontal="center" vertical="center" shrinkToFit="1"/>
    </xf>
    <xf numFmtId="0" fontId="13" fillId="0" borderId="20" xfId="0" applyFont="1" applyFill="1" applyBorder="1" applyAlignment="1">
      <alignment horizontal="center" vertical="center" shrinkToFit="1"/>
    </xf>
    <xf numFmtId="0" fontId="13" fillId="0" borderId="64" xfId="0" applyFont="1" applyBorder="1" applyAlignment="1" applyProtection="1">
      <alignment horizontal="center" vertical="center" shrinkToFit="1"/>
    </xf>
    <xf numFmtId="0" fontId="13" fillId="0" borderId="20" xfId="0" applyFont="1" applyFill="1" applyBorder="1" applyAlignment="1" applyProtection="1">
      <alignment horizontal="center" vertical="center" shrinkToFit="1"/>
    </xf>
    <xf numFmtId="0" fontId="72" fillId="0" borderId="0" xfId="0" applyFont="1" applyAlignment="1">
      <alignment vertical="center"/>
    </xf>
    <xf numFmtId="0" fontId="0" fillId="4" borderId="7" xfId="0" applyFont="1" applyFill="1" applyBorder="1"/>
    <xf numFmtId="0" fontId="72" fillId="0" borderId="0" xfId="0" applyFont="1"/>
    <xf numFmtId="38" fontId="74" fillId="5" borderId="1" xfId="1" applyFont="1" applyFill="1" applyBorder="1" applyAlignment="1">
      <alignment horizontal="right" vertical="center"/>
    </xf>
    <xf numFmtId="0" fontId="43" fillId="3" borderId="64" xfId="0" applyFont="1" applyFill="1" applyBorder="1" applyAlignment="1" applyProtection="1">
      <alignment horizontal="center" vertical="center" shrinkToFit="1"/>
      <protection locked="0"/>
    </xf>
    <xf numFmtId="0" fontId="64" fillId="0" borderId="0" xfId="0" applyFont="1" applyFill="1" applyBorder="1" applyAlignment="1" applyProtection="1">
      <alignment horizontal="center" vertical="center"/>
    </xf>
    <xf numFmtId="0" fontId="13" fillId="0" borderId="64" xfId="0" applyFont="1" applyFill="1" applyBorder="1" applyAlignment="1">
      <alignment horizontal="center" vertical="center" shrinkToFit="1"/>
    </xf>
    <xf numFmtId="0" fontId="13" fillId="7" borderId="64" xfId="0" applyFont="1" applyFill="1" applyBorder="1" applyAlignment="1" applyProtection="1">
      <alignment horizontal="center" vertical="center" shrinkToFit="1"/>
    </xf>
    <xf numFmtId="0" fontId="13" fillId="18" borderId="66" xfId="0" applyFont="1" applyFill="1" applyBorder="1" applyAlignment="1" applyProtection="1">
      <alignment horizontal="center" vertical="center" wrapText="1" shrinkToFit="1"/>
    </xf>
    <xf numFmtId="0" fontId="13" fillId="0" borderId="64" xfId="0" applyFont="1" applyFill="1" applyBorder="1" applyAlignment="1" applyProtection="1">
      <alignment horizontal="center" vertical="center" shrinkToFit="1"/>
    </xf>
    <xf numFmtId="0" fontId="13" fillId="0" borderId="64" xfId="0" applyFont="1" applyBorder="1" applyAlignment="1" applyProtection="1">
      <alignment horizontal="center" vertical="center" shrinkToFit="1"/>
    </xf>
    <xf numFmtId="186" fontId="13" fillId="5" borderId="20" xfId="0" applyNumberFormat="1" applyFont="1" applyFill="1" applyBorder="1" applyAlignment="1">
      <alignment horizontal="center" vertical="center" shrinkToFit="1"/>
    </xf>
    <xf numFmtId="0" fontId="43" fillId="0" borderId="20" xfId="0" applyFont="1" applyBorder="1" applyAlignment="1">
      <alignment horizontal="right" vertical="center" indent="1" shrinkToFit="1"/>
    </xf>
    <xf numFmtId="0" fontId="13" fillId="0" borderId="20" xfId="0" applyFont="1" applyBorder="1" applyAlignment="1">
      <alignment horizontal="center" vertical="center" shrinkToFit="1"/>
    </xf>
    <xf numFmtId="0" fontId="50" fillId="0" borderId="20" xfId="0" applyFont="1" applyBorder="1" applyAlignment="1">
      <alignment vertical="center"/>
    </xf>
    <xf numFmtId="0" fontId="13" fillId="3" borderId="20" xfId="0" applyFont="1" applyFill="1" applyBorder="1" applyAlignment="1" applyProtection="1">
      <alignment horizontal="center" vertical="center" shrinkToFit="1"/>
      <protection locked="0"/>
    </xf>
    <xf numFmtId="38" fontId="13" fillId="0" borderId="20" xfId="1" applyFont="1" applyBorder="1" applyAlignment="1" applyProtection="1">
      <alignment horizontal="right" vertical="center" indent="1" shrinkToFit="1"/>
    </xf>
    <xf numFmtId="0" fontId="13" fillId="14" borderId="40" xfId="0" applyFont="1" applyFill="1" applyBorder="1" applyAlignment="1" applyProtection="1">
      <alignment horizontal="right" vertical="center" shrinkToFit="1"/>
      <protection locked="0"/>
    </xf>
    <xf numFmtId="38" fontId="13" fillId="0" borderId="99" xfId="1" applyFont="1" applyBorder="1" applyAlignment="1" applyProtection="1">
      <alignment horizontal="right" vertical="center" indent="1" shrinkToFit="1"/>
    </xf>
    <xf numFmtId="0" fontId="76" fillId="4" borderId="17" xfId="0" applyFont="1" applyFill="1" applyBorder="1" applyAlignment="1">
      <alignment wrapText="1"/>
    </xf>
    <xf numFmtId="0" fontId="76" fillId="4" borderId="15" xfId="0" applyFont="1" applyFill="1" applyBorder="1" applyAlignment="1">
      <alignment wrapText="1"/>
    </xf>
    <xf numFmtId="0" fontId="72" fillId="0" borderId="8" xfId="0" applyFont="1" applyBorder="1"/>
    <xf numFmtId="0" fontId="57" fillId="4" borderId="9" xfId="0" applyFont="1" applyFill="1" applyBorder="1"/>
    <xf numFmtId="0" fontId="72" fillId="0" borderId="11" xfId="0" applyFont="1" applyBorder="1"/>
    <xf numFmtId="0" fontId="57" fillId="4" borderId="14" xfId="0" applyFont="1" applyFill="1" applyBorder="1"/>
    <xf numFmtId="0" fontId="72" fillId="0" borderId="13" xfId="0" applyFont="1" applyBorder="1"/>
    <xf numFmtId="0" fontId="57" fillId="4" borderId="18" xfId="0" applyFont="1" applyFill="1" applyBorder="1"/>
    <xf numFmtId="0" fontId="72" fillId="0" borderId="11" xfId="0" applyFont="1" applyBorder="1" applyAlignment="1">
      <alignment wrapText="1"/>
    </xf>
    <xf numFmtId="0" fontId="13" fillId="7" borderId="0" xfId="0" applyFont="1" applyFill="1" applyAlignment="1" applyProtection="1">
      <alignment vertical="center" shrinkToFit="1"/>
    </xf>
    <xf numFmtId="186" fontId="13" fillId="5" borderId="20" xfId="0" applyNumberFormat="1" applyFont="1" applyFill="1" applyBorder="1" applyAlignment="1" applyProtection="1">
      <alignment horizontal="center" vertical="center" shrinkToFit="1"/>
    </xf>
    <xf numFmtId="0" fontId="43" fillId="0" borderId="20" xfId="0" applyFont="1" applyBorder="1" applyAlignment="1" applyProtection="1">
      <alignment horizontal="right" vertical="center" indent="1" shrinkToFit="1"/>
    </xf>
    <xf numFmtId="0" fontId="13" fillId="0" borderId="20" xfId="0" applyFont="1" applyBorder="1" applyAlignment="1" applyProtection="1">
      <alignment horizontal="center" vertical="center" shrinkToFit="1"/>
    </xf>
    <xf numFmtId="186" fontId="13" fillId="5" borderId="66" xfId="0" applyNumberFormat="1" applyFont="1" applyFill="1" applyBorder="1" applyAlignment="1">
      <alignment horizontal="center" vertical="center" shrinkToFit="1"/>
    </xf>
    <xf numFmtId="0" fontId="43" fillId="0" borderId="66" xfId="0" applyFont="1" applyBorder="1" applyAlignment="1">
      <alignment horizontal="right" vertical="center" indent="1" shrinkToFit="1"/>
    </xf>
    <xf numFmtId="0" fontId="50" fillId="0" borderId="66" xfId="0" applyFont="1" applyBorder="1" applyAlignment="1">
      <alignment vertical="center"/>
    </xf>
    <xf numFmtId="0" fontId="13" fillId="0" borderId="0" xfId="0" applyFont="1" applyFill="1" applyAlignment="1" applyProtection="1">
      <alignment vertical="center" shrinkToFit="1"/>
    </xf>
    <xf numFmtId="0" fontId="13" fillId="0" borderId="0" xfId="0" applyFont="1" applyFill="1" applyAlignment="1" applyProtection="1">
      <alignment horizontal="center" vertical="center" shrinkToFit="1"/>
    </xf>
    <xf numFmtId="0" fontId="50" fillId="0" borderId="20" xfId="0" applyFont="1" applyBorder="1" applyAlignment="1" applyProtection="1">
      <alignment vertical="center"/>
    </xf>
    <xf numFmtId="38" fontId="13" fillId="0" borderId="98" xfId="1" applyFont="1" applyBorder="1" applyAlignment="1" applyProtection="1">
      <alignment horizontal="right" vertical="center" indent="1" shrinkToFit="1"/>
    </xf>
    <xf numFmtId="185" fontId="13" fillId="0" borderId="0" xfId="0" applyNumberFormat="1" applyFont="1" applyAlignment="1">
      <alignment horizontal="center"/>
    </xf>
    <xf numFmtId="185" fontId="13" fillId="0" borderId="0" xfId="0" applyNumberFormat="1" applyFont="1" applyAlignment="1">
      <alignment horizontal="center" vertical="center"/>
    </xf>
    <xf numFmtId="0" fontId="13" fillId="0" borderId="0" xfId="6" applyFont="1" applyFill="1" applyBorder="1" applyAlignment="1" applyProtection="1">
      <alignment horizontal="center" vertical="center"/>
    </xf>
    <xf numFmtId="0" fontId="13" fillId="0" borderId="0" xfId="6" applyNumberFormat="1" applyFont="1" applyFill="1" applyBorder="1" applyAlignment="1" applyProtection="1">
      <alignment horizontal="center" vertical="center" shrinkToFit="1"/>
    </xf>
    <xf numFmtId="0" fontId="13" fillId="0" borderId="0" xfId="6" applyFont="1" applyFill="1" applyBorder="1" applyAlignment="1" applyProtection="1">
      <alignment horizontal="center" vertical="center" shrinkToFit="1"/>
    </xf>
    <xf numFmtId="0" fontId="13" fillId="0" borderId="0" xfId="0" applyFont="1" applyAlignment="1" applyProtection="1">
      <alignment horizontal="center"/>
    </xf>
    <xf numFmtId="0" fontId="13" fillId="0" borderId="0" xfId="0" applyFont="1" applyAlignment="1" applyProtection="1">
      <alignment horizontal="right"/>
    </xf>
    <xf numFmtId="189" fontId="13" fillId="0" borderId="0" xfId="0" applyNumberFormat="1" applyFont="1" applyAlignment="1" applyProtection="1">
      <alignment horizontal="right" vertical="center"/>
    </xf>
    <xf numFmtId="14" fontId="13" fillId="0" borderId="0" xfId="0" applyNumberFormat="1" applyFont="1" applyAlignment="1" applyProtection="1">
      <alignment horizontal="right" vertical="center"/>
    </xf>
    <xf numFmtId="179" fontId="13" fillId="0" borderId="0" xfId="2" applyNumberFormat="1" applyFont="1" applyAlignment="1" applyProtection="1">
      <alignment vertical="center"/>
    </xf>
    <xf numFmtId="0" fontId="43" fillId="0" borderId="65" xfId="0" applyFont="1" applyBorder="1" applyAlignment="1">
      <alignment horizontal="right" vertical="center" indent="1" shrinkToFit="1"/>
    </xf>
    <xf numFmtId="0" fontId="50" fillId="0" borderId="65" xfId="0" applyFont="1" applyBorder="1" applyAlignment="1">
      <alignment vertical="center"/>
    </xf>
    <xf numFmtId="0" fontId="14" fillId="0" borderId="129" xfId="0" applyFont="1" applyBorder="1" applyAlignment="1" applyProtection="1">
      <alignment vertical="center"/>
    </xf>
    <xf numFmtId="0" fontId="17" fillId="0" borderId="129" xfId="0" applyFont="1" applyBorder="1" applyAlignment="1" applyProtection="1">
      <alignment horizontal="center" vertical="center"/>
    </xf>
    <xf numFmtId="0" fontId="14" fillId="0" borderId="129" xfId="0" applyFont="1" applyBorder="1" applyAlignment="1" applyProtection="1">
      <alignment horizontal="center" vertical="center"/>
    </xf>
    <xf numFmtId="0" fontId="78" fillId="0" borderId="130" xfId="0" applyFont="1" applyBorder="1" applyAlignment="1" applyProtection="1">
      <alignment horizontal="right" vertical="center"/>
    </xf>
    <xf numFmtId="0" fontId="43" fillId="0" borderId="0" xfId="0" applyFont="1" applyBorder="1" applyAlignment="1" applyProtection="1">
      <alignment horizontal="left" vertical="center"/>
    </xf>
    <xf numFmtId="0" fontId="14" fillId="0" borderId="7" xfId="0" applyFont="1" applyBorder="1" applyAlignment="1" applyProtection="1">
      <alignment horizontal="right" vertical="center"/>
    </xf>
    <xf numFmtId="0" fontId="17" fillId="14" borderId="129" xfId="0" applyFont="1" applyFill="1" applyBorder="1" applyAlignment="1" applyProtection="1">
      <alignment horizontal="center" vertical="center"/>
      <protection locked="0"/>
    </xf>
    <xf numFmtId="0" fontId="0" fillId="0" borderId="5" xfId="0" applyBorder="1" applyProtection="1"/>
    <xf numFmtId="0" fontId="0" fillId="0" borderId="0" xfId="0" applyProtection="1"/>
    <xf numFmtId="0" fontId="0" fillId="0" borderId="24" xfId="0" applyBorder="1" applyProtection="1"/>
    <xf numFmtId="0" fontId="0" fillId="0" borderId="6" xfId="0" applyBorder="1" applyProtection="1"/>
    <xf numFmtId="38" fontId="0" fillId="0" borderId="0" xfId="1" applyFont="1" applyAlignment="1" applyProtection="1"/>
    <xf numFmtId="0" fontId="43" fillId="0" borderId="0" xfId="0" applyNumberFormat="1" applyFont="1" applyProtection="1"/>
    <xf numFmtId="38" fontId="13" fillId="0" borderId="0" xfId="1" applyFont="1" applyAlignment="1" applyProtection="1"/>
    <xf numFmtId="1" fontId="13" fillId="0" borderId="0" xfId="0" applyNumberFormat="1" applyFont="1" applyProtection="1"/>
    <xf numFmtId="38" fontId="13" fillId="0" borderId="0" xfId="0" applyNumberFormat="1" applyFont="1" applyProtection="1"/>
    <xf numFmtId="0" fontId="48" fillId="0" borderId="0" xfId="0" applyFont="1" applyProtection="1"/>
    <xf numFmtId="0" fontId="43" fillId="0" borderId="0" xfId="0" applyNumberFormat="1" applyFont="1" applyAlignment="1" applyProtection="1">
      <alignment horizontal="center" vertical="center"/>
    </xf>
    <xf numFmtId="0" fontId="69" fillId="0" borderId="32" xfId="0" applyFont="1" applyBorder="1" applyAlignment="1" applyProtection="1">
      <alignment vertical="center"/>
      <protection locked="0"/>
    </xf>
    <xf numFmtId="0" fontId="13" fillId="18" borderId="66" xfId="0" applyFont="1" applyFill="1" applyBorder="1" applyAlignment="1" applyProtection="1">
      <alignment horizontal="center" vertical="center" shrinkToFit="1"/>
      <protection locked="0"/>
    </xf>
    <xf numFmtId="0" fontId="44" fillId="5" borderId="0" xfId="0" applyFont="1" applyFill="1" applyBorder="1" applyAlignment="1" applyProtection="1">
      <alignment horizontal="center" vertical="center"/>
      <protection locked="0"/>
    </xf>
    <xf numFmtId="177" fontId="13" fillId="7" borderId="64" xfId="0" applyNumberFormat="1" applyFont="1" applyFill="1" applyBorder="1" applyAlignment="1" applyProtection="1">
      <alignment horizontal="right" vertical="center" shrinkToFit="1"/>
      <protection locked="0"/>
    </xf>
    <xf numFmtId="0" fontId="57" fillId="0" borderId="1" xfId="0" applyFont="1" applyFill="1" applyBorder="1" applyAlignment="1" applyProtection="1">
      <alignment vertical="center"/>
      <protection locked="0"/>
    </xf>
    <xf numFmtId="0" fontId="43" fillId="0" borderId="0" xfId="0" applyFont="1" applyBorder="1" applyAlignment="1" applyProtection="1">
      <alignment vertical="center" shrinkToFit="1"/>
      <protection locked="0"/>
    </xf>
    <xf numFmtId="0" fontId="16" fillId="0" borderId="0" xfId="0" applyFont="1" applyFill="1" applyBorder="1" applyAlignment="1" applyProtection="1">
      <alignment vertical="center" shrinkToFit="1"/>
      <protection locked="0"/>
    </xf>
    <xf numFmtId="177" fontId="46" fillId="0" borderId="0" xfId="0" applyNumberFormat="1" applyFont="1" applyFill="1" applyBorder="1" applyAlignment="1" applyProtection="1">
      <alignment vertical="center" shrinkToFit="1"/>
      <protection locked="0"/>
    </xf>
    <xf numFmtId="0" fontId="27" fillId="0" borderId="0" xfId="0" applyFont="1" applyAlignment="1" applyProtection="1">
      <alignment vertical="center" shrinkToFit="1"/>
      <protection locked="0"/>
    </xf>
    <xf numFmtId="0" fontId="26" fillId="0" borderId="0" xfId="0" applyFont="1" applyAlignment="1" applyProtection="1">
      <alignment horizontal="right" vertical="center" shrinkToFit="1"/>
      <protection locked="0"/>
    </xf>
    <xf numFmtId="0" fontId="13" fillId="0" borderId="0" xfId="0" applyFont="1" applyAlignment="1" applyProtection="1">
      <alignment horizontal="center" vertical="center" shrinkToFit="1"/>
      <protection locked="0"/>
    </xf>
    <xf numFmtId="0" fontId="13" fillId="0" borderId="0" xfId="0" applyFont="1" applyAlignment="1" applyProtection="1">
      <alignment horizontal="center" vertical="center"/>
      <protection locked="0"/>
    </xf>
    <xf numFmtId="0" fontId="13" fillId="0" borderId="0" xfId="0" applyFont="1" applyAlignment="1" applyProtection="1">
      <alignment vertical="center" shrinkToFit="1"/>
      <protection locked="0"/>
    </xf>
    <xf numFmtId="0" fontId="13" fillId="0" borderId="64" xfId="0" applyFont="1" applyFill="1" applyBorder="1" applyAlignment="1" applyProtection="1">
      <alignment horizontal="center" vertical="center" shrinkToFit="1"/>
      <protection locked="0"/>
    </xf>
    <xf numFmtId="0" fontId="13" fillId="5" borderId="0" xfId="0" applyFont="1" applyFill="1" applyBorder="1" applyAlignment="1" applyProtection="1">
      <alignment horizontal="center" vertical="center" shrinkToFit="1"/>
      <protection locked="0"/>
    </xf>
    <xf numFmtId="0" fontId="35" fillId="0" borderId="0" xfId="0" applyFont="1" applyFill="1" applyAlignment="1" applyProtection="1">
      <alignment vertical="center"/>
      <protection locked="0"/>
    </xf>
    <xf numFmtId="0" fontId="43" fillId="0" borderId="1" xfId="0" applyFont="1" applyFill="1" applyBorder="1" applyAlignment="1" applyProtection="1">
      <alignment vertical="center" shrinkToFit="1"/>
      <protection locked="0"/>
    </xf>
    <xf numFmtId="0" fontId="13" fillId="7" borderId="64" xfId="0" applyFont="1" applyFill="1" applyBorder="1" applyAlignment="1" applyProtection="1">
      <alignment horizontal="center" vertical="center" shrinkToFit="1"/>
      <protection locked="0"/>
    </xf>
    <xf numFmtId="0" fontId="43" fillId="0" borderId="29" xfId="0" applyFont="1" applyBorder="1" applyAlignment="1" applyProtection="1">
      <alignment vertical="center" shrinkToFit="1"/>
      <protection locked="0"/>
    </xf>
    <xf numFmtId="0" fontId="13" fillId="0" borderId="0" xfId="0" applyFont="1" applyFill="1" applyAlignment="1" applyProtection="1">
      <alignment vertical="center"/>
      <protection locked="0"/>
    </xf>
    <xf numFmtId="0" fontId="13" fillId="0" borderId="66" xfId="0" applyFont="1" applyBorder="1" applyAlignment="1" applyProtection="1">
      <alignment horizontal="center" vertical="center"/>
      <protection locked="0"/>
    </xf>
    <xf numFmtId="0" fontId="43" fillId="0" borderId="64" xfId="0" applyFont="1" applyBorder="1" applyAlignment="1" applyProtection="1">
      <alignment horizontal="center" vertical="center"/>
      <protection locked="0"/>
    </xf>
    <xf numFmtId="0" fontId="44" fillId="0" borderId="64" xfId="0" applyFont="1" applyBorder="1" applyAlignment="1" applyProtection="1">
      <alignment horizontal="center" vertical="center"/>
      <protection locked="0"/>
    </xf>
    <xf numFmtId="0" fontId="28" fillId="0" borderId="64" xfId="0" applyFont="1" applyBorder="1" applyAlignment="1" applyProtection="1">
      <alignment horizontal="center" vertical="center"/>
      <protection locked="0"/>
    </xf>
    <xf numFmtId="0" fontId="44" fillId="0" borderId="65" xfId="0" applyFont="1" applyBorder="1" applyAlignment="1" applyProtection="1">
      <alignment horizontal="center" vertical="center"/>
      <protection locked="0"/>
    </xf>
    <xf numFmtId="0" fontId="44" fillId="0" borderId="66" xfId="0" applyFont="1" applyBorder="1" applyAlignment="1" applyProtection="1">
      <alignment horizontal="center" vertical="center"/>
      <protection locked="0"/>
    </xf>
    <xf numFmtId="0" fontId="13" fillId="0" borderId="64" xfId="0" applyFont="1" applyBorder="1" applyAlignment="1" applyProtection="1">
      <alignment horizontal="center" vertical="center" shrinkToFit="1"/>
      <protection locked="0"/>
    </xf>
    <xf numFmtId="0" fontId="43" fillId="0" borderId="64" xfId="0" applyFont="1" applyBorder="1" applyAlignment="1" applyProtection="1">
      <alignment horizontal="center" vertical="center" shrinkToFit="1"/>
      <protection locked="0"/>
    </xf>
    <xf numFmtId="0" fontId="28" fillId="0" borderId="64" xfId="0" applyFont="1" applyBorder="1" applyAlignment="1" applyProtection="1">
      <alignment horizontal="center" vertical="center" shrinkToFit="1"/>
      <protection locked="0"/>
    </xf>
    <xf numFmtId="0" fontId="47" fillId="0" borderId="64" xfId="0" applyFont="1" applyBorder="1" applyAlignment="1" applyProtection="1">
      <alignment horizontal="center" vertical="center"/>
      <protection locked="0"/>
    </xf>
    <xf numFmtId="0" fontId="57" fillId="0" borderId="1" xfId="0" applyFont="1" applyFill="1" applyBorder="1" applyAlignment="1" applyProtection="1">
      <alignment vertical="center" shrinkToFit="1"/>
      <protection locked="0"/>
    </xf>
    <xf numFmtId="0" fontId="50" fillId="0" borderId="66" xfId="0" applyFont="1" applyBorder="1" applyAlignment="1" applyProtection="1">
      <alignment vertical="center"/>
      <protection locked="0"/>
    </xf>
    <xf numFmtId="0" fontId="50" fillId="0" borderId="20" xfId="0" applyFont="1" applyBorder="1" applyAlignment="1" applyProtection="1">
      <alignment vertical="center"/>
      <protection locked="0"/>
    </xf>
    <xf numFmtId="0" fontId="50" fillId="0" borderId="64" xfId="0" applyFont="1" applyBorder="1" applyAlignment="1" applyProtection="1">
      <alignment vertical="center"/>
      <protection locked="0"/>
    </xf>
    <xf numFmtId="0" fontId="50" fillId="0" borderId="12" xfId="0" applyFont="1" applyBorder="1" applyAlignment="1" applyProtection="1">
      <alignment vertical="center"/>
      <protection locked="0"/>
    </xf>
    <xf numFmtId="0" fontId="13" fillId="0" borderId="66" xfId="0" applyFont="1" applyBorder="1" applyAlignment="1" applyProtection="1">
      <alignment horizontal="center" vertical="center" wrapText="1"/>
      <protection locked="0"/>
    </xf>
    <xf numFmtId="0" fontId="44" fillId="0" borderId="64" xfId="0" applyFont="1" applyBorder="1" applyAlignment="1" applyProtection="1">
      <alignment vertical="center"/>
      <protection locked="0"/>
    </xf>
    <xf numFmtId="0" fontId="26" fillId="0" borderId="0" xfId="0" applyFont="1" applyAlignment="1" applyProtection="1">
      <alignment vertical="center" shrinkToFit="1"/>
      <protection locked="0"/>
    </xf>
    <xf numFmtId="0" fontId="13" fillId="0" borderId="64" xfId="0" applyFont="1" applyBorder="1" applyAlignment="1">
      <alignment horizontal="center" vertical="center" shrinkToFit="1"/>
    </xf>
    <xf numFmtId="0" fontId="13" fillId="0" borderId="64" xfId="0" applyFont="1" applyFill="1" applyBorder="1" applyAlignment="1">
      <alignment horizontal="center" vertical="center" shrinkToFit="1"/>
    </xf>
    <xf numFmtId="0" fontId="13" fillId="5" borderId="64" xfId="0" applyFont="1" applyFill="1" applyBorder="1" applyAlignment="1">
      <alignment horizontal="center" vertical="center" shrinkToFit="1"/>
    </xf>
    <xf numFmtId="0" fontId="13" fillId="0" borderId="64" xfId="0" applyFont="1" applyFill="1" applyBorder="1" applyAlignment="1" applyProtection="1">
      <alignment horizontal="center" vertical="center" shrinkToFit="1"/>
    </xf>
    <xf numFmtId="0" fontId="13" fillId="0" borderId="64" xfId="0" applyFont="1" applyBorder="1" applyAlignment="1" applyProtection="1">
      <alignment horizontal="center" vertical="center" shrinkToFit="1"/>
    </xf>
    <xf numFmtId="0" fontId="13" fillId="5" borderId="64" xfId="0" applyFont="1" applyFill="1" applyBorder="1" applyAlignment="1" applyProtection="1">
      <alignment horizontal="center" vertical="center" shrinkToFit="1"/>
    </xf>
    <xf numFmtId="0" fontId="13" fillId="0" borderId="20" xfId="0" applyFont="1" applyFill="1" applyBorder="1" applyAlignment="1" applyProtection="1">
      <alignment horizontal="center" vertical="center" shrinkToFit="1"/>
    </xf>
    <xf numFmtId="0" fontId="42" fillId="0" borderId="64" xfId="0" applyFont="1" applyBorder="1" applyAlignment="1" applyProtection="1">
      <alignment vertical="center" shrinkToFit="1"/>
    </xf>
    <xf numFmtId="0" fontId="0" fillId="4" borderId="7" xfId="0" applyFont="1" applyFill="1" applyBorder="1" applyAlignment="1">
      <alignment wrapText="1"/>
    </xf>
    <xf numFmtId="0" fontId="42" fillId="0" borderId="64" xfId="0" applyFont="1" applyBorder="1" applyAlignment="1" applyProtection="1">
      <alignment horizontal="center" vertical="center" shrinkToFit="1"/>
    </xf>
    <xf numFmtId="0" fontId="79" fillId="0" borderId="64" xfId="0" applyFont="1" applyBorder="1" applyAlignment="1" applyProtection="1">
      <alignment horizontal="center" vertical="center"/>
    </xf>
    <xf numFmtId="0" fontId="42" fillId="0" borderId="64" xfId="0" applyFont="1" applyBorder="1" applyAlignment="1">
      <alignment horizontal="center" vertical="center" shrinkToFit="1"/>
    </xf>
    <xf numFmtId="0" fontId="79" fillId="0" borderId="64" xfId="0" applyFont="1" applyBorder="1" applyAlignment="1">
      <alignment horizontal="center" vertical="center"/>
    </xf>
    <xf numFmtId="0" fontId="42" fillId="0" borderId="65" xfId="0" applyFont="1" applyBorder="1" applyAlignment="1" applyProtection="1">
      <alignment vertical="center" shrinkToFit="1"/>
    </xf>
    <xf numFmtId="0" fontId="42" fillId="0" borderId="1" xfId="0" applyFont="1" applyFill="1" applyBorder="1" applyAlignment="1" applyProtection="1">
      <alignment vertical="center"/>
    </xf>
    <xf numFmtId="0" fontId="13" fillId="0" borderId="1" xfId="0" applyFont="1" applyFill="1" applyBorder="1" applyAlignment="1" applyProtection="1">
      <alignment vertical="center" shrinkToFit="1"/>
    </xf>
    <xf numFmtId="0" fontId="81" fillId="0" borderId="66" xfId="0" applyFont="1" applyBorder="1" applyAlignment="1">
      <alignment vertical="center"/>
    </xf>
    <xf numFmtId="0" fontId="13" fillId="0" borderId="20" xfId="0" applyFont="1" applyBorder="1" applyAlignment="1" applyProtection="1">
      <alignment horizontal="right" vertical="center" indent="1" shrinkToFit="1"/>
    </xf>
    <xf numFmtId="0" fontId="79" fillId="0" borderId="20" xfId="0" applyFont="1" applyBorder="1" applyAlignment="1" applyProtection="1">
      <alignment vertical="center"/>
    </xf>
    <xf numFmtId="0" fontId="79" fillId="0" borderId="64" xfId="0" applyFont="1" applyBorder="1" applyAlignment="1" applyProtection="1">
      <alignment vertical="center"/>
    </xf>
    <xf numFmtId="0" fontId="79" fillId="0" borderId="64" xfId="0" applyFont="1" applyBorder="1" applyAlignment="1">
      <alignment vertical="center"/>
    </xf>
    <xf numFmtId="0" fontId="79" fillId="0" borderId="64" xfId="0" applyFont="1" applyBorder="1" applyAlignment="1" applyProtection="1">
      <alignment horizontal="center" vertical="center"/>
      <protection locked="0"/>
    </xf>
    <xf numFmtId="0" fontId="79" fillId="0" borderId="64" xfId="0" applyFont="1" applyBorder="1" applyAlignment="1" applyProtection="1">
      <alignment vertical="center"/>
      <protection locked="0"/>
    </xf>
    <xf numFmtId="0" fontId="42" fillId="0" borderId="64" xfId="0" applyFont="1" applyBorder="1" applyAlignment="1" applyProtection="1">
      <alignment horizontal="center" vertical="center" shrinkToFit="1"/>
      <protection locked="0"/>
    </xf>
    <xf numFmtId="0" fontId="42" fillId="0" borderId="64" xfId="0" applyFont="1" applyBorder="1" applyAlignment="1" applyProtection="1">
      <alignment vertical="center" shrinkToFit="1"/>
      <protection locked="0"/>
    </xf>
    <xf numFmtId="0" fontId="42" fillId="0" borderId="65" xfId="0" applyFont="1" applyBorder="1" applyAlignment="1" applyProtection="1">
      <alignment vertical="center" shrinkToFit="1"/>
      <protection locked="0"/>
    </xf>
    <xf numFmtId="0" fontId="14" fillId="5" borderId="7" xfId="0" applyFont="1" applyFill="1" applyBorder="1" applyAlignment="1" applyProtection="1">
      <alignment horizontal="center" vertical="center" shrinkToFit="1"/>
    </xf>
    <xf numFmtId="182" fontId="14" fillId="5" borderId="7" xfId="0" applyNumberFormat="1" applyFont="1" applyFill="1" applyBorder="1" applyAlignment="1" applyProtection="1">
      <alignment horizontal="center" vertical="center" shrinkToFit="1"/>
    </xf>
    <xf numFmtId="182" fontId="14" fillId="0" borderId="7" xfId="0" applyNumberFormat="1" applyFont="1" applyBorder="1" applyAlignment="1" applyProtection="1">
      <alignment vertical="center" shrinkToFit="1"/>
    </xf>
    <xf numFmtId="0" fontId="14" fillId="7" borderId="57" xfId="0" applyFont="1" applyFill="1" applyBorder="1" applyAlignment="1" applyProtection="1">
      <alignment horizontal="center" vertical="center" shrinkToFit="1"/>
    </xf>
    <xf numFmtId="0" fontId="14" fillId="7" borderId="91" xfId="0" applyFont="1" applyFill="1" applyBorder="1" applyAlignment="1" applyProtection="1">
      <alignment horizontal="center" vertical="center" shrinkToFit="1"/>
    </xf>
    <xf numFmtId="0" fontId="13" fillId="0" borderId="0" xfId="0" applyFont="1" applyAlignment="1" applyProtection="1">
      <alignment horizontal="center" vertical="center"/>
    </xf>
    <xf numFmtId="0" fontId="13" fillId="0" borderId="0" xfId="0" applyFont="1" applyBorder="1" applyAlignment="1" applyProtection="1">
      <alignment horizontal="center" vertical="center"/>
    </xf>
    <xf numFmtId="0" fontId="31" fillId="19" borderId="0" xfId="0" applyFont="1" applyFill="1" applyAlignment="1" applyProtection="1">
      <alignment horizontal="center" vertical="center"/>
    </xf>
    <xf numFmtId="0" fontId="14" fillId="7" borderId="7" xfId="0" applyFont="1" applyFill="1" applyBorder="1" applyAlignment="1" applyProtection="1">
      <alignment horizontal="center" vertical="center" shrinkToFit="1"/>
      <protection locked="0"/>
    </xf>
    <xf numFmtId="0" fontId="14" fillId="6" borderId="7" xfId="0" applyFont="1" applyFill="1" applyBorder="1" applyAlignment="1" applyProtection="1">
      <alignment horizontal="center" vertical="center" shrinkToFit="1"/>
      <protection locked="0"/>
    </xf>
    <xf numFmtId="0" fontId="14" fillId="6" borderId="7" xfId="0" applyFont="1" applyFill="1" applyBorder="1" applyAlignment="1" applyProtection="1">
      <alignment horizontal="center" vertical="center" wrapText="1" shrinkToFit="1"/>
      <protection locked="0"/>
    </xf>
    <xf numFmtId="0" fontId="14" fillId="7" borderId="7" xfId="0" applyFont="1" applyFill="1" applyBorder="1" applyAlignment="1" applyProtection="1">
      <alignment horizontal="center" vertical="center" shrinkToFit="1"/>
    </xf>
    <xf numFmtId="0" fontId="14" fillId="0" borderId="0" xfId="0" applyFont="1" applyAlignment="1" applyProtection="1">
      <alignment vertical="center"/>
    </xf>
    <xf numFmtId="0" fontId="14" fillId="0" borderId="2" xfId="0" applyFont="1" applyBorder="1" applyAlignment="1" applyProtection="1">
      <alignment vertical="center"/>
    </xf>
    <xf numFmtId="0" fontId="14" fillId="0" borderId="1" xfId="0" applyFont="1" applyBorder="1" applyAlignment="1" applyProtection="1">
      <alignment vertical="center"/>
    </xf>
    <xf numFmtId="0" fontId="14" fillId="0" borderId="3" xfId="0" applyFont="1" applyBorder="1" applyAlignment="1" applyProtection="1">
      <alignment vertical="center"/>
    </xf>
    <xf numFmtId="0" fontId="14" fillId="0" borderId="128" xfId="0" applyFont="1" applyBorder="1" applyAlignment="1" applyProtection="1">
      <alignment horizontal="center" vertical="center"/>
    </xf>
    <xf numFmtId="0" fontId="14" fillId="0" borderId="129" xfId="0" applyFont="1" applyBorder="1" applyAlignment="1" applyProtection="1">
      <alignment horizontal="center" vertical="center"/>
    </xf>
    <xf numFmtId="0" fontId="18" fillId="0" borderId="0" xfId="0" applyFont="1" applyAlignment="1" applyProtection="1">
      <alignment horizontal="right" vertical="center"/>
    </xf>
    <xf numFmtId="0" fontId="18" fillId="0" borderId="0" xfId="0" applyFont="1" applyBorder="1" applyAlignment="1" applyProtection="1">
      <alignment horizontal="right" vertical="center"/>
    </xf>
    <xf numFmtId="0" fontId="14" fillId="6" borderId="62" xfId="0" applyFont="1" applyFill="1" applyBorder="1" applyAlignment="1" applyProtection="1">
      <alignment horizontal="left" vertical="center" shrinkToFit="1"/>
      <protection locked="0"/>
    </xf>
    <xf numFmtId="176" fontId="17" fillId="14" borderId="57" xfId="0" applyNumberFormat="1" applyFont="1" applyFill="1" applyBorder="1" applyAlignment="1" applyProtection="1">
      <alignment horizontal="right" vertical="center" shrinkToFit="1"/>
      <protection locked="0"/>
    </xf>
    <xf numFmtId="176" fontId="17" fillId="14" borderId="91" xfId="0" applyNumberFormat="1" applyFont="1" applyFill="1" applyBorder="1" applyAlignment="1" applyProtection="1">
      <alignment horizontal="right" vertical="center" shrinkToFit="1"/>
      <protection locked="0"/>
    </xf>
    <xf numFmtId="0" fontId="14" fillId="6" borderId="118" xfId="0" applyFont="1" applyFill="1" applyBorder="1" applyAlignment="1" applyProtection="1">
      <alignment horizontal="left" vertical="center" shrinkToFit="1"/>
      <protection locked="0"/>
    </xf>
    <xf numFmtId="176" fontId="17" fillId="14" borderId="58" xfId="0" applyNumberFormat="1" applyFont="1" applyFill="1" applyBorder="1" applyAlignment="1" applyProtection="1">
      <alignment horizontal="right" vertical="center" shrinkToFit="1"/>
      <protection locked="0"/>
    </xf>
    <xf numFmtId="176" fontId="17" fillId="14" borderId="119" xfId="0" applyNumberFormat="1" applyFont="1" applyFill="1" applyBorder="1" applyAlignment="1" applyProtection="1">
      <alignment horizontal="right" vertical="center" shrinkToFit="1"/>
      <protection locked="0"/>
    </xf>
    <xf numFmtId="176" fontId="17" fillId="14" borderId="62" xfId="0" applyNumberFormat="1" applyFont="1" applyFill="1" applyBorder="1" applyAlignment="1" applyProtection="1">
      <alignment horizontal="right" vertical="center" shrinkToFit="1"/>
      <protection locked="0"/>
    </xf>
    <xf numFmtId="176" fontId="17" fillId="14" borderId="117" xfId="0" applyNumberFormat="1" applyFont="1" applyFill="1" applyBorder="1" applyAlignment="1" applyProtection="1">
      <alignment horizontal="right" vertical="center" shrinkToFit="1"/>
      <protection locked="0"/>
    </xf>
    <xf numFmtId="0" fontId="17" fillId="0" borderId="59" xfId="0" applyFont="1" applyFill="1" applyBorder="1" applyAlignment="1" applyProtection="1">
      <alignment horizontal="right" vertical="center" shrinkToFit="1"/>
    </xf>
    <xf numFmtId="0" fontId="17" fillId="0" borderId="60" xfId="0" applyFont="1" applyFill="1" applyBorder="1" applyAlignment="1" applyProtection="1">
      <alignment horizontal="right" vertical="center" shrinkToFit="1"/>
    </xf>
    <xf numFmtId="0" fontId="18" fillId="0" borderId="32" xfId="0" applyFont="1" applyBorder="1" applyAlignment="1" applyProtection="1">
      <alignment horizontal="center" vertical="center"/>
    </xf>
    <xf numFmtId="0" fontId="16" fillId="16" borderId="28" xfId="0" applyFont="1" applyFill="1" applyBorder="1" applyAlignment="1" applyProtection="1">
      <alignment horizontal="center" vertical="center" shrinkToFit="1"/>
    </xf>
    <xf numFmtId="0" fontId="16" fillId="16" borderId="30" xfId="0" applyFont="1" applyFill="1" applyBorder="1" applyAlignment="1" applyProtection="1">
      <alignment horizontal="center" vertical="center" shrinkToFit="1"/>
    </xf>
    <xf numFmtId="0" fontId="28" fillId="0" borderId="35" xfId="0" applyFont="1" applyBorder="1" applyAlignment="1" applyProtection="1">
      <alignment horizontal="left" vertical="center" shrinkToFit="1"/>
    </xf>
    <xf numFmtId="0" fontId="28" fillId="0" borderId="0" xfId="0" applyFont="1" applyBorder="1" applyAlignment="1" applyProtection="1">
      <alignment horizontal="left" vertical="center" shrinkToFit="1"/>
    </xf>
    <xf numFmtId="0" fontId="28" fillId="0" borderId="52" xfId="0" applyFont="1" applyBorder="1" applyAlignment="1" applyProtection="1">
      <alignment horizontal="left" vertical="center" shrinkToFit="1"/>
    </xf>
    <xf numFmtId="0" fontId="14" fillId="0" borderId="35" xfId="0" applyFont="1" applyBorder="1" applyAlignment="1" applyProtection="1">
      <alignment horizontal="left" vertical="center"/>
    </xf>
    <xf numFmtId="0" fontId="14" fillId="0" borderId="0" xfId="0" applyFont="1" applyBorder="1" applyAlignment="1" applyProtection="1">
      <alignment horizontal="left" vertical="center"/>
    </xf>
    <xf numFmtId="0" fontId="20" fillId="0" borderId="20" xfId="0" applyFont="1" applyBorder="1" applyAlignment="1" applyProtection="1">
      <alignment horizontal="center" vertical="center" textRotation="255" wrapText="1"/>
    </xf>
    <xf numFmtId="0" fontId="20" fillId="0" borderId="0" xfId="0" applyFont="1" applyBorder="1" applyAlignment="1" applyProtection="1">
      <alignment horizontal="center" vertical="center" textRotation="255" wrapText="1"/>
    </xf>
    <xf numFmtId="0" fontId="18" fillId="0" borderId="35" xfId="0" applyFont="1" applyBorder="1" applyAlignment="1" applyProtection="1">
      <alignment horizontal="center" vertical="center" shrinkToFit="1"/>
    </xf>
    <xf numFmtId="0" fontId="18" fillId="0" borderId="0" xfId="0" applyFont="1" applyBorder="1" applyAlignment="1" applyProtection="1">
      <alignment horizontal="center" vertical="center" shrinkToFit="1"/>
    </xf>
    <xf numFmtId="0" fontId="18" fillId="0" borderId="52" xfId="0" applyFont="1" applyBorder="1" applyAlignment="1" applyProtection="1">
      <alignment horizontal="center" vertical="center" shrinkToFit="1"/>
    </xf>
    <xf numFmtId="0" fontId="14" fillId="7" borderId="57" xfId="0" applyFont="1" applyFill="1" applyBorder="1" applyAlignment="1" applyProtection="1">
      <alignment horizontal="center" vertical="center"/>
    </xf>
    <xf numFmtId="0" fontId="14" fillId="7" borderId="91" xfId="0" applyFont="1" applyFill="1" applyBorder="1" applyAlignment="1" applyProtection="1">
      <alignment horizontal="center" vertical="center"/>
    </xf>
    <xf numFmtId="0" fontId="14" fillId="14" borderId="88" xfId="0" applyFont="1" applyFill="1" applyBorder="1" applyAlignment="1" applyProtection="1">
      <alignment horizontal="right" vertical="center"/>
      <protection locked="0"/>
    </xf>
    <xf numFmtId="38" fontId="14" fillId="0" borderId="93" xfId="1" applyNumberFormat="1" applyFont="1" applyFill="1" applyBorder="1" applyAlignment="1" applyProtection="1">
      <alignment horizontal="right" vertical="center"/>
      <protection locked="0"/>
    </xf>
    <xf numFmtId="38" fontId="14" fillId="0" borderId="93" xfId="1" applyFont="1" applyBorder="1" applyAlignment="1" applyProtection="1">
      <alignment horizontal="right" vertical="center"/>
    </xf>
    <xf numFmtId="38" fontId="14" fillId="0" borderId="94" xfId="1" applyFont="1" applyBorder="1" applyAlignment="1" applyProtection="1">
      <alignment horizontal="right" vertical="center"/>
    </xf>
    <xf numFmtId="40" fontId="14" fillId="0" borderId="57" xfId="1" applyNumberFormat="1" applyFont="1" applyFill="1" applyBorder="1" applyAlignment="1" applyProtection="1">
      <alignment horizontal="center" vertical="center"/>
    </xf>
    <xf numFmtId="0" fontId="14" fillId="0" borderId="95"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90" xfId="0" applyFont="1" applyBorder="1" applyAlignment="1" applyProtection="1">
      <alignment horizontal="center" vertical="center"/>
    </xf>
    <xf numFmtId="0" fontId="0" fillId="18" borderId="102" xfId="0" applyFont="1" applyFill="1" applyBorder="1" applyAlignment="1" applyProtection="1">
      <alignment horizontal="center" vertical="center" shrinkToFit="1"/>
    </xf>
    <xf numFmtId="0" fontId="0" fillId="18" borderId="103" xfId="0" applyFont="1" applyFill="1" applyBorder="1" applyAlignment="1" applyProtection="1">
      <alignment horizontal="center" vertical="center" shrinkToFit="1"/>
    </xf>
    <xf numFmtId="0" fontId="14" fillId="18" borderId="28" xfId="0" applyFont="1" applyFill="1" applyBorder="1" applyAlignment="1" applyProtection="1">
      <alignment horizontal="left" vertical="center" shrinkToFit="1"/>
    </xf>
    <xf numFmtId="0" fontId="14" fillId="18" borderId="29" xfId="0" applyFont="1" applyFill="1" applyBorder="1" applyAlignment="1" applyProtection="1">
      <alignment horizontal="left" vertical="center" shrinkToFit="1"/>
    </xf>
    <xf numFmtId="0" fontId="14" fillId="18" borderId="30" xfId="0" applyFont="1" applyFill="1" applyBorder="1" applyAlignment="1" applyProtection="1">
      <alignment horizontal="left" vertical="center" shrinkToFit="1"/>
    </xf>
    <xf numFmtId="0" fontId="14" fillId="18" borderId="2" xfId="0" applyFont="1" applyFill="1" applyBorder="1" applyAlignment="1" applyProtection="1">
      <alignment horizontal="left" vertical="center" shrinkToFit="1"/>
    </xf>
    <xf numFmtId="0" fontId="14" fillId="18" borderId="1" xfId="0" applyFont="1" applyFill="1" applyBorder="1" applyAlignment="1" applyProtection="1">
      <alignment horizontal="left" vertical="center" shrinkToFit="1"/>
    </xf>
    <xf numFmtId="0" fontId="14" fillId="18" borderId="104" xfId="0" applyFont="1" applyFill="1" applyBorder="1" applyAlignment="1" applyProtection="1">
      <alignment horizontal="left" vertical="center" shrinkToFit="1"/>
    </xf>
    <xf numFmtId="38" fontId="14" fillId="0" borderId="88" xfId="1" applyFont="1" applyBorder="1" applyAlignment="1" applyProtection="1">
      <alignment horizontal="right" vertical="center"/>
    </xf>
    <xf numFmtId="38" fontId="14" fillId="0" borderId="89" xfId="1" applyFont="1" applyBorder="1" applyAlignment="1" applyProtection="1">
      <alignment horizontal="right" vertical="center"/>
    </xf>
    <xf numFmtId="1" fontId="14" fillId="14" borderId="84" xfId="0" applyNumberFormat="1" applyFont="1" applyFill="1" applyBorder="1" applyAlignment="1" applyProtection="1">
      <alignment horizontal="right" vertical="center"/>
      <protection locked="0"/>
    </xf>
    <xf numFmtId="38" fontId="14" fillId="0" borderId="84" xfId="1" applyFont="1" applyBorder="1" applyAlignment="1" applyProtection="1">
      <alignment horizontal="right" vertical="center"/>
    </xf>
    <xf numFmtId="38" fontId="14" fillId="0" borderId="86" xfId="1" applyFont="1" applyBorder="1" applyAlignment="1" applyProtection="1">
      <alignment horizontal="right" vertical="center"/>
    </xf>
    <xf numFmtId="0" fontId="14" fillId="14" borderId="84" xfId="0" applyFont="1" applyFill="1" applyBorder="1" applyAlignment="1" applyProtection="1">
      <alignment horizontal="right" vertical="center"/>
      <protection locked="0"/>
    </xf>
    <xf numFmtId="40" fontId="14" fillId="0" borderId="62" xfId="1" applyNumberFormat="1" applyFont="1" applyFill="1" applyBorder="1" applyAlignment="1" applyProtection="1">
      <alignment horizontal="distributed" vertical="center" justifyLastLine="1"/>
    </xf>
    <xf numFmtId="38" fontId="14" fillId="14" borderId="122" xfId="1" applyFont="1" applyFill="1" applyBorder="1" applyAlignment="1" applyProtection="1">
      <alignment horizontal="right" vertical="center"/>
      <protection locked="0"/>
    </xf>
    <xf numFmtId="38" fontId="14" fillId="14" borderId="123" xfId="1" applyFont="1" applyFill="1" applyBorder="1" applyAlignment="1" applyProtection="1">
      <alignment horizontal="right" vertical="center"/>
      <protection locked="0"/>
    </xf>
    <xf numFmtId="0" fontId="14" fillId="0" borderId="40" xfId="0" applyFont="1" applyBorder="1" applyAlignment="1" applyProtection="1">
      <alignment horizontal="right" vertical="center"/>
    </xf>
    <xf numFmtId="0" fontId="14" fillId="0" borderId="54" xfId="0" applyFont="1" applyBorder="1" applyAlignment="1" applyProtection="1">
      <alignment horizontal="right" vertical="center"/>
    </xf>
    <xf numFmtId="0" fontId="14" fillId="0" borderId="55" xfId="0" applyFont="1" applyBorder="1" applyAlignment="1" applyProtection="1">
      <alignment horizontal="right" vertical="center"/>
    </xf>
    <xf numFmtId="0" fontId="40" fillId="14" borderId="2" xfId="5" applyFont="1" applyFill="1" applyBorder="1" applyAlignment="1" applyProtection="1">
      <alignment horizontal="center" vertical="center" shrinkToFit="1"/>
      <protection locked="0"/>
    </xf>
    <xf numFmtId="0" fontId="21" fillId="14" borderId="1" xfId="0" applyFont="1" applyFill="1" applyBorder="1" applyAlignment="1" applyProtection="1">
      <alignment horizontal="center" vertical="center" shrinkToFit="1"/>
      <protection locked="0"/>
    </xf>
    <xf numFmtId="0" fontId="21" fillId="14" borderId="3" xfId="0" applyFont="1" applyFill="1" applyBorder="1" applyAlignment="1" applyProtection="1">
      <alignment horizontal="center" vertical="center" shrinkToFit="1"/>
      <protection locked="0"/>
    </xf>
    <xf numFmtId="0" fontId="13" fillId="0" borderId="40" xfId="0" applyFont="1" applyBorder="1" applyAlignment="1" applyProtection="1">
      <alignment horizontal="right" vertical="center" shrinkToFit="1"/>
    </xf>
    <xf numFmtId="0" fontId="13" fillId="0" borderId="54" xfId="0" applyFont="1" applyBorder="1" applyAlignment="1" applyProtection="1">
      <alignment horizontal="right" vertical="center" shrinkToFit="1"/>
    </xf>
    <xf numFmtId="0" fontId="13" fillId="0" borderId="55" xfId="0" applyFont="1" applyBorder="1" applyAlignment="1" applyProtection="1">
      <alignment horizontal="right" vertical="center" shrinkToFit="1"/>
    </xf>
    <xf numFmtId="0" fontId="13" fillId="0" borderId="113" xfId="0" applyFont="1" applyBorder="1" applyAlignment="1" applyProtection="1">
      <alignment horizontal="center" vertical="center" shrinkToFit="1"/>
    </xf>
    <xf numFmtId="0" fontId="13" fillId="0" borderId="114" xfId="0" applyFont="1" applyBorder="1" applyAlignment="1" applyProtection="1">
      <alignment horizontal="center" vertical="center" shrinkToFit="1"/>
    </xf>
    <xf numFmtId="0" fontId="13" fillId="0" borderId="115" xfId="0" applyFont="1" applyBorder="1" applyAlignment="1" applyProtection="1">
      <alignment horizontal="center" vertical="center" shrinkToFit="1"/>
    </xf>
    <xf numFmtId="38" fontId="14" fillId="0" borderId="84" xfId="1" applyNumberFormat="1" applyFont="1" applyFill="1" applyBorder="1" applyAlignment="1" applyProtection="1">
      <alignment horizontal="distributed" vertical="center" justifyLastLine="1"/>
    </xf>
    <xf numFmtId="38" fontId="14" fillId="14" borderId="53" xfId="1" applyFont="1" applyFill="1" applyBorder="1" applyAlignment="1" applyProtection="1">
      <alignment horizontal="right" vertical="center"/>
      <protection locked="0"/>
    </xf>
    <xf numFmtId="38" fontId="14" fillId="14" borderId="55" xfId="1" applyFont="1" applyFill="1" applyBorder="1" applyAlignment="1" applyProtection="1">
      <alignment horizontal="right" vertical="center"/>
      <protection locked="0"/>
    </xf>
    <xf numFmtId="0" fontId="14" fillId="0" borderId="100" xfId="0" applyFont="1" applyBorder="1" applyAlignment="1" applyProtection="1">
      <alignment horizontal="right" vertical="center"/>
    </xf>
    <xf numFmtId="0" fontId="14" fillId="0" borderId="109" xfId="0" applyFont="1" applyBorder="1" applyAlignment="1" applyProtection="1">
      <alignment horizontal="right" vertical="center"/>
    </xf>
    <xf numFmtId="40" fontId="14" fillId="0" borderId="84" xfId="1" applyNumberFormat="1" applyFont="1" applyFill="1" applyBorder="1" applyAlignment="1" applyProtection="1">
      <alignment horizontal="distributed" vertical="center" justifyLastLine="1"/>
    </xf>
    <xf numFmtId="0" fontId="14" fillId="0" borderId="85" xfId="0" applyFont="1" applyBorder="1" applyAlignment="1" applyProtection="1">
      <alignment horizontal="right" vertical="center"/>
    </xf>
    <xf numFmtId="0" fontId="14" fillId="0" borderId="84" xfId="0" applyFont="1" applyBorder="1" applyAlignment="1" applyProtection="1">
      <alignment horizontal="right" vertical="center"/>
    </xf>
    <xf numFmtId="0" fontId="68" fillId="0" borderId="0" xfId="5" applyFont="1" applyAlignment="1" applyProtection="1">
      <alignment horizontal="center" vertical="center"/>
    </xf>
    <xf numFmtId="38" fontId="14" fillId="0" borderId="93" xfId="1" applyNumberFormat="1" applyFont="1" applyFill="1" applyBorder="1" applyAlignment="1" applyProtection="1">
      <alignment horizontal="right" vertical="center"/>
    </xf>
    <xf numFmtId="0" fontId="14" fillId="0" borderId="35" xfId="0" applyFont="1" applyBorder="1" applyAlignment="1" applyProtection="1">
      <alignment horizontal="center" vertical="center"/>
    </xf>
    <xf numFmtId="0" fontId="14" fillId="0" borderId="63" xfId="0" applyFont="1" applyBorder="1" applyAlignment="1" applyProtection="1">
      <alignment horizontal="center" vertical="center"/>
    </xf>
    <xf numFmtId="0" fontId="6" fillId="18" borderId="102" xfId="0" applyFont="1" applyFill="1" applyBorder="1" applyAlignment="1" applyProtection="1">
      <alignment horizontal="center" vertical="center" shrinkToFit="1"/>
    </xf>
    <xf numFmtId="0" fontId="6" fillId="18" borderId="103" xfId="0" applyFont="1" applyFill="1" applyBorder="1" applyAlignment="1" applyProtection="1">
      <alignment horizontal="center" vertical="center" shrinkToFit="1"/>
    </xf>
    <xf numFmtId="38" fontId="14" fillId="14" borderId="97" xfId="1" applyFont="1" applyFill="1" applyBorder="1" applyAlignment="1" applyProtection="1">
      <alignment horizontal="right" vertical="center"/>
      <protection locked="0"/>
    </xf>
    <xf numFmtId="38" fontId="14" fillId="14" borderId="124" xfId="1" applyFont="1" applyFill="1" applyBorder="1" applyAlignment="1" applyProtection="1">
      <alignment horizontal="right" vertical="center"/>
      <protection locked="0"/>
    </xf>
    <xf numFmtId="0" fontId="25" fillId="14" borderId="2" xfId="5" applyFont="1" applyFill="1" applyBorder="1" applyAlignment="1" applyProtection="1">
      <alignment horizontal="center" vertical="center"/>
      <protection locked="0"/>
    </xf>
    <xf numFmtId="0" fontId="21" fillId="14" borderId="1" xfId="0" applyFont="1" applyFill="1" applyBorder="1" applyAlignment="1" applyProtection="1">
      <alignment horizontal="center" vertical="center"/>
      <protection locked="0"/>
    </xf>
    <xf numFmtId="0" fontId="21" fillId="14" borderId="3" xfId="0" applyFont="1" applyFill="1" applyBorder="1" applyAlignment="1" applyProtection="1">
      <alignment horizontal="center" vertical="center"/>
      <protection locked="0"/>
    </xf>
    <xf numFmtId="0" fontId="68" fillId="0" borderId="0" xfId="0" applyFont="1" applyAlignment="1" applyProtection="1">
      <alignment horizontal="center" vertical="center"/>
    </xf>
    <xf numFmtId="0" fontId="18" fillId="0" borderId="0" xfId="0" applyFont="1" applyBorder="1" applyAlignment="1" applyProtection="1">
      <alignment horizontal="center" vertical="center" textRotation="255" wrapText="1"/>
    </xf>
    <xf numFmtId="179" fontId="27" fillId="0" borderId="0" xfId="2" applyNumberFormat="1" applyFont="1" applyFill="1" applyAlignment="1" applyProtection="1">
      <alignment horizontal="center" vertical="center"/>
      <protection locked="0"/>
    </xf>
    <xf numFmtId="38" fontId="34" fillId="0" borderId="0" xfId="1" applyFont="1" applyBorder="1" applyAlignment="1" applyProtection="1">
      <alignment horizontal="right" vertical="center"/>
    </xf>
    <xf numFmtId="0" fontId="34" fillId="0" borderId="0" xfId="0" applyFont="1" applyAlignment="1" applyProtection="1">
      <alignment horizontal="left" vertical="center"/>
    </xf>
    <xf numFmtId="0" fontId="14" fillId="0" borderId="2"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2"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32" fillId="0" borderId="0" xfId="0" applyFont="1" applyAlignment="1" applyProtection="1">
      <alignment horizontal="left" vertical="center"/>
    </xf>
    <xf numFmtId="0" fontId="33" fillId="0" borderId="0" xfId="0" applyFont="1" applyAlignment="1" applyProtection="1">
      <alignment horizontal="left" vertical="center" shrinkToFit="1"/>
    </xf>
    <xf numFmtId="0" fontId="14" fillId="0" borderId="0" xfId="0" applyFont="1" applyAlignment="1" applyProtection="1">
      <alignment horizontal="left" vertical="center" wrapText="1" shrinkToFit="1"/>
    </xf>
    <xf numFmtId="0" fontId="14" fillId="0" borderId="0" xfId="0" applyFont="1" applyAlignment="1" applyProtection="1">
      <alignment horizontal="left" vertical="center" shrinkToFit="1"/>
    </xf>
    <xf numFmtId="0" fontId="14" fillId="0" borderId="0" xfId="0" applyFont="1" applyAlignment="1" applyProtection="1">
      <alignment horizontal="left" vertical="center"/>
    </xf>
    <xf numFmtId="0" fontId="14" fillId="0" borderId="2"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38" fontId="14" fillId="14" borderId="2" xfId="1" applyFont="1" applyFill="1" applyBorder="1" applyAlignment="1" applyProtection="1">
      <alignment vertical="center"/>
      <protection locked="0"/>
    </xf>
    <xf numFmtId="38" fontId="14" fillId="14" borderId="3" xfId="1" applyFont="1" applyFill="1" applyBorder="1" applyAlignment="1" applyProtection="1">
      <alignment vertical="center"/>
      <protection locked="0"/>
    </xf>
    <xf numFmtId="0" fontId="14" fillId="14" borderId="2" xfId="0" applyFont="1" applyFill="1" applyBorder="1" applyAlignment="1" applyProtection="1">
      <alignment horizontal="right" vertical="center"/>
      <protection locked="0"/>
    </xf>
    <xf numFmtId="0" fontId="14" fillId="14" borderId="3" xfId="0" applyFont="1" applyFill="1" applyBorder="1" applyAlignment="1" applyProtection="1">
      <alignment horizontal="right" vertical="center"/>
      <protection locked="0"/>
    </xf>
    <xf numFmtId="38" fontId="14" fillId="0" borderId="2" xfId="1" applyFont="1" applyBorder="1" applyAlignment="1" applyProtection="1">
      <alignment horizontal="right" vertical="center"/>
      <protection locked="0"/>
    </xf>
    <xf numFmtId="38" fontId="14" fillId="0" borderId="3" xfId="1" applyFont="1" applyBorder="1" applyAlignment="1" applyProtection="1">
      <alignment horizontal="right" vertical="center"/>
      <protection locked="0"/>
    </xf>
    <xf numFmtId="0" fontId="14" fillId="6" borderId="0" xfId="0" applyFont="1" applyFill="1" applyAlignment="1" applyProtection="1">
      <alignment horizontal="center" vertical="center" shrinkToFit="1"/>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38" fontId="14" fillId="14" borderId="2" xfId="1" applyFont="1" applyFill="1" applyBorder="1" applyAlignment="1" applyProtection="1">
      <alignment horizontal="right" vertical="center"/>
      <protection locked="0"/>
    </xf>
    <xf numFmtId="38" fontId="14" fillId="14" borderId="3" xfId="1" applyFont="1" applyFill="1" applyBorder="1" applyAlignment="1" applyProtection="1">
      <alignment horizontal="right" vertical="center"/>
      <protection locked="0"/>
    </xf>
    <xf numFmtId="0" fontId="14" fillId="14" borderId="2" xfId="0" applyFont="1" applyFill="1" applyBorder="1" applyAlignment="1" applyProtection="1">
      <alignment vertical="center"/>
      <protection locked="0"/>
    </xf>
    <xf numFmtId="0" fontId="14" fillId="14" borderId="3" xfId="0" applyFont="1" applyFill="1" applyBorder="1" applyAlignment="1" applyProtection="1">
      <alignment vertical="center"/>
      <protection locked="0"/>
    </xf>
    <xf numFmtId="0" fontId="14" fillId="0" borderId="2" xfId="0" applyFont="1" applyFill="1" applyBorder="1" applyAlignment="1" applyProtection="1">
      <alignment vertical="center"/>
      <protection locked="0"/>
    </xf>
    <xf numFmtId="0" fontId="14" fillId="0" borderId="3" xfId="0" applyFont="1" applyFill="1" applyBorder="1" applyAlignment="1" applyProtection="1">
      <alignment vertical="center"/>
      <protection locked="0"/>
    </xf>
    <xf numFmtId="0" fontId="14" fillId="0" borderId="2" xfId="0" applyFont="1" applyBorder="1" applyAlignment="1" applyProtection="1">
      <alignment horizontal="right" vertical="center"/>
      <protection locked="0"/>
    </xf>
    <xf numFmtId="0" fontId="14" fillId="0" borderId="3" xfId="0" applyFont="1" applyBorder="1" applyAlignment="1" applyProtection="1">
      <alignment horizontal="right" vertical="center"/>
      <protection locked="0"/>
    </xf>
    <xf numFmtId="0" fontId="32"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14" fillId="0" borderId="0" xfId="0" applyFont="1" applyAlignment="1" applyProtection="1">
      <alignment horizontal="left" vertical="center" wrapText="1"/>
    </xf>
    <xf numFmtId="187" fontId="34" fillId="0" borderId="0" xfId="0" applyNumberFormat="1" applyFont="1" applyAlignment="1" applyProtection="1">
      <alignment horizontal="right" vertical="center"/>
    </xf>
    <xf numFmtId="9" fontId="14" fillId="14" borderId="7" xfId="2" applyFont="1" applyFill="1" applyBorder="1" applyAlignment="1" applyProtection="1">
      <alignment horizontal="right" vertical="center"/>
      <protection locked="0"/>
    </xf>
    <xf numFmtId="38" fontId="14" fillId="0" borderId="28" xfId="1" applyFont="1" applyBorder="1" applyAlignment="1" applyProtection="1">
      <alignment horizontal="right" vertical="center"/>
      <protection locked="0"/>
    </xf>
    <xf numFmtId="38" fontId="14" fillId="0" borderId="30" xfId="1" applyFont="1" applyBorder="1" applyAlignment="1" applyProtection="1">
      <alignment horizontal="right" vertical="center"/>
      <protection locked="0"/>
    </xf>
    <xf numFmtId="0" fontId="14" fillId="0" borderId="2" xfId="0" applyFont="1" applyFill="1" applyBorder="1" applyAlignment="1" applyProtection="1">
      <alignment horizontal="left" vertical="center"/>
      <protection locked="0"/>
    </xf>
    <xf numFmtId="0" fontId="14" fillId="0" borderId="1" xfId="0" applyFont="1" applyFill="1" applyBorder="1" applyAlignment="1" applyProtection="1">
      <alignment horizontal="left" vertical="center"/>
      <protection locked="0"/>
    </xf>
    <xf numFmtId="38" fontId="14" fillId="0" borderId="26" xfId="1" applyFont="1" applyBorder="1" applyAlignment="1" applyProtection="1">
      <alignment horizontal="right" vertical="center"/>
      <protection locked="0"/>
    </xf>
    <xf numFmtId="38" fontId="14" fillId="0" borderId="60" xfId="1" applyFont="1" applyBorder="1" applyAlignment="1" applyProtection="1">
      <alignment horizontal="right" vertical="center"/>
      <protection locked="0"/>
    </xf>
    <xf numFmtId="0" fontId="14" fillId="14" borderId="2" xfId="0" applyFont="1" applyFill="1" applyBorder="1" applyAlignment="1" applyProtection="1">
      <alignment horizontal="center" vertical="center" shrinkToFit="1"/>
      <protection locked="0"/>
    </xf>
    <xf numFmtId="0" fontId="14" fillId="14" borderId="3" xfId="0" applyFont="1" applyFill="1" applyBorder="1" applyAlignment="1" applyProtection="1">
      <alignment horizontal="center" vertical="center" shrinkToFit="1"/>
      <protection locked="0"/>
    </xf>
    <xf numFmtId="38" fontId="14" fillId="14" borderId="2" xfId="1" applyFont="1" applyFill="1" applyBorder="1" applyAlignment="1" applyProtection="1">
      <alignment horizontal="center" vertical="center" shrinkToFit="1"/>
      <protection locked="0"/>
    </xf>
    <xf numFmtId="38" fontId="14" fillId="14" borderId="3" xfId="1" applyFont="1" applyFill="1" applyBorder="1" applyAlignment="1" applyProtection="1">
      <alignment horizontal="center" vertical="center" shrinkToFit="1"/>
      <protection locked="0"/>
    </xf>
    <xf numFmtId="0" fontId="14" fillId="14" borderId="2" xfId="0" applyFont="1" applyFill="1" applyBorder="1" applyAlignment="1" applyProtection="1">
      <alignment horizontal="center" vertical="center"/>
      <protection locked="0"/>
    </xf>
    <xf numFmtId="0" fontId="14" fillId="14" borderId="3" xfId="0" applyFont="1" applyFill="1" applyBorder="1" applyAlignment="1" applyProtection="1">
      <alignment horizontal="center" vertical="center"/>
      <protection locked="0"/>
    </xf>
    <xf numFmtId="38" fontId="14" fillId="0" borderId="2" xfId="1" applyFont="1" applyFill="1" applyBorder="1" applyAlignment="1" applyProtection="1">
      <alignment horizontal="right" vertical="center"/>
      <protection locked="0"/>
    </xf>
    <xf numFmtId="38" fontId="14" fillId="0" borderId="3" xfId="1" applyFont="1" applyFill="1" applyBorder="1" applyAlignment="1" applyProtection="1">
      <alignment horizontal="right" vertical="center"/>
      <protection locked="0"/>
    </xf>
    <xf numFmtId="0" fontId="14" fillId="0" borderId="2"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53" fillId="0" borderId="0" xfId="5" applyFont="1" applyBorder="1" applyAlignment="1" applyProtection="1">
      <alignment horizontal="center" vertical="center"/>
    </xf>
    <xf numFmtId="0" fontId="54" fillId="0" borderId="0" xfId="5" applyFont="1" applyBorder="1" applyAlignment="1" applyProtection="1">
      <alignment horizontal="center" vertical="center"/>
    </xf>
    <xf numFmtId="0" fontId="30" fillId="16" borderId="0" xfId="0" applyFont="1" applyFill="1" applyAlignment="1" applyProtection="1">
      <alignment horizontal="left" vertical="center"/>
    </xf>
    <xf numFmtId="0" fontId="52" fillId="0" borderId="0" xfId="5" applyFont="1" applyBorder="1" applyAlignment="1" applyProtection="1">
      <alignment horizontal="center" vertical="center"/>
    </xf>
    <xf numFmtId="38" fontId="14" fillId="0" borderId="28" xfId="1" applyFont="1" applyFill="1" applyBorder="1" applyAlignment="1" applyProtection="1">
      <alignment horizontal="right" vertical="center"/>
      <protection locked="0"/>
    </xf>
    <xf numFmtId="38" fontId="14" fillId="0" borderId="30" xfId="1" applyFont="1" applyFill="1" applyBorder="1" applyAlignment="1" applyProtection="1">
      <alignment horizontal="right" vertical="center"/>
      <protection locked="0"/>
    </xf>
    <xf numFmtId="38" fontId="14" fillId="0" borderId="26" xfId="1" applyFont="1" applyFill="1" applyBorder="1" applyAlignment="1" applyProtection="1">
      <alignment horizontal="right" vertical="center"/>
      <protection locked="0"/>
    </xf>
    <xf numFmtId="38" fontId="14" fillId="0" borderId="60" xfId="1" applyFont="1" applyFill="1" applyBorder="1" applyAlignment="1" applyProtection="1">
      <alignment horizontal="right" vertical="center"/>
      <protection locked="0"/>
    </xf>
    <xf numFmtId="0" fontId="51" fillId="0" borderId="0" xfId="5" applyFont="1" applyBorder="1" applyAlignment="1" applyProtection="1">
      <alignment horizontal="center" vertical="center" shrinkToFit="1"/>
    </xf>
    <xf numFmtId="0" fontId="13" fillId="0" borderId="7" xfId="6" applyFont="1" applyFill="1" applyBorder="1" applyAlignment="1" applyProtection="1">
      <alignment horizontal="center" vertical="center"/>
    </xf>
    <xf numFmtId="0" fontId="13" fillId="17" borderId="7" xfId="6" applyFont="1" applyFill="1" applyBorder="1" applyAlignment="1" applyProtection="1">
      <alignment horizontal="center" vertical="center" shrinkToFit="1"/>
    </xf>
    <xf numFmtId="0" fontId="13" fillId="17" borderId="7" xfId="6" applyNumberFormat="1" applyFont="1" applyFill="1" applyBorder="1" applyAlignment="1" applyProtection="1">
      <alignment horizontal="center" vertical="center" shrinkToFit="1"/>
    </xf>
    <xf numFmtId="0" fontId="30" fillId="10" borderId="28" xfId="0" applyFont="1" applyFill="1" applyBorder="1" applyAlignment="1" applyProtection="1">
      <alignment horizontal="center" vertical="center"/>
    </xf>
    <xf numFmtId="0" fontId="30" fillId="10" borderId="29" xfId="0" applyFont="1" applyFill="1" applyBorder="1" applyAlignment="1" applyProtection="1">
      <alignment horizontal="center" vertical="center"/>
    </xf>
    <xf numFmtId="0" fontId="30" fillId="10" borderId="30" xfId="0" applyFont="1" applyFill="1" applyBorder="1" applyAlignment="1" applyProtection="1">
      <alignment horizontal="center" vertical="center"/>
    </xf>
    <xf numFmtId="0" fontId="30" fillId="10" borderId="31" xfId="0" applyFont="1" applyFill="1" applyBorder="1" applyAlignment="1" applyProtection="1">
      <alignment horizontal="center" vertical="center"/>
    </xf>
    <xf numFmtId="0" fontId="30" fillId="10" borderId="32" xfId="0" applyFont="1" applyFill="1" applyBorder="1" applyAlignment="1" applyProtection="1">
      <alignment horizontal="center" vertical="center"/>
    </xf>
    <xf numFmtId="0" fontId="30" fillId="10" borderId="33" xfId="0" applyFont="1" applyFill="1" applyBorder="1" applyAlignment="1" applyProtection="1">
      <alignment horizontal="center" vertical="center"/>
    </xf>
    <xf numFmtId="38" fontId="46" fillId="15" borderId="28" xfId="1" applyFont="1" applyFill="1" applyBorder="1" applyAlignment="1" applyProtection="1">
      <alignment horizontal="right" vertical="center"/>
    </xf>
    <xf numFmtId="38" fontId="46" fillId="15" borderId="29" xfId="1" applyFont="1" applyFill="1" applyBorder="1" applyAlignment="1" applyProtection="1">
      <alignment horizontal="right" vertical="center"/>
    </xf>
    <xf numFmtId="38" fontId="46" fillId="15" borderId="30" xfId="1" applyFont="1" applyFill="1" applyBorder="1" applyAlignment="1" applyProtection="1">
      <alignment horizontal="right" vertical="center"/>
    </xf>
    <xf numFmtId="38" fontId="46" fillId="15" borderId="31" xfId="1" applyFont="1" applyFill="1" applyBorder="1" applyAlignment="1" applyProtection="1">
      <alignment horizontal="right" vertical="center"/>
    </xf>
    <xf numFmtId="38" fontId="46" fillId="15" borderId="32" xfId="1" applyFont="1" applyFill="1" applyBorder="1" applyAlignment="1" applyProtection="1">
      <alignment horizontal="right" vertical="center"/>
    </xf>
    <xf numFmtId="38" fontId="46" fillId="15" borderId="33" xfId="1" applyFont="1" applyFill="1" applyBorder="1" applyAlignment="1" applyProtection="1">
      <alignment horizontal="right" vertical="center"/>
    </xf>
    <xf numFmtId="0" fontId="30" fillId="10" borderId="35" xfId="0" applyFont="1" applyFill="1" applyBorder="1" applyAlignment="1" applyProtection="1">
      <alignment horizontal="center" vertical="center"/>
    </xf>
    <xf numFmtId="0" fontId="30" fillId="10" borderId="0" xfId="0" applyFont="1" applyFill="1" applyBorder="1" applyAlignment="1" applyProtection="1">
      <alignment horizontal="center" vertical="center"/>
    </xf>
    <xf numFmtId="0" fontId="30" fillId="8" borderId="7" xfId="0" applyFont="1" applyFill="1" applyBorder="1" applyAlignment="1" applyProtection="1">
      <alignment horizontal="center" vertical="center"/>
    </xf>
    <xf numFmtId="0" fontId="46" fillId="14" borderId="7" xfId="0" applyFont="1" applyFill="1" applyBorder="1" applyAlignment="1" applyProtection="1">
      <alignment horizontal="center" vertical="center"/>
    </xf>
    <xf numFmtId="0" fontId="64" fillId="15" borderId="7" xfId="0" applyFont="1" applyFill="1" applyBorder="1" applyAlignment="1" applyProtection="1">
      <alignment horizontal="center" vertical="center"/>
    </xf>
    <xf numFmtId="0" fontId="64" fillId="15" borderId="2" xfId="0" applyFont="1" applyFill="1" applyBorder="1" applyAlignment="1" applyProtection="1">
      <alignment horizontal="center" vertical="center"/>
    </xf>
    <xf numFmtId="0" fontId="64" fillId="15" borderId="1" xfId="0" applyFont="1" applyFill="1" applyBorder="1" applyAlignment="1" applyProtection="1">
      <alignment horizontal="center" vertical="center"/>
    </xf>
    <xf numFmtId="0" fontId="64" fillId="15" borderId="3" xfId="0" applyFont="1" applyFill="1" applyBorder="1" applyAlignment="1" applyProtection="1">
      <alignment horizontal="center" vertical="center"/>
    </xf>
    <xf numFmtId="0" fontId="71" fillId="0" borderId="0" xfId="0" applyFont="1" applyAlignment="1" applyProtection="1">
      <alignment horizontal="center" vertical="center"/>
    </xf>
    <xf numFmtId="38" fontId="46" fillId="15" borderId="28" xfId="0" applyNumberFormat="1" applyFont="1" applyFill="1" applyBorder="1" applyAlignment="1" applyProtection="1">
      <alignment horizontal="right" vertical="center"/>
    </xf>
    <xf numFmtId="38" fontId="46" fillId="15" borderId="29" xfId="0" applyNumberFormat="1" applyFont="1" applyFill="1" applyBorder="1" applyAlignment="1" applyProtection="1">
      <alignment horizontal="right" vertical="center"/>
    </xf>
    <xf numFmtId="38" fontId="46" fillId="15" borderId="30" xfId="0" applyNumberFormat="1" applyFont="1" applyFill="1" applyBorder="1" applyAlignment="1" applyProtection="1">
      <alignment horizontal="right" vertical="center"/>
    </xf>
    <xf numFmtId="38" fontId="46" fillId="15" borderId="31" xfId="0" applyNumberFormat="1" applyFont="1" applyFill="1" applyBorder="1" applyAlignment="1" applyProtection="1">
      <alignment horizontal="right" vertical="center"/>
    </xf>
    <xf numFmtId="38" fontId="46" fillId="15" borderId="32" xfId="0" applyNumberFormat="1" applyFont="1" applyFill="1" applyBorder="1" applyAlignment="1" applyProtection="1">
      <alignment horizontal="right" vertical="center"/>
    </xf>
    <xf numFmtId="38" fontId="46" fillId="15" borderId="33" xfId="0" applyNumberFormat="1" applyFont="1" applyFill="1" applyBorder="1" applyAlignment="1" applyProtection="1">
      <alignment horizontal="right" vertical="center"/>
    </xf>
    <xf numFmtId="0" fontId="64" fillId="0" borderId="0" xfId="0" applyFont="1" applyBorder="1" applyAlignment="1" applyProtection="1">
      <alignment horizontal="right" vertical="center"/>
    </xf>
    <xf numFmtId="181" fontId="64" fillId="0" borderId="0" xfId="1" applyNumberFormat="1" applyFont="1" applyBorder="1" applyAlignment="1" applyProtection="1">
      <alignment horizontal="center" vertical="center"/>
    </xf>
    <xf numFmtId="0" fontId="64" fillId="11" borderId="15" xfId="0" applyFont="1" applyFill="1" applyBorder="1" applyAlignment="1" applyProtection="1">
      <alignment horizontal="center" vertical="center"/>
    </xf>
    <xf numFmtId="0" fontId="30" fillId="12" borderId="28" xfId="0" applyFont="1" applyFill="1" applyBorder="1" applyAlignment="1" applyProtection="1">
      <alignment horizontal="center" vertical="center"/>
    </xf>
    <xf numFmtId="0" fontId="30" fillId="12" borderId="29" xfId="0" applyFont="1" applyFill="1" applyBorder="1" applyAlignment="1" applyProtection="1">
      <alignment horizontal="center" vertical="center"/>
    </xf>
    <xf numFmtId="0" fontId="30" fillId="12" borderId="30" xfId="0" applyFont="1" applyFill="1" applyBorder="1" applyAlignment="1" applyProtection="1">
      <alignment horizontal="center" vertical="center"/>
    </xf>
    <xf numFmtId="0" fontId="30" fillId="12" borderId="31" xfId="0" applyFont="1" applyFill="1" applyBorder="1" applyAlignment="1" applyProtection="1">
      <alignment horizontal="center" vertical="center"/>
    </xf>
    <xf numFmtId="0" fontId="30" fillId="12" borderId="32" xfId="0" applyFont="1" applyFill="1" applyBorder="1" applyAlignment="1" applyProtection="1">
      <alignment horizontal="center" vertical="center"/>
    </xf>
    <xf numFmtId="0" fontId="30" fillId="12" borderId="33" xfId="0" applyFont="1" applyFill="1" applyBorder="1" applyAlignment="1" applyProtection="1">
      <alignment horizontal="center" vertical="center"/>
    </xf>
    <xf numFmtId="38" fontId="46" fillId="11" borderId="28" xfId="0" applyNumberFormat="1" applyFont="1" applyFill="1" applyBorder="1" applyAlignment="1" applyProtection="1">
      <alignment horizontal="right" vertical="center"/>
    </xf>
    <xf numFmtId="38" fontId="46" fillId="11" borderId="29" xfId="0" applyNumberFormat="1" applyFont="1" applyFill="1" applyBorder="1" applyAlignment="1" applyProtection="1">
      <alignment horizontal="right" vertical="center"/>
    </xf>
    <xf numFmtId="38" fontId="46" fillId="11" borderId="30" xfId="0" applyNumberFormat="1" applyFont="1" applyFill="1" applyBorder="1" applyAlignment="1" applyProtection="1">
      <alignment horizontal="right" vertical="center"/>
    </xf>
    <xf numFmtId="38" fontId="46" fillId="11" borderId="31" xfId="0" applyNumberFormat="1" applyFont="1" applyFill="1" applyBorder="1" applyAlignment="1" applyProtection="1">
      <alignment horizontal="right" vertical="center"/>
    </xf>
    <xf numFmtId="38" fontId="46" fillId="11" borderId="32" xfId="0" applyNumberFormat="1" applyFont="1" applyFill="1" applyBorder="1" applyAlignment="1" applyProtection="1">
      <alignment horizontal="right" vertical="center"/>
    </xf>
    <xf numFmtId="38" fontId="46" fillId="11" borderId="33" xfId="0" applyNumberFormat="1" applyFont="1" applyFill="1" applyBorder="1" applyAlignment="1" applyProtection="1">
      <alignment horizontal="right" vertical="center"/>
    </xf>
    <xf numFmtId="0" fontId="64" fillId="0" borderId="0" xfId="0" applyFont="1" applyFill="1" applyBorder="1" applyAlignment="1" applyProtection="1">
      <alignment horizontal="center" vertical="center"/>
    </xf>
    <xf numFmtId="0" fontId="64" fillId="9" borderId="7" xfId="0" applyFont="1" applyFill="1" applyBorder="1" applyAlignment="1" applyProtection="1">
      <alignment horizontal="center" vertical="center"/>
    </xf>
    <xf numFmtId="38" fontId="46" fillId="11" borderId="28" xfId="1" applyFont="1" applyFill="1" applyBorder="1" applyAlignment="1" applyProtection="1">
      <alignment horizontal="right" vertical="center"/>
    </xf>
    <xf numFmtId="38" fontId="46" fillId="11" borderId="29" xfId="1" applyFont="1" applyFill="1" applyBorder="1" applyAlignment="1" applyProtection="1">
      <alignment horizontal="right" vertical="center"/>
    </xf>
    <xf numFmtId="38" fontId="46" fillId="11" borderId="30" xfId="1" applyFont="1" applyFill="1" applyBorder="1" applyAlignment="1" applyProtection="1">
      <alignment horizontal="right" vertical="center"/>
    </xf>
    <xf numFmtId="38" fontId="46" fillId="11" borderId="31" xfId="1" applyFont="1" applyFill="1" applyBorder="1" applyAlignment="1" applyProtection="1">
      <alignment horizontal="right" vertical="center"/>
    </xf>
    <xf numFmtId="38" fontId="46" fillId="11" borderId="32" xfId="1" applyFont="1" applyFill="1" applyBorder="1" applyAlignment="1" applyProtection="1">
      <alignment horizontal="right" vertical="center"/>
    </xf>
    <xf numFmtId="38" fontId="46" fillId="11" borderId="33" xfId="1" applyFont="1" applyFill="1" applyBorder="1" applyAlignment="1" applyProtection="1">
      <alignment horizontal="right" vertical="center"/>
    </xf>
    <xf numFmtId="0" fontId="30" fillId="13" borderId="28" xfId="0" applyFont="1" applyFill="1" applyBorder="1" applyAlignment="1" applyProtection="1">
      <alignment horizontal="center" vertical="center"/>
    </xf>
    <xf numFmtId="0" fontId="30" fillId="13" borderId="29" xfId="0" applyFont="1" applyFill="1" applyBorder="1" applyAlignment="1" applyProtection="1">
      <alignment horizontal="center" vertical="center"/>
    </xf>
    <xf numFmtId="0" fontId="30" fillId="13" borderId="30" xfId="0" applyFont="1" applyFill="1" applyBorder="1" applyAlignment="1" applyProtection="1">
      <alignment horizontal="center" vertical="center"/>
    </xf>
    <xf numFmtId="0" fontId="30" fillId="13" borderId="31" xfId="0" applyFont="1" applyFill="1" applyBorder="1" applyAlignment="1" applyProtection="1">
      <alignment horizontal="center" vertical="center"/>
    </xf>
    <xf numFmtId="0" fontId="30" fillId="13" borderId="32" xfId="0" applyFont="1" applyFill="1" applyBorder="1" applyAlignment="1" applyProtection="1">
      <alignment horizontal="center" vertical="center"/>
    </xf>
    <xf numFmtId="0" fontId="30" fillId="13" borderId="33" xfId="0" applyFont="1" applyFill="1" applyBorder="1" applyAlignment="1" applyProtection="1">
      <alignment horizontal="center" vertical="center"/>
    </xf>
    <xf numFmtId="180" fontId="46" fillId="9" borderId="28" xfId="0" applyNumberFormat="1" applyFont="1" applyFill="1" applyBorder="1" applyAlignment="1" applyProtection="1">
      <alignment horizontal="right" vertical="center"/>
    </xf>
    <xf numFmtId="180" fontId="46" fillId="9" borderId="29" xfId="0" applyNumberFormat="1" applyFont="1" applyFill="1" applyBorder="1" applyAlignment="1" applyProtection="1">
      <alignment horizontal="right" vertical="center"/>
    </xf>
    <xf numFmtId="180" fontId="46" fillId="9" borderId="30" xfId="0" applyNumberFormat="1" applyFont="1" applyFill="1" applyBorder="1" applyAlignment="1" applyProtection="1">
      <alignment horizontal="right" vertical="center"/>
    </xf>
    <xf numFmtId="180" fontId="46" fillId="9" borderId="31" xfId="0" applyNumberFormat="1" applyFont="1" applyFill="1" applyBorder="1" applyAlignment="1" applyProtection="1">
      <alignment horizontal="right" vertical="center"/>
    </xf>
    <xf numFmtId="180" fontId="46" fillId="9" borderId="32" xfId="0" applyNumberFormat="1" applyFont="1" applyFill="1" applyBorder="1" applyAlignment="1" applyProtection="1">
      <alignment horizontal="right" vertical="center"/>
    </xf>
    <xf numFmtId="180" fontId="46" fillId="9" borderId="33" xfId="0" applyNumberFormat="1" applyFont="1" applyFill="1" applyBorder="1" applyAlignment="1" applyProtection="1">
      <alignment horizontal="right" vertical="center"/>
    </xf>
    <xf numFmtId="0" fontId="13" fillId="0" borderId="2" xfId="0" applyFont="1" applyBorder="1" applyAlignment="1" applyProtection="1">
      <alignment horizontal="distributed" vertical="center" justifyLastLine="1"/>
    </xf>
    <xf numFmtId="0" fontId="13" fillId="0" borderId="1" xfId="0" applyFont="1" applyBorder="1" applyAlignment="1" applyProtection="1">
      <alignment horizontal="distributed" vertical="center" justifyLastLine="1"/>
    </xf>
    <xf numFmtId="0" fontId="13" fillId="0" borderId="3" xfId="0" applyFont="1" applyBorder="1" applyAlignment="1" applyProtection="1">
      <alignment horizontal="distributed" vertical="center" justifyLastLine="1"/>
    </xf>
    <xf numFmtId="0" fontId="13" fillId="0" borderId="7" xfId="0" applyFont="1" applyBorder="1" applyAlignment="1" applyProtection="1">
      <alignment horizontal="right" vertical="center"/>
    </xf>
    <xf numFmtId="0" fontId="13" fillId="0" borderId="7" xfId="0" applyFont="1" applyBorder="1" applyAlignment="1" applyProtection="1">
      <alignment horizontal="center" vertical="center" shrinkToFit="1"/>
    </xf>
    <xf numFmtId="0" fontId="13" fillId="0" borderId="7" xfId="0" applyFont="1" applyBorder="1" applyAlignment="1" applyProtection="1">
      <alignment horizontal="distributed" vertical="center" justifyLastLine="1"/>
    </xf>
    <xf numFmtId="38" fontId="13" fillId="0" borderId="7" xfId="0" applyNumberFormat="1" applyFont="1" applyBorder="1" applyAlignment="1" applyProtection="1">
      <alignment horizontal="right" vertical="center"/>
    </xf>
    <xf numFmtId="0" fontId="42" fillId="0" borderId="7" xfId="0" applyFont="1" applyBorder="1" applyAlignment="1" applyProtection="1">
      <alignment horizontal="center" vertical="center" shrinkToFit="1"/>
    </xf>
    <xf numFmtId="185" fontId="13" fillId="0" borderId="7" xfId="0" applyNumberFormat="1" applyFont="1" applyBorder="1" applyAlignment="1" applyProtection="1">
      <alignment horizontal="right" vertical="center"/>
    </xf>
    <xf numFmtId="0" fontId="13" fillId="0" borderId="7" xfId="0" applyFont="1" applyBorder="1" applyAlignment="1" applyProtection="1">
      <alignment horizontal="left" vertical="center" shrinkToFit="1"/>
    </xf>
    <xf numFmtId="38" fontId="13" fillId="0" borderId="7" xfId="1" applyFont="1" applyBorder="1" applyAlignment="1" applyProtection="1">
      <alignment horizontal="right" vertical="center"/>
    </xf>
    <xf numFmtId="2" fontId="13" fillId="0" borderId="7" xfId="0" applyNumberFormat="1" applyFont="1" applyBorder="1" applyAlignment="1" applyProtection="1">
      <alignment horizontal="right" vertical="center"/>
    </xf>
    <xf numFmtId="0" fontId="13" fillId="0" borderId="28" xfId="0" applyFont="1" applyBorder="1" applyAlignment="1" applyProtection="1">
      <alignment horizontal="center" vertical="center" shrinkToFit="1"/>
    </xf>
    <xf numFmtId="0" fontId="13" fillId="0" borderId="29" xfId="0" applyFont="1" applyBorder="1" applyAlignment="1" applyProtection="1">
      <alignment horizontal="center" vertical="center" shrinkToFit="1"/>
    </xf>
    <xf numFmtId="0" fontId="13" fillId="0" borderId="2" xfId="6" applyFont="1" applyFill="1" applyBorder="1" applyAlignment="1" applyProtection="1">
      <alignment horizontal="center" vertical="center"/>
    </xf>
    <xf numFmtId="0" fontId="13" fillId="0" borderId="1" xfId="6" applyFont="1" applyFill="1" applyBorder="1" applyAlignment="1" applyProtection="1">
      <alignment horizontal="center" vertical="center"/>
    </xf>
    <xf numFmtId="0" fontId="13" fillId="0" borderId="3" xfId="6" applyFont="1" applyFill="1" applyBorder="1" applyAlignment="1" applyProtection="1">
      <alignment horizontal="center" vertical="center"/>
    </xf>
    <xf numFmtId="0" fontId="13" fillId="0" borderId="2" xfId="0" applyFont="1" applyBorder="1" applyAlignment="1" applyProtection="1">
      <alignment vertical="center" shrinkToFit="1"/>
    </xf>
    <xf numFmtId="0" fontId="13" fillId="0" borderId="1" xfId="0" applyFont="1" applyBorder="1" applyAlignment="1" applyProtection="1">
      <alignment vertical="center" shrinkToFit="1"/>
    </xf>
    <xf numFmtId="0" fontId="13" fillId="0" borderId="3" xfId="0" applyFont="1" applyBorder="1" applyAlignment="1" applyProtection="1">
      <alignment vertical="center" shrinkToFit="1"/>
    </xf>
    <xf numFmtId="0" fontId="13" fillId="0" borderId="15" xfId="0" applyFont="1" applyBorder="1" applyAlignment="1" applyProtection="1">
      <alignment horizontal="center" vertical="center" shrinkToFit="1"/>
    </xf>
    <xf numFmtId="185" fontId="13" fillId="0" borderId="7" xfId="2" applyNumberFormat="1" applyFont="1" applyBorder="1" applyAlignment="1" applyProtection="1">
      <alignment horizontal="right" vertical="center"/>
    </xf>
    <xf numFmtId="0" fontId="13" fillId="0" borderId="2" xfId="0" applyFont="1" applyBorder="1" applyAlignment="1" applyProtection="1">
      <alignment horizontal="center" vertical="center" shrinkToFit="1"/>
    </xf>
    <xf numFmtId="0" fontId="13" fillId="0" borderId="1" xfId="0" applyFont="1" applyBorder="1" applyAlignment="1" applyProtection="1">
      <alignment horizontal="center" vertical="center" shrinkToFit="1"/>
    </xf>
    <xf numFmtId="0" fontId="13" fillId="0" borderId="3" xfId="0" applyFont="1" applyBorder="1" applyAlignment="1" applyProtection="1">
      <alignment horizontal="center" vertical="center" shrinkToFit="1"/>
    </xf>
    <xf numFmtId="189" fontId="18" fillId="0" borderId="0" xfId="0" applyNumberFormat="1" applyFont="1" applyAlignment="1" applyProtection="1">
      <alignment horizontal="left" vertical="center"/>
    </xf>
    <xf numFmtId="0" fontId="51" fillId="0" borderId="0" xfId="5" applyFont="1" applyAlignment="1" applyProtection="1">
      <alignment horizontal="center" vertical="center"/>
    </xf>
    <xf numFmtId="0" fontId="65" fillId="0" borderId="0" xfId="0" applyFont="1" applyAlignment="1" applyProtection="1">
      <alignment horizontal="center" vertical="center"/>
    </xf>
    <xf numFmtId="0" fontId="13" fillId="17" borderId="2" xfId="6" applyNumberFormat="1" applyFont="1" applyFill="1" applyBorder="1" applyAlignment="1" applyProtection="1">
      <alignment horizontal="center" vertical="center" shrinkToFit="1"/>
    </xf>
    <xf numFmtId="0" fontId="13" fillId="17" borderId="1" xfId="6" applyNumberFormat="1" applyFont="1" applyFill="1" applyBorder="1" applyAlignment="1" applyProtection="1">
      <alignment horizontal="center" vertical="center" shrinkToFit="1"/>
    </xf>
    <xf numFmtId="0" fontId="13" fillId="17" borderId="3" xfId="6" applyNumberFormat="1" applyFont="1" applyFill="1" applyBorder="1" applyAlignment="1" applyProtection="1">
      <alignment horizontal="center" vertical="center" shrinkToFit="1"/>
    </xf>
    <xf numFmtId="0" fontId="13" fillId="0" borderId="99" xfId="0" applyFont="1" applyFill="1" applyBorder="1" applyAlignment="1">
      <alignment horizontal="center" vertical="center" shrinkToFit="1"/>
    </xf>
    <xf numFmtId="0" fontId="13" fillId="0" borderId="98" xfId="0" applyFont="1" applyFill="1" applyBorder="1" applyAlignment="1">
      <alignment horizontal="center" vertical="center" shrinkToFit="1"/>
    </xf>
    <xf numFmtId="0" fontId="42" fillId="7" borderId="40" xfId="0" applyFont="1" applyFill="1" applyBorder="1" applyAlignment="1">
      <alignment horizontal="center" vertical="center" shrinkToFit="1"/>
    </xf>
    <xf numFmtId="0" fontId="42" fillId="7" borderId="125" xfId="0" applyFont="1" applyFill="1" applyBorder="1" applyAlignment="1">
      <alignment horizontal="center" vertical="center" shrinkToFit="1"/>
    </xf>
    <xf numFmtId="0" fontId="13" fillId="0" borderId="40" xfId="0" applyFont="1" applyBorder="1" applyAlignment="1">
      <alignment vertical="center" shrinkToFit="1"/>
    </xf>
    <xf numFmtId="0" fontId="13" fillId="0" borderId="125" xfId="0" applyFont="1" applyBorder="1" applyAlignment="1">
      <alignment vertical="center" shrinkToFit="1"/>
    </xf>
    <xf numFmtId="0" fontId="13" fillId="7" borderId="64" xfId="0" applyFont="1" applyFill="1" applyBorder="1" applyAlignment="1" applyProtection="1">
      <alignment horizontal="center" vertical="center" shrinkToFit="1"/>
    </xf>
    <xf numFmtId="0" fontId="42" fillId="7" borderId="64" xfId="0" applyFont="1" applyFill="1" applyBorder="1" applyAlignment="1">
      <alignment horizontal="center" vertical="center" shrinkToFit="1"/>
    </xf>
    <xf numFmtId="0" fontId="42" fillId="0" borderId="64" xfId="0" applyFont="1" applyFill="1" applyBorder="1" applyAlignment="1">
      <alignment horizontal="center" vertical="center" shrinkToFit="1"/>
    </xf>
    <xf numFmtId="0" fontId="49" fillId="7" borderId="64" xfId="0" applyFont="1" applyFill="1" applyBorder="1" applyAlignment="1">
      <alignment horizontal="center" vertical="center" shrinkToFit="1"/>
    </xf>
    <xf numFmtId="0" fontId="35" fillId="7" borderId="64" xfId="0" applyFont="1" applyFill="1" applyBorder="1" applyAlignment="1" applyProtection="1">
      <alignment horizontal="center" vertical="center" shrinkToFit="1"/>
    </xf>
    <xf numFmtId="0" fontId="49" fillId="7" borderId="20" xfId="0" applyFont="1" applyFill="1" applyBorder="1" applyAlignment="1">
      <alignment horizontal="center" vertical="center" shrinkToFit="1"/>
    </xf>
    <xf numFmtId="0" fontId="13" fillId="5" borderId="20" xfId="0" applyFont="1" applyFill="1" applyBorder="1" applyAlignment="1" applyProtection="1">
      <alignment horizontal="right" vertical="center" shrinkToFit="1"/>
    </xf>
    <xf numFmtId="0" fontId="13" fillId="0" borderId="20" xfId="0" applyFont="1" applyFill="1" applyBorder="1" applyAlignment="1">
      <alignment horizontal="center" vertical="center" shrinkToFit="1"/>
    </xf>
    <xf numFmtId="0" fontId="13" fillId="5" borderId="64" xfId="0" applyFont="1" applyFill="1" applyBorder="1" applyAlignment="1">
      <alignment horizontal="center" vertical="center" shrinkToFit="1"/>
    </xf>
    <xf numFmtId="0" fontId="45" fillId="0" borderId="99" xfId="0" applyFont="1" applyBorder="1" applyAlignment="1">
      <alignment horizontal="center" vertical="center" textRotation="255" wrapText="1" shrinkToFit="1"/>
    </xf>
    <xf numFmtId="0" fontId="45" fillId="0" borderId="20" xfId="0" applyFont="1" applyBorder="1" applyAlignment="1">
      <alignment horizontal="center" vertical="center" textRotation="255" wrapText="1" shrinkToFit="1"/>
    </xf>
    <xf numFmtId="0" fontId="45" fillId="0" borderId="98" xfId="0" applyFont="1" applyBorder="1" applyAlignment="1">
      <alignment horizontal="center" vertical="center" textRotation="255" wrapText="1" shrinkToFit="1"/>
    </xf>
    <xf numFmtId="0" fontId="49" fillId="7" borderId="15" xfId="0" applyFont="1" applyFill="1" applyBorder="1" applyAlignment="1">
      <alignment horizontal="center" vertical="center" shrinkToFit="1"/>
    </xf>
    <xf numFmtId="0" fontId="35" fillId="7" borderId="15" xfId="0" applyFont="1" applyFill="1" applyBorder="1" applyAlignment="1" applyProtection="1">
      <alignment horizontal="center" vertical="center" shrinkToFit="1"/>
    </xf>
    <xf numFmtId="0" fontId="49" fillId="7" borderId="65" xfId="0" applyFont="1" applyFill="1" applyBorder="1" applyAlignment="1">
      <alignment horizontal="center" vertical="center" shrinkToFit="1"/>
    </xf>
    <xf numFmtId="0" fontId="42" fillId="5" borderId="64" xfId="0" applyFont="1" applyFill="1" applyBorder="1" applyAlignment="1">
      <alignment horizontal="center" vertical="center" shrinkToFit="1"/>
    </xf>
    <xf numFmtId="0" fontId="24" fillId="0" borderId="0" xfId="5" applyFont="1" applyAlignment="1">
      <alignment horizontal="center" vertical="center"/>
    </xf>
    <xf numFmtId="0" fontId="41" fillId="0" borderId="0" xfId="5" applyFont="1" applyAlignment="1">
      <alignment horizontal="center" vertical="center"/>
    </xf>
    <xf numFmtId="0" fontId="27" fillId="0" borderId="0" xfId="0" applyFont="1" applyAlignment="1">
      <alignment horizontal="left" vertical="center" shrinkToFit="1"/>
    </xf>
    <xf numFmtId="0" fontId="13" fillId="18" borderId="66" xfId="0" applyFont="1" applyFill="1" applyBorder="1" applyAlignment="1">
      <alignment horizontal="center" vertical="center" wrapText="1"/>
    </xf>
    <xf numFmtId="0" fontId="13" fillId="18" borderId="66" xfId="0" applyFont="1" applyFill="1" applyBorder="1" applyAlignment="1">
      <alignment horizontal="center" vertical="center"/>
    </xf>
    <xf numFmtId="0" fontId="13" fillId="18" borderId="66" xfId="0" applyFont="1" applyFill="1" applyBorder="1" applyAlignment="1" applyProtection="1">
      <alignment horizontal="center" vertical="center" wrapText="1" shrinkToFit="1"/>
    </xf>
    <xf numFmtId="0" fontId="13" fillId="18" borderId="66" xfId="0" applyFont="1" applyFill="1" applyBorder="1" applyAlignment="1" applyProtection="1">
      <alignment horizontal="center" vertical="center" shrinkToFit="1"/>
    </xf>
    <xf numFmtId="0" fontId="13" fillId="0" borderId="64" xfId="0" applyFont="1" applyBorder="1" applyAlignment="1">
      <alignment horizontal="center" vertical="center" shrinkToFit="1"/>
    </xf>
    <xf numFmtId="0" fontId="28" fillId="0" borderId="64" xfId="0" applyFont="1" applyBorder="1" applyAlignment="1">
      <alignment horizontal="center" vertical="center" textRotation="255" wrapText="1" shrinkToFit="1"/>
    </xf>
    <xf numFmtId="0" fontId="28" fillId="0" borderId="64" xfId="0" applyFont="1" applyBorder="1" applyAlignment="1">
      <alignment horizontal="center" vertical="center" textRotation="255" shrinkToFit="1"/>
    </xf>
    <xf numFmtId="0" fontId="42" fillId="0" borderId="64" xfId="0" applyFont="1" applyFill="1" applyBorder="1" applyAlignment="1">
      <alignment horizontal="left" vertical="center" shrinkToFit="1"/>
    </xf>
    <xf numFmtId="0" fontId="42" fillId="7" borderId="65" xfId="0" applyFont="1" applyFill="1" applyBorder="1" applyAlignment="1">
      <alignment horizontal="center" vertical="center" shrinkToFit="1"/>
    </xf>
    <xf numFmtId="0" fontId="42" fillId="7" borderId="66" xfId="0" applyFont="1" applyFill="1" applyBorder="1" applyAlignment="1">
      <alignment horizontal="center" vertical="center" shrinkToFit="1"/>
    </xf>
    <xf numFmtId="0" fontId="13" fillId="0" borderId="64" xfId="0" applyFont="1" applyFill="1" applyBorder="1" applyAlignment="1">
      <alignment horizontal="center" vertical="center" shrinkToFit="1"/>
    </xf>
    <xf numFmtId="0" fontId="19" fillId="5" borderId="64" xfId="5" applyFill="1" applyBorder="1" applyAlignment="1">
      <alignment horizontal="center" vertical="center" shrinkToFit="1"/>
    </xf>
    <xf numFmtId="0" fontId="13" fillId="0" borderId="0" xfId="0" applyFont="1" applyBorder="1" applyAlignment="1">
      <alignment horizontal="center" vertical="center" shrinkToFit="1"/>
    </xf>
    <xf numFmtId="0" fontId="45" fillId="0" borderId="64" xfId="0" applyFont="1" applyBorder="1" applyAlignment="1">
      <alignment horizontal="center" vertical="center" textRotation="255" wrapText="1" shrinkToFit="1"/>
    </xf>
    <xf numFmtId="0" fontId="45" fillId="0" borderId="64" xfId="0" applyFont="1" applyBorder="1" applyAlignment="1">
      <alignment horizontal="center" vertical="center" textRotation="255" shrinkToFit="1"/>
    </xf>
    <xf numFmtId="0" fontId="35" fillId="7" borderId="65" xfId="0" applyFont="1" applyFill="1" applyBorder="1" applyAlignment="1" applyProtection="1">
      <alignment horizontal="center" vertical="center" shrinkToFit="1"/>
    </xf>
    <xf numFmtId="0" fontId="13" fillId="0" borderId="65" xfId="0" applyFont="1" applyFill="1" applyBorder="1" applyAlignment="1">
      <alignment horizontal="center" vertical="center" shrinkToFit="1"/>
    </xf>
    <xf numFmtId="0" fontId="13" fillId="5" borderId="65" xfId="0" applyFont="1" applyFill="1" applyBorder="1" applyAlignment="1">
      <alignment horizontal="center" vertical="center" shrinkToFit="1"/>
    </xf>
    <xf numFmtId="0" fontId="13" fillId="7" borderId="65" xfId="0" applyFont="1" applyFill="1" applyBorder="1" applyAlignment="1" applyProtection="1">
      <alignment horizontal="center" vertical="center" shrinkToFit="1"/>
    </xf>
    <xf numFmtId="0" fontId="21" fillId="0" borderId="0" xfId="0" applyFont="1" applyAlignment="1" applyProtection="1">
      <alignment horizontal="left" vertical="center" shrinkToFit="1"/>
    </xf>
    <xf numFmtId="0" fontId="26" fillId="0" borderId="32" xfId="0" applyFont="1" applyBorder="1" applyAlignment="1" applyProtection="1">
      <alignment horizontal="center" vertical="center" shrinkToFit="1"/>
    </xf>
    <xf numFmtId="0" fontId="43" fillId="0" borderId="0" xfId="0" applyFont="1" applyBorder="1" applyAlignment="1" applyProtection="1">
      <alignment horizontal="center" vertical="center" shrinkToFit="1"/>
    </xf>
    <xf numFmtId="0" fontId="16" fillId="16" borderId="7" xfId="0" applyFont="1" applyFill="1" applyBorder="1" applyAlignment="1" applyProtection="1">
      <alignment horizontal="center" vertical="center" shrinkToFit="1"/>
    </xf>
    <xf numFmtId="0" fontId="24" fillId="0" borderId="0" xfId="5" applyFont="1" applyAlignment="1" applyProtection="1">
      <alignment horizontal="center" vertical="center" shrinkToFit="1"/>
    </xf>
    <xf numFmtId="0" fontId="13" fillId="0" borderId="0" xfId="0" applyFont="1" applyAlignment="1" applyProtection="1">
      <alignment horizontal="center" vertical="center" shrinkToFit="1"/>
    </xf>
    <xf numFmtId="177" fontId="46" fillId="0" borderId="7" xfId="0" applyNumberFormat="1" applyFont="1" applyBorder="1" applyAlignment="1" applyProtection="1">
      <alignment horizontal="center" vertical="center" shrinkToFit="1"/>
    </xf>
    <xf numFmtId="0" fontId="13" fillId="0" borderId="29" xfId="0" applyFont="1" applyBorder="1" applyAlignment="1" applyProtection="1">
      <alignment horizontal="center"/>
    </xf>
    <xf numFmtId="0" fontId="27" fillId="0" borderId="0" xfId="0" applyFont="1" applyAlignment="1" applyProtection="1">
      <alignment horizontal="left" vertical="center" shrinkToFit="1"/>
    </xf>
    <xf numFmtId="0" fontId="42" fillId="0" borderId="64" xfId="0" applyFont="1" applyBorder="1" applyAlignment="1">
      <alignment vertical="center" shrinkToFit="1"/>
    </xf>
    <xf numFmtId="0" fontId="42" fillId="5" borderId="64" xfId="0" applyFont="1" applyFill="1" applyBorder="1" applyAlignment="1">
      <alignment vertical="center" shrinkToFit="1"/>
    </xf>
    <xf numFmtId="0" fontId="59" fillId="0" borderId="0" xfId="5" applyFont="1" applyAlignment="1">
      <alignment horizontal="center" wrapText="1"/>
    </xf>
    <xf numFmtId="0" fontId="16" fillId="16" borderId="2" xfId="0" applyFont="1" applyFill="1" applyBorder="1" applyAlignment="1" applyProtection="1">
      <alignment horizontal="center" vertical="center" shrinkToFit="1"/>
    </xf>
    <xf numFmtId="0" fontId="16" fillId="16" borderId="1" xfId="0" applyFont="1" applyFill="1" applyBorder="1" applyAlignment="1" applyProtection="1">
      <alignment horizontal="center" vertical="center" shrinkToFit="1"/>
    </xf>
    <xf numFmtId="0" fontId="16" fillId="16" borderId="3" xfId="0" applyFont="1" applyFill="1" applyBorder="1" applyAlignment="1" applyProtection="1">
      <alignment horizontal="center" vertical="center" shrinkToFit="1"/>
    </xf>
    <xf numFmtId="177" fontId="46" fillId="0" borderId="2" xfId="0" applyNumberFormat="1" applyFont="1" applyBorder="1" applyAlignment="1" applyProtection="1">
      <alignment horizontal="center" vertical="center" shrinkToFit="1"/>
    </xf>
    <xf numFmtId="177" fontId="46" fillId="0" borderId="1" xfId="0" applyNumberFormat="1" applyFont="1" applyBorder="1" applyAlignment="1" applyProtection="1">
      <alignment horizontal="center" vertical="center" shrinkToFit="1"/>
    </xf>
    <xf numFmtId="177" fontId="46" fillId="0" borderId="3" xfId="0" applyNumberFormat="1" applyFont="1" applyBorder="1" applyAlignment="1" applyProtection="1">
      <alignment horizontal="center" vertical="center" shrinkToFit="1"/>
    </xf>
    <xf numFmtId="0" fontId="13" fillId="0" borderId="29" xfId="0" applyFont="1" applyBorder="1" applyAlignment="1" applyProtection="1">
      <alignment horizontal="center" vertical="center"/>
    </xf>
    <xf numFmtId="0" fontId="42" fillId="7" borderId="64" xfId="0" applyFont="1" applyFill="1" applyBorder="1" applyAlignment="1" applyProtection="1">
      <alignment horizontal="center" vertical="center" shrinkToFit="1"/>
    </xf>
    <xf numFmtId="0" fontId="13" fillId="0" borderId="64" xfId="0" applyFont="1" applyFill="1" applyBorder="1" applyAlignment="1" applyProtection="1">
      <alignment horizontal="center" vertical="center" shrinkToFit="1"/>
    </xf>
    <xf numFmtId="0" fontId="42" fillId="7" borderId="65" xfId="0" applyFont="1" applyFill="1" applyBorder="1" applyAlignment="1" applyProtection="1">
      <alignment horizontal="center" vertical="center" shrinkToFit="1"/>
    </xf>
    <xf numFmtId="0" fontId="42" fillId="7" borderId="66" xfId="0" applyFont="1" applyFill="1" applyBorder="1" applyAlignment="1" applyProtection="1">
      <alignment horizontal="center" vertical="center" shrinkToFit="1"/>
    </xf>
    <xf numFmtId="0" fontId="42" fillId="5" borderId="64" xfId="0" applyFont="1" applyFill="1" applyBorder="1" applyAlignment="1" applyProtection="1">
      <alignment horizontal="center" vertical="center" shrinkToFit="1"/>
    </xf>
    <xf numFmtId="0" fontId="24" fillId="0" borderId="0" xfId="5" applyFont="1" applyAlignment="1" applyProtection="1">
      <alignment horizontal="center" vertical="center"/>
    </xf>
    <xf numFmtId="0" fontId="41" fillId="0" borderId="0" xfId="5" applyFont="1" applyAlignment="1" applyProtection="1">
      <alignment horizontal="center" vertical="center"/>
    </xf>
    <xf numFmtId="0" fontId="13" fillId="0" borderId="64" xfId="0" applyFont="1" applyBorder="1" applyAlignment="1" applyProtection="1">
      <alignment horizontal="center" vertical="center" shrinkToFit="1"/>
    </xf>
    <xf numFmtId="0" fontId="28" fillId="0" borderId="64" xfId="0" applyFont="1" applyBorder="1" applyAlignment="1" applyProtection="1">
      <alignment horizontal="center" vertical="center" textRotation="255" wrapText="1" shrinkToFit="1"/>
    </xf>
    <xf numFmtId="0" fontId="28" fillId="0" borderId="64" xfId="0" applyFont="1" applyBorder="1" applyAlignment="1" applyProtection="1">
      <alignment horizontal="center" vertical="center" textRotation="255" shrinkToFit="1"/>
    </xf>
    <xf numFmtId="0" fontId="13" fillId="5" borderId="64" xfId="0" applyFont="1" applyFill="1" applyBorder="1" applyAlignment="1" applyProtection="1">
      <alignment horizontal="center" vertical="center" shrinkToFit="1"/>
    </xf>
    <xf numFmtId="0" fontId="19" fillId="5" borderId="64" xfId="5" applyFill="1" applyBorder="1" applyAlignment="1" applyProtection="1">
      <alignment horizontal="center" vertical="center" shrinkToFit="1"/>
    </xf>
    <xf numFmtId="0" fontId="80" fillId="0" borderId="64" xfId="0" applyFont="1" applyBorder="1" applyAlignment="1">
      <alignment horizontal="center" vertical="center" textRotation="255" wrapText="1" shrinkToFit="1"/>
    </xf>
    <xf numFmtId="0" fontId="80" fillId="0" borderId="64" xfId="0" applyFont="1" applyBorder="1" applyAlignment="1">
      <alignment horizontal="center" vertical="center" textRotation="255" shrinkToFit="1"/>
    </xf>
    <xf numFmtId="0" fontId="42" fillId="7" borderId="20" xfId="0" applyFont="1" applyFill="1" applyBorder="1" applyAlignment="1" applyProtection="1">
      <alignment horizontal="center" vertical="center" shrinkToFit="1"/>
    </xf>
    <xf numFmtId="0" fontId="13" fillId="7" borderId="20" xfId="0" applyFont="1" applyFill="1" applyBorder="1" applyAlignment="1" applyProtection="1">
      <alignment horizontal="center" vertical="center" shrinkToFit="1"/>
    </xf>
    <xf numFmtId="0" fontId="49" fillId="7" borderId="12" xfId="0" applyFont="1" applyFill="1" applyBorder="1" applyAlignment="1">
      <alignment horizontal="center" vertical="center" shrinkToFit="1"/>
    </xf>
    <xf numFmtId="0" fontId="35" fillId="7" borderId="12" xfId="0" applyFont="1" applyFill="1" applyBorder="1" applyAlignment="1" applyProtection="1">
      <alignment horizontal="center" vertical="center" shrinkToFit="1"/>
    </xf>
    <xf numFmtId="0" fontId="49" fillId="7" borderId="66" xfId="0" applyFont="1" applyFill="1" applyBorder="1" applyAlignment="1">
      <alignment horizontal="center" vertical="center" shrinkToFit="1"/>
    </xf>
    <xf numFmtId="0" fontId="35" fillId="7" borderId="66" xfId="0" applyFont="1" applyFill="1" applyBorder="1" applyAlignment="1" applyProtection="1">
      <alignment horizontal="center" vertical="center" shrinkToFit="1"/>
    </xf>
    <xf numFmtId="0" fontId="80" fillId="0" borderId="99" xfId="0" applyFont="1" applyBorder="1" applyAlignment="1" applyProtection="1">
      <alignment horizontal="center" vertical="center" textRotation="255" wrapText="1" shrinkToFit="1"/>
    </xf>
    <xf numFmtId="0" fontId="80" fillId="0" borderId="20" xfId="0" applyFont="1" applyBorder="1" applyAlignment="1" applyProtection="1">
      <alignment horizontal="center" vertical="center" textRotation="255" wrapText="1" shrinkToFit="1"/>
    </xf>
    <xf numFmtId="0" fontId="80" fillId="0" borderId="98" xfId="0" applyFont="1" applyBorder="1" applyAlignment="1" applyProtection="1">
      <alignment horizontal="center" vertical="center" textRotation="255" wrapText="1" shrinkToFit="1"/>
    </xf>
    <xf numFmtId="0" fontId="13" fillId="18" borderId="66" xfId="0" applyFont="1" applyFill="1" applyBorder="1" applyAlignment="1" applyProtection="1">
      <alignment horizontal="center" vertical="center" wrapText="1"/>
    </xf>
    <xf numFmtId="0" fontId="43" fillId="0" borderId="29" xfId="0" applyFont="1" applyBorder="1" applyAlignment="1" applyProtection="1">
      <alignment horizontal="center" vertical="center" shrinkToFit="1"/>
    </xf>
    <xf numFmtId="0" fontId="42" fillId="5" borderId="64" xfId="0" applyFont="1" applyFill="1" applyBorder="1" applyAlignment="1" applyProtection="1">
      <alignment vertical="center" shrinkToFit="1"/>
    </xf>
    <xf numFmtId="0" fontId="13" fillId="0" borderId="99" xfId="0" applyFont="1" applyFill="1" applyBorder="1" applyAlignment="1" applyProtection="1">
      <alignment horizontal="center" vertical="center" shrinkToFit="1"/>
    </xf>
    <xf numFmtId="0" fontId="13" fillId="0" borderId="20" xfId="0" applyFont="1" applyFill="1" applyBorder="1" applyAlignment="1" applyProtection="1">
      <alignment horizontal="center" vertical="center" shrinkToFit="1"/>
    </xf>
    <xf numFmtId="0" fontId="13" fillId="0" borderId="98" xfId="0" applyFont="1" applyFill="1" applyBorder="1" applyAlignment="1" applyProtection="1">
      <alignment horizontal="center" vertical="center" shrinkToFit="1"/>
    </xf>
    <xf numFmtId="0" fontId="42" fillId="0" borderId="64" xfId="0" applyFont="1" applyFill="1" applyBorder="1" applyAlignment="1" applyProtection="1">
      <alignment horizontal="center" vertical="center" shrinkToFit="1"/>
    </xf>
    <xf numFmtId="0" fontId="59" fillId="0" borderId="0" xfId="5" applyFont="1" applyAlignment="1" applyProtection="1">
      <alignment horizontal="center"/>
    </xf>
    <xf numFmtId="0" fontId="28" fillId="0" borderId="64" xfId="0" applyFont="1" applyBorder="1" applyAlignment="1" applyProtection="1">
      <alignment horizontal="center" vertical="center" textRotation="255" wrapText="1" shrinkToFit="1"/>
      <protection locked="0"/>
    </xf>
    <xf numFmtId="0" fontId="28" fillId="0" borderId="64" xfId="0" applyFont="1" applyBorder="1" applyAlignment="1" applyProtection="1">
      <alignment horizontal="center" vertical="center" textRotation="255" shrinkToFit="1"/>
      <protection locked="0"/>
    </xf>
    <xf numFmtId="0" fontId="80" fillId="0" borderId="64" xfId="0" applyFont="1" applyBorder="1" applyAlignment="1" applyProtection="1">
      <alignment horizontal="center" vertical="center" textRotation="255" wrapText="1" shrinkToFit="1"/>
      <protection locked="0"/>
    </xf>
    <xf numFmtId="0" fontId="80" fillId="0" borderId="64" xfId="0" applyFont="1" applyBorder="1" applyAlignment="1" applyProtection="1">
      <alignment horizontal="center" vertical="center" textRotation="255" shrinkToFit="1"/>
      <protection locked="0"/>
    </xf>
    <xf numFmtId="0" fontId="49" fillId="7" borderId="20" xfId="0" applyFont="1" applyFill="1" applyBorder="1" applyAlignment="1" applyProtection="1">
      <alignment horizontal="center" vertical="center" shrinkToFit="1"/>
    </xf>
    <xf numFmtId="0" fontId="35" fillId="7" borderId="20" xfId="0" applyFont="1" applyFill="1" applyBorder="1" applyAlignment="1" applyProtection="1">
      <alignment horizontal="center" vertical="center" shrinkToFit="1"/>
    </xf>
    <xf numFmtId="0" fontId="49" fillId="7" borderId="64" xfId="0" applyFont="1" applyFill="1" applyBorder="1" applyAlignment="1" applyProtection="1">
      <alignment horizontal="center" vertical="center" shrinkToFit="1"/>
    </xf>
    <xf numFmtId="0" fontId="80" fillId="0" borderId="99" xfId="0" applyFont="1" applyBorder="1" applyAlignment="1" applyProtection="1">
      <alignment horizontal="center" vertical="center" textRotation="255" wrapText="1" shrinkToFit="1"/>
      <protection locked="0"/>
    </xf>
    <xf numFmtId="0" fontId="80" fillId="0" borderId="20" xfId="0" applyFont="1" applyBorder="1" applyAlignment="1" applyProtection="1">
      <alignment horizontal="center" vertical="center" textRotation="255" wrapText="1" shrinkToFit="1"/>
      <protection locked="0"/>
    </xf>
    <xf numFmtId="0" fontId="80" fillId="0" borderId="98" xfId="0" applyFont="1" applyBorder="1" applyAlignment="1" applyProtection="1">
      <alignment horizontal="center" vertical="center" textRotation="255" wrapText="1" shrinkToFit="1"/>
      <protection locked="0"/>
    </xf>
    <xf numFmtId="0" fontId="45" fillId="0" borderId="99" xfId="0" applyFont="1" applyBorder="1" applyAlignment="1" applyProtection="1">
      <alignment horizontal="center" vertical="center" textRotation="255" wrapText="1" shrinkToFit="1"/>
    </xf>
    <xf numFmtId="0" fontId="45" fillId="0" borderId="20" xfId="0" applyFont="1" applyBorder="1" applyAlignment="1" applyProtection="1">
      <alignment horizontal="center" vertical="center" textRotation="255" wrapText="1" shrinkToFit="1"/>
    </xf>
    <xf numFmtId="0" fontId="45" fillId="0" borderId="98" xfId="0" applyFont="1" applyBorder="1" applyAlignment="1" applyProtection="1">
      <alignment horizontal="center" vertical="center" textRotation="255" wrapText="1" shrinkToFit="1"/>
    </xf>
    <xf numFmtId="0" fontId="42" fillId="0" borderId="64" xfId="0" applyFont="1" applyBorder="1" applyAlignment="1" applyProtection="1">
      <alignment vertical="center" shrinkToFit="1"/>
    </xf>
    <xf numFmtId="0" fontId="77" fillId="20" borderId="40" xfId="0" applyFont="1" applyFill="1" applyBorder="1" applyAlignment="1" applyProtection="1">
      <alignment horizontal="center" vertical="center"/>
      <protection locked="0"/>
    </xf>
    <xf numFmtId="0" fontId="77" fillId="20" borderId="54" xfId="0" applyFont="1" applyFill="1" applyBorder="1" applyAlignment="1" applyProtection="1">
      <alignment horizontal="center" vertical="center"/>
      <protection locked="0"/>
    </xf>
    <xf numFmtId="0" fontId="77" fillId="20" borderId="55" xfId="0" applyFont="1" applyFill="1" applyBorder="1" applyAlignment="1" applyProtection="1">
      <alignment horizontal="center" vertical="center"/>
      <protection locked="0"/>
    </xf>
    <xf numFmtId="0" fontId="77" fillId="20" borderId="53" xfId="0" applyFont="1" applyFill="1" applyBorder="1" applyAlignment="1" applyProtection="1">
      <alignment horizontal="center" vertical="center"/>
      <protection locked="0"/>
    </xf>
    <xf numFmtId="0" fontId="77" fillId="20" borderId="125" xfId="0" applyFont="1" applyFill="1" applyBorder="1" applyAlignment="1" applyProtection="1">
      <alignment horizontal="center" vertical="center"/>
      <protection locked="0"/>
    </xf>
    <xf numFmtId="0" fontId="13" fillId="0" borderId="100" xfId="0" applyFont="1" applyBorder="1" applyAlignment="1" applyProtection="1">
      <alignment horizontal="center" vertical="center"/>
      <protection locked="0"/>
    </xf>
    <xf numFmtId="0" fontId="13" fillId="0" borderId="109" xfId="0" applyFont="1" applyBorder="1" applyAlignment="1" applyProtection="1">
      <alignment horizontal="center" vertical="center"/>
      <protection locked="0"/>
    </xf>
    <xf numFmtId="0" fontId="13" fillId="0" borderId="109" xfId="0" applyFont="1" applyFill="1" applyBorder="1" applyAlignment="1" applyProtection="1">
      <alignment horizontal="center" vertical="center"/>
      <protection locked="0"/>
    </xf>
    <xf numFmtId="0" fontId="13" fillId="0" borderId="101" xfId="0" applyFont="1" applyFill="1" applyBorder="1" applyAlignment="1" applyProtection="1">
      <alignment horizontal="center" vertical="center"/>
      <protection locked="0"/>
    </xf>
    <xf numFmtId="0" fontId="42" fillId="0" borderId="0" xfId="0" applyFont="1" applyAlignment="1" applyProtection="1">
      <alignment horizontal="center" wrapText="1"/>
      <protection locked="0"/>
    </xf>
    <xf numFmtId="0" fontId="42" fillId="0" borderId="0" xfId="0" applyFont="1" applyAlignment="1" applyProtection="1">
      <alignment horizontal="center"/>
      <protection locked="0"/>
    </xf>
    <xf numFmtId="0" fontId="28" fillId="0" borderId="0" xfId="0" applyFont="1" applyAlignment="1" applyProtection="1">
      <alignment horizontal="right"/>
      <protection locked="0"/>
    </xf>
    <xf numFmtId="0" fontId="14" fillId="6" borderId="0" xfId="0" applyFont="1" applyFill="1" applyAlignment="1" applyProtection="1">
      <alignment horizontal="center"/>
      <protection locked="0"/>
    </xf>
    <xf numFmtId="0" fontId="28" fillId="0" borderId="0" xfId="0" applyFont="1" applyAlignment="1" applyProtection="1">
      <alignment horizontal="left"/>
      <protection locked="0"/>
    </xf>
    <xf numFmtId="0" fontId="13" fillId="0" borderId="32" xfId="0" applyFont="1" applyBorder="1" applyAlignment="1" applyProtection="1">
      <alignment horizontal="center"/>
      <protection locked="0"/>
    </xf>
    <xf numFmtId="0" fontId="13" fillId="0" borderId="85" xfId="0" applyFont="1" applyBorder="1" applyAlignment="1" applyProtection="1">
      <alignment horizontal="center" vertical="center"/>
      <protection locked="0"/>
    </xf>
    <xf numFmtId="0" fontId="13" fillId="0" borderId="84" xfId="0" applyFont="1" applyBorder="1" applyAlignment="1" applyProtection="1">
      <alignment horizontal="center" vertical="center"/>
      <protection locked="0"/>
    </xf>
    <xf numFmtId="0" fontId="13" fillId="0" borderId="84" xfId="0" applyFont="1" applyFill="1" applyBorder="1" applyAlignment="1" applyProtection="1">
      <alignment horizontal="center" vertical="center"/>
      <protection locked="0"/>
    </xf>
    <xf numFmtId="0" fontId="13" fillId="0" borderId="86" xfId="0" applyFont="1" applyFill="1" applyBorder="1" applyAlignment="1" applyProtection="1">
      <alignment horizontal="center" vertical="center"/>
      <protection locked="0"/>
    </xf>
    <xf numFmtId="0" fontId="13" fillId="6" borderId="84" xfId="0" applyFont="1" applyFill="1" applyBorder="1" applyAlignment="1" applyProtection="1">
      <alignment horizontal="center" vertical="center"/>
      <protection locked="0"/>
    </xf>
    <xf numFmtId="0" fontId="13" fillId="6" borderId="86" xfId="0" applyFont="1" applyFill="1" applyBorder="1" applyAlignment="1" applyProtection="1">
      <alignment horizontal="center" vertical="center"/>
      <protection locked="0"/>
    </xf>
    <xf numFmtId="181" fontId="13" fillId="14" borderId="84" xfId="1" applyNumberFormat="1" applyFont="1" applyFill="1" applyBorder="1" applyAlignment="1" applyProtection="1">
      <alignment horizontal="right" vertical="center"/>
      <protection locked="0"/>
    </xf>
    <xf numFmtId="181" fontId="13" fillId="0" borderId="84" xfId="1" applyNumberFormat="1" applyFont="1" applyBorder="1" applyAlignment="1" applyProtection="1">
      <alignment horizontal="right" vertical="center" shrinkToFit="1"/>
      <protection locked="0"/>
    </xf>
    <xf numFmtId="181" fontId="13" fillId="0" borderId="84" xfId="1" applyNumberFormat="1" applyFont="1" applyBorder="1" applyAlignment="1" applyProtection="1">
      <alignment horizontal="right" vertical="center"/>
    </xf>
    <xf numFmtId="181" fontId="13" fillId="0" borderId="86" xfId="1" applyNumberFormat="1" applyFont="1" applyBorder="1" applyAlignment="1" applyProtection="1">
      <alignment horizontal="right" vertical="center"/>
    </xf>
    <xf numFmtId="0" fontId="13" fillId="20" borderId="85" xfId="0" applyFont="1" applyFill="1" applyBorder="1" applyAlignment="1" applyProtection="1">
      <alignment horizontal="center" vertical="center" wrapText="1"/>
      <protection locked="0"/>
    </xf>
    <xf numFmtId="0" fontId="13" fillId="20" borderId="84" xfId="0" applyFont="1" applyFill="1" applyBorder="1" applyAlignment="1" applyProtection="1">
      <alignment horizontal="center" vertical="center" wrapText="1"/>
      <protection locked="0"/>
    </xf>
    <xf numFmtId="0" fontId="13" fillId="20" borderId="120" xfId="0" applyFont="1" applyFill="1" applyBorder="1" applyAlignment="1" applyProtection="1">
      <alignment horizontal="center" vertical="center" wrapText="1"/>
      <protection locked="0"/>
    </xf>
    <xf numFmtId="0" fontId="13" fillId="20" borderId="56" xfId="0" applyFont="1" applyFill="1" applyBorder="1" applyAlignment="1" applyProtection="1">
      <alignment horizontal="center" vertical="center" wrapText="1"/>
      <protection locked="0"/>
    </xf>
    <xf numFmtId="0" fontId="13" fillId="20" borderId="84" xfId="0" applyFont="1" applyFill="1" applyBorder="1" applyAlignment="1" applyProtection="1">
      <alignment horizontal="center" vertical="center"/>
      <protection locked="0"/>
    </xf>
    <xf numFmtId="181" fontId="13" fillId="20" borderId="84" xfId="0" applyNumberFormat="1" applyFont="1" applyFill="1" applyBorder="1" applyAlignment="1" applyProtection="1">
      <alignment horizontal="center" vertical="center"/>
      <protection locked="0"/>
    </xf>
    <xf numFmtId="181" fontId="13" fillId="20" borderId="86" xfId="0" applyNumberFormat="1" applyFont="1" applyFill="1" applyBorder="1" applyAlignment="1" applyProtection="1">
      <alignment horizontal="center" vertical="center"/>
      <protection locked="0"/>
    </xf>
    <xf numFmtId="0" fontId="13" fillId="20" borderId="56" xfId="0" applyFont="1" applyFill="1" applyBorder="1" applyAlignment="1" applyProtection="1">
      <alignment horizontal="center" vertical="center"/>
      <protection locked="0"/>
    </xf>
    <xf numFmtId="181" fontId="13" fillId="20" borderId="56" xfId="0" applyNumberFormat="1" applyFont="1" applyFill="1" applyBorder="1" applyAlignment="1" applyProtection="1">
      <alignment horizontal="center" vertical="center"/>
      <protection locked="0"/>
    </xf>
    <xf numFmtId="181" fontId="13" fillId="20" borderId="121" xfId="0" applyNumberFormat="1" applyFont="1" applyFill="1" applyBorder="1" applyAlignment="1" applyProtection="1">
      <alignment horizontal="center" vertical="center"/>
      <protection locked="0"/>
    </xf>
    <xf numFmtId="0" fontId="13" fillId="0" borderId="32" xfId="0" applyFont="1" applyBorder="1" applyAlignment="1" applyProtection="1">
      <alignment horizontal="center" vertical="center"/>
      <protection locked="0"/>
    </xf>
    <xf numFmtId="0" fontId="48" fillId="0" borderId="100" xfId="0" applyFont="1" applyBorder="1" applyAlignment="1" applyProtection="1">
      <alignment horizontal="center" vertical="center"/>
      <protection locked="0"/>
    </xf>
    <xf numFmtId="0" fontId="48" fillId="0" borderId="109" xfId="0" applyFont="1" applyBorder="1" applyAlignment="1" applyProtection="1">
      <alignment horizontal="center" vertical="center"/>
      <protection locked="0"/>
    </xf>
    <xf numFmtId="0" fontId="13" fillId="0" borderId="101" xfId="0" applyFont="1" applyBorder="1" applyAlignment="1" applyProtection="1">
      <alignment horizontal="center" vertical="center"/>
      <protection locked="0"/>
    </xf>
    <xf numFmtId="181" fontId="13" fillId="0" borderId="84" xfId="1" applyNumberFormat="1" applyFont="1" applyBorder="1" applyAlignment="1" applyProtection="1">
      <alignment horizontal="right" vertical="center"/>
      <protection locked="0"/>
    </xf>
    <xf numFmtId="0" fontId="13" fillId="0" borderId="120" xfId="0" applyFont="1" applyBorder="1" applyAlignment="1" applyProtection="1">
      <alignment horizontal="center" vertical="center"/>
      <protection locked="0"/>
    </xf>
    <xf numFmtId="0" fontId="13" fillId="0" borderId="56" xfId="0" applyFont="1" applyBorder="1" applyAlignment="1" applyProtection="1">
      <alignment horizontal="center" vertical="center"/>
      <protection locked="0"/>
    </xf>
    <xf numFmtId="181" fontId="13" fillId="5" borderId="56" xfId="1" applyNumberFormat="1" applyFont="1" applyFill="1" applyBorder="1" applyAlignment="1" applyProtection="1">
      <alignment horizontal="right" vertical="center"/>
    </xf>
    <xf numFmtId="181" fontId="13" fillId="5" borderId="121" xfId="1" applyNumberFormat="1" applyFont="1" applyFill="1" applyBorder="1" applyAlignment="1" applyProtection="1">
      <alignment horizontal="right" vertical="center"/>
    </xf>
    <xf numFmtId="0" fontId="56" fillId="0" borderId="0" xfId="5" applyFont="1" applyAlignment="1" applyProtection="1">
      <alignment horizontal="center"/>
      <protection locked="0"/>
    </xf>
    <xf numFmtId="0" fontId="55" fillId="0" borderId="0" xfId="0" applyFont="1" applyAlignment="1" applyProtection="1">
      <alignment horizontal="center"/>
      <protection locked="0"/>
    </xf>
    <xf numFmtId="0" fontId="13" fillId="0" borderId="0" xfId="0" applyFont="1" applyBorder="1" applyAlignment="1" applyProtection="1">
      <alignment horizontal="left" vertical="top" wrapText="1"/>
      <protection locked="0"/>
    </xf>
    <xf numFmtId="0" fontId="13" fillId="5" borderId="7" xfId="0" applyFont="1" applyFill="1" applyBorder="1" applyAlignment="1" applyProtection="1">
      <alignment horizontal="center"/>
    </xf>
    <xf numFmtId="0" fontId="13" fillId="5" borderId="7" xfId="0" applyFont="1" applyFill="1" applyBorder="1" applyAlignment="1" applyProtection="1">
      <alignment horizontal="center" vertical="center" shrinkToFit="1"/>
    </xf>
    <xf numFmtId="0" fontId="13" fillId="5" borderId="7" xfId="0" applyFont="1" applyFill="1" applyBorder="1" applyAlignment="1" applyProtection="1">
      <alignment horizontal="center" vertical="center" wrapText="1" shrinkToFit="1"/>
    </xf>
    <xf numFmtId="0" fontId="66" fillId="18" borderId="23" xfId="3" applyFont="1" applyFill="1" applyBorder="1" applyAlignment="1" applyProtection="1">
      <alignment horizontal="center" vertical="center"/>
    </xf>
    <xf numFmtId="0" fontId="66" fillId="18" borderId="41" xfId="3" applyFont="1" applyFill="1" applyBorder="1" applyAlignment="1" applyProtection="1">
      <alignment horizontal="center" vertical="center"/>
    </xf>
    <xf numFmtId="37" fontId="42" fillId="14" borderId="2" xfId="3" applyNumberFormat="1" applyFont="1" applyFill="1" applyBorder="1" applyAlignment="1" applyProtection="1">
      <alignment horizontal="center" vertical="center"/>
      <protection locked="0"/>
    </xf>
    <xf numFmtId="37" fontId="42" fillId="14" borderId="3" xfId="3" applyNumberFormat="1" applyFont="1" applyFill="1" applyBorder="1" applyAlignment="1" applyProtection="1">
      <alignment horizontal="center" vertical="center"/>
      <protection locked="0"/>
    </xf>
    <xf numFmtId="0" fontId="42" fillId="14" borderId="2" xfId="4" applyNumberFormat="1" applyFont="1" applyFill="1" applyBorder="1" applyAlignment="1" applyProtection="1">
      <alignment horizontal="center" vertical="center"/>
      <protection locked="0"/>
    </xf>
    <xf numFmtId="0" fontId="42" fillId="14" borderId="3" xfId="4" applyNumberFormat="1" applyFont="1" applyFill="1" applyBorder="1" applyAlignment="1" applyProtection="1">
      <alignment horizontal="center" vertical="center"/>
      <protection locked="0"/>
    </xf>
    <xf numFmtId="0" fontId="42" fillId="14" borderId="2" xfId="3" applyFont="1" applyFill="1" applyBorder="1" applyAlignment="1" applyProtection="1">
      <alignment horizontal="center" vertical="center"/>
      <protection locked="0"/>
    </xf>
    <xf numFmtId="0" fontId="42" fillId="14" borderId="3" xfId="3" applyFont="1" applyFill="1" applyBorder="1" applyAlignment="1" applyProtection="1">
      <alignment horizontal="center" vertical="center"/>
      <protection locked="0"/>
    </xf>
    <xf numFmtId="0" fontId="42" fillId="6" borderId="2" xfId="3" applyFont="1" applyFill="1" applyBorder="1" applyAlignment="1" applyProtection="1">
      <alignment horizontal="center" vertical="center"/>
      <protection locked="0"/>
    </xf>
    <xf numFmtId="0" fontId="42" fillId="6" borderId="3" xfId="3" applyFont="1" applyFill="1" applyBorder="1" applyAlignment="1" applyProtection="1">
      <alignment horizontal="center" vertical="center"/>
      <protection locked="0"/>
    </xf>
    <xf numFmtId="0" fontId="66" fillId="18" borderId="21" xfId="3" applyFont="1" applyFill="1" applyBorder="1" applyAlignment="1" applyProtection="1">
      <alignment horizontal="center" vertical="center"/>
    </xf>
    <xf numFmtId="0" fontId="66" fillId="18" borderId="47" xfId="3" applyFont="1" applyFill="1" applyBorder="1" applyAlignment="1" applyProtection="1">
      <alignment horizontal="center" vertical="center"/>
    </xf>
    <xf numFmtId="0" fontId="66" fillId="18" borderId="46" xfId="3" applyFont="1" applyFill="1" applyBorder="1" applyAlignment="1" applyProtection="1">
      <alignment horizontal="center" vertical="center"/>
    </xf>
    <xf numFmtId="0" fontId="66" fillId="18" borderId="48" xfId="3" applyFont="1" applyFill="1" applyBorder="1" applyAlignment="1" applyProtection="1">
      <alignment horizontal="center" vertical="center"/>
    </xf>
    <xf numFmtId="0" fontId="66" fillId="18" borderId="22" xfId="3" applyFont="1" applyFill="1" applyBorder="1" applyAlignment="1" applyProtection="1">
      <alignment horizontal="center" vertical="center"/>
    </xf>
    <xf numFmtId="0" fontId="66" fillId="18" borderId="27" xfId="3" applyFont="1" applyFill="1" applyBorder="1" applyAlignment="1" applyProtection="1">
      <alignment horizontal="center" vertical="center"/>
    </xf>
    <xf numFmtId="0" fontId="66" fillId="18" borderId="49" xfId="3" applyFont="1" applyFill="1" applyBorder="1" applyAlignment="1" applyProtection="1">
      <alignment horizontal="center" vertical="center"/>
    </xf>
    <xf numFmtId="188" fontId="13" fillId="0" borderId="0" xfId="0" applyNumberFormat="1"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left" wrapText="1"/>
    </xf>
    <xf numFmtId="0" fontId="0" fillId="0" borderId="10" xfId="0" applyBorder="1" applyAlignment="1">
      <alignment wrapText="1"/>
    </xf>
    <xf numFmtId="0" fontId="0" fillId="0" borderId="9" xfId="0" applyBorder="1" applyAlignment="1">
      <alignment wrapText="1"/>
    </xf>
    <xf numFmtId="0" fontId="0" fillId="0" borderId="10" xfId="0" applyBorder="1" applyAlignment="1">
      <alignment horizontal="left" wrapText="1"/>
    </xf>
    <xf numFmtId="0" fontId="0" fillId="0" borderId="9" xfId="0" applyBorder="1" applyAlignment="1">
      <alignment horizontal="left" wrapText="1"/>
    </xf>
    <xf numFmtId="0" fontId="0" fillId="0" borderId="7" xfId="0" applyBorder="1" applyAlignment="1">
      <alignment horizontal="left" wrapText="1"/>
    </xf>
    <xf numFmtId="0" fontId="0" fillId="0" borderId="14"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7" fillId="0" borderId="0" xfId="0" applyFont="1" applyAlignment="1">
      <alignment horizontal="center"/>
    </xf>
    <xf numFmtId="0" fontId="0" fillId="0" borderId="0" xfId="0" applyAlignment="1">
      <alignment horizontal="center"/>
    </xf>
    <xf numFmtId="0" fontId="3" fillId="0" borderId="7"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73" fillId="0" borderId="15" xfId="0" applyFont="1" applyFill="1" applyBorder="1" applyAlignment="1">
      <alignment horizontal="left" vertical="center" wrapText="1"/>
    </xf>
    <xf numFmtId="0" fontId="73" fillId="0" borderId="20" xfId="0" applyFont="1" applyFill="1" applyBorder="1" applyAlignment="1">
      <alignment horizontal="left" vertical="center" wrapText="1"/>
    </xf>
    <xf numFmtId="0" fontId="73" fillId="0" borderId="12" xfId="0" applyFont="1" applyFill="1" applyBorder="1" applyAlignment="1">
      <alignment horizontal="left" vertical="center" wrapText="1"/>
    </xf>
    <xf numFmtId="0" fontId="73" fillId="0" borderId="7" xfId="0" applyFont="1" applyFill="1" applyBorder="1" applyAlignment="1">
      <alignment horizontal="left" vertical="center" wrapText="1"/>
    </xf>
  </cellXfs>
  <cellStyles count="10">
    <cellStyle name="Normal 3" xfId="6" xr:uid="{00000000-0005-0000-0000-000000000000}"/>
    <cellStyle name="パーセント" xfId="2" builtinId="5"/>
    <cellStyle name="パーセント 2" xfId="4" xr:uid="{00000000-0005-0000-0000-000002000000}"/>
    <cellStyle name="ハイパーリンク" xfId="5" builtinId="8"/>
    <cellStyle name="桁区切り" xfId="1" builtinId="6"/>
    <cellStyle name="桁区切り 3" xfId="8" xr:uid="{00000000-0005-0000-0000-000005000000}"/>
    <cellStyle name="標準" xfId="0" builtinId="0"/>
    <cellStyle name="標準 2" xfId="3" xr:uid="{00000000-0005-0000-0000-000007000000}"/>
    <cellStyle name="標準 3" xfId="9" xr:uid="{00000000-0005-0000-0000-000008000000}"/>
    <cellStyle name="標準 4" xfId="7" xr:uid="{00000000-0005-0000-0000-000009000000}"/>
  </cellStyles>
  <dxfs count="56">
    <dxf>
      <font>
        <b val="0"/>
        <i val="0"/>
        <color rgb="FFFF0000"/>
      </font>
      <fill>
        <patternFill patternType="none">
          <bgColor auto="1"/>
        </patternFill>
      </fill>
    </dxf>
    <dxf>
      <fill>
        <patternFill>
          <bgColor theme="0"/>
        </patternFill>
      </fill>
    </dxf>
    <dxf>
      <fill>
        <patternFill>
          <bgColor rgb="FFFFFF99"/>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9" tint="0.79998168889431442"/>
        </patternFill>
      </fill>
    </dxf>
    <dxf>
      <fill>
        <patternFill patternType="none">
          <bgColor auto="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1"/>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1"/>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1"/>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4.9989318521683403E-2"/>
        </patternFill>
      </fill>
    </dxf>
  </dxfs>
  <tableStyles count="0" defaultTableStyle="TableStyleMedium9" defaultPivotStyle="PivotStyleLight16"/>
  <colors>
    <mruColors>
      <color rgb="FFFFFF99"/>
      <color rgb="FFCDF2FF"/>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59480</xdr:colOff>
      <xdr:row>1</xdr:row>
      <xdr:rowOff>8966</xdr:rowOff>
    </xdr:from>
    <xdr:ext cx="4706756" cy="492443"/>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23833" y="83672"/>
          <a:ext cx="4706756" cy="492443"/>
        </a:xfrm>
        <a:prstGeom prst="rect">
          <a:avLst/>
        </a:prstGeom>
        <a:solidFill>
          <a:srgbClr val="0070C0"/>
        </a:solidFill>
      </xdr:spPr>
      <xdr:txBody>
        <a:bodyPr wrap="square" lIns="91440" tIns="45720" rIns="91440" bIns="45720">
          <a:spAutoFit/>
        </a:bodyPr>
        <a:lstStyle/>
        <a:p>
          <a:pPr algn="ctr"/>
          <a:r>
            <a:rPr lang="ja-JP" altLang="en-US" sz="2400" b="0" cap="none" spc="0">
              <a:ln w="0"/>
              <a:solidFill>
                <a:schemeClr val="bg1"/>
              </a:solidFill>
              <a:effectLst>
                <a:outerShdw blurRad="38100" dist="25400" dir="5400000" algn="ctr" rotWithShape="0">
                  <a:srgbClr val="6E747A">
                    <a:alpha val="43000"/>
                  </a:srgbClr>
                </a:outerShdw>
              </a:effectLst>
            </a:rPr>
            <a:t>介護医療院の収支シミュレーション</a:t>
          </a:r>
        </a:p>
      </xdr:txBody>
    </xdr:sp>
    <xdr:clientData/>
  </xdr:oneCellAnchor>
  <xdr:twoCellAnchor>
    <xdr:from>
      <xdr:col>1</xdr:col>
      <xdr:colOff>8964</xdr:colOff>
      <xdr:row>3</xdr:row>
      <xdr:rowOff>35859</xdr:rowOff>
    </xdr:from>
    <xdr:to>
      <xdr:col>10</xdr:col>
      <xdr:colOff>89647</xdr:colOff>
      <xdr:row>4</xdr:row>
      <xdr:rowOff>26894</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bwMode="auto">
        <a:xfrm>
          <a:off x="174064" y="677209"/>
          <a:ext cx="1566583" cy="340285"/>
        </a:xfrm>
        <a:prstGeom prst="roundRect">
          <a:avLst/>
        </a:prstGeom>
        <a:solidFill>
          <a:schemeClr val="accent6"/>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b="1">
              <a:solidFill>
                <a:schemeClr val="bg1"/>
              </a:solidFill>
            </a:rPr>
            <a:t>基本情報</a:t>
          </a:r>
        </a:p>
      </xdr:txBody>
    </xdr:sp>
    <xdr:clientData/>
  </xdr:twoCellAnchor>
  <xdr:twoCellAnchor>
    <xdr:from>
      <xdr:col>1</xdr:col>
      <xdr:colOff>17928</xdr:colOff>
      <xdr:row>7</xdr:row>
      <xdr:rowOff>53788</xdr:rowOff>
    </xdr:from>
    <xdr:to>
      <xdr:col>21</xdr:col>
      <xdr:colOff>26894</xdr:colOff>
      <xdr:row>7</xdr:row>
      <xdr:rowOff>394447</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bwMode="auto">
        <a:xfrm>
          <a:off x="183028" y="1419038"/>
          <a:ext cx="3310966" cy="340659"/>
        </a:xfrm>
        <a:prstGeom prst="roundRect">
          <a:avLst/>
        </a:prstGeom>
        <a:solidFill>
          <a:srgbClr val="00B05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b="1">
              <a:solidFill>
                <a:schemeClr val="bg1"/>
              </a:solidFill>
            </a:rPr>
            <a:t>収入に関するシミュレーション</a:t>
          </a:r>
        </a:p>
      </xdr:txBody>
    </xdr:sp>
    <xdr:clientData/>
  </xdr:twoCellAnchor>
  <xdr:twoCellAnchor>
    <xdr:from>
      <xdr:col>1</xdr:col>
      <xdr:colOff>5378</xdr:colOff>
      <xdr:row>22</xdr:row>
      <xdr:rowOff>53789</xdr:rowOff>
    </xdr:from>
    <xdr:to>
      <xdr:col>21</xdr:col>
      <xdr:colOff>8964</xdr:colOff>
      <xdr:row>22</xdr:row>
      <xdr:rowOff>394448</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bwMode="auto">
        <a:xfrm>
          <a:off x="170478" y="4848039"/>
          <a:ext cx="3305586" cy="340659"/>
        </a:xfrm>
        <a:prstGeom prst="roundRect">
          <a:avLst/>
        </a:prstGeom>
        <a:solidFill>
          <a:schemeClr val="accent2">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b="1">
              <a:solidFill>
                <a:schemeClr val="bg1"/>
              </a:solidFill>
            </a:rPr>
            <a:t>支出に関するシミュレーション</a:t>
          </a:r>
        </a:p>
      </xdr:txBody>
    </xdr:sp>
    <xdr:clientData/>
  </xdr:twoCellAnchor>
  <xdr:twoCellAnchor>
    <xdr:from>
      <xdr:col>1</xdr:col>
      <xdr:colOff>8962</xdr:colOff>
      <xdr:row>31</xdr:row>
      <xdr:rowOff>17930</xdr:rowOff>
    </xdr:from>
    <xdr:to>
      <xdr:col>33</xdr:col>
      <xdr:colOff>62752</xdr:colOff>
      <xdr:row>31</xdr:row>
      <xdr:rowOff>358589</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bwMode="auto">
        <a:xfrm>
          <a:off x="174062" y="6812430"/>
          <a:ext cx="5336990" cy="340659"/>
        </a:xfrm>
        <a:prstGeom prst="roundRect">
          <a:avLst/>
        </a:prstGeom>
        <a:solidFill>
          <a:schemeClr val="accent4">
            <a:lumMod val="7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b="1">
              <a:solidFill>
                <a:schemeClr val="bg1"/>
              </a:solidFill>
            </a:rPr>
            <a:t>収支差（キャッシュフロー）に関するシミュレーション</a:t>
          </a:r>
        </a:p>
      </xdr:txBody>
    </xdr:sp>
    <xdr:clientData/>
  </xdr:twoCellAnchor>
  <xdr:twoCellAnchor>
    <xdr:from>
      <xdr:col>2</xdr:col>
      <xdr:colOff>40789</xdr:colOff>
      <xdr:row>47</xdr:row>
      <xdr:rowOff>161364</xdr:rowOff>
    </xdr:from>
    <xdr:to>
      <xdr:col>42</xdr:col>
      <xdr:colOff>69273</xdr:colOff>
      <xdr:row>50</xdr:row>
      <xdr:rowOff>92365</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bwMode="auto">
        <a:xfrm>
          <a:off x="370989" y="8873564"/>
          <a:ext cx="6632484" cy="597751"/>
        </a:xfrm>
        <a:prstGeom prst="roundRect">
          <a:avLst/>
        </a:prstGeom>
        <a:solidFill>
          <a:srgbClr val="FF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b="1">
              <a:solidFill>
                <a:schemeClr val="bg1"/>
              </a:solidFill>
            </a:rPr>
            <a:t>療養棟ごとのシミュレーション結果</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575235</xdr:colOff>
      <xdr:row>0</xdr:row>
      <xdr:rowOff>201705</xdr:rowOff>
    </xdr:from>
    <xdr:ext cx="3459480" cy="350520"/>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3541059" y="201705"/>
          <a:ext cx="3459480" cy="350520"/>
        </a:xfrm>
        <a:prstGeom prst="rect">
          <a:avLst/>
        </a:prstGeom>
        <a:noFill/>
      </xdr:spPr>
      <xdr:txBody>
        <a:bodyPr wrap="square" lIns="91440" tIns="45720" rIns="91440" bIns="45720">
          <a:noAutofit/>
        </a:bodyPr>
        <a:lstStyle/>
        <a:p>
          <a:pPr algn="ctr"/>
          <a:r>
            <a:rPr lang="ja-JP" altLang="en-US" sz="2000" b="0" cap="none" spc="0">
              <a:ln w="0"/>
              <a:solidFill>
                <a:srgbClr val="FFFF99"/>
              </a:solidFill>
              <a:effectLst>
                <a:outerShdw blurRad="38100" dist="19050" dir="2700000" algn="tl" rotWithShape="0">
                  <a:schemeClr val="dk1">
                    <a:alpha val="40000"/>
                  </a:schemeClr>
                </a:outerShdw>
              </a:effectLst>
            </a:rPr>
            <a:t>■</a:t>
          </a:r>
          <a:r>
            <a:rPr lang="ja-JP" altLang="en-US" sz="2000" b="0" cap="none" spc="0">
              <a:ln w="0"/>
              <a:solidFill>
                <a:schemeClr val="tx1"/>
              </a:solidFill>
              <a:effectLst>
                <a:outerShdw blurRad="38100" dist="19050" dir="2700000" algn="tl" rotWithShape="0">
                  <a:schemeClr val="dk1">
                    <a:alpha val="40000"/>
                  </a:schemeClr>
                </a:outerShdw>
              </a:effectLst>
            </a:rPr>
            <a:t>は選択、</a:t>
          </a:r>
          <a:r>
            <a:rPr lang="ja-JP" altLang="en-US" sz="2000" b="0" cap="none" spc="0">
              <a:ln w="0"/>
              <a:solidFill>
                <a:schemeClr val="accent6">
                  <a:lumMod val="20000"/>
                  <a:lumOff val="80000"/>
                </a:schemeClr>
              </a:solidFill>
              <a:effectLst>
                <a:outerShdw blurRad="38100" dist="19050" dir="2700000" algn="tl" rotWithShape="0">
                  <a:schemeClr val="dk1">
                    <a:alpha val="40000"/>
                  </a:schemeClr>
                </a:outerShdw>
              </a:effectLst>
            </a:rPr>
            <a:t>■</a:t>
          </a:r>
          <a:r>
            <a:rPr lang="ja-JP" altLang="en-US" sz="2000" b="0" cap="none" spc="0">
              <a:ln w="0"/>
              <a:solidFill>
                <a:schemeClr val="tx1"/>
              </a:solidFill>
              <a:effectLst>
                <a:outerShdw blurRad="38100" dist="19050" dir="2700000" algn="tl" rotWithShape="0">
                  <a:schemeClr val="dk1">
                    <a:alpha val="40000"/>
                  </a:schemeClr>
                </a:outerShdw>
              </a:effectLst>
            </a:rPr>
            <a:t>は入力</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336175</xdr:colOff>
      <xdr:row>0</xdr:row>
      <xdr:rowOff>276411</xdr:rowOff>
    </xdr:from>
    <xdr:ext cx="3459480" cy="350520"/>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3301999" y="276411"/>
          <a:ext cx="3459480" cy="350520"/>
        </a:xfrm>
        <a:prstGeom prst="rect">
          <a:avLst/>
        </a:prstGeom>
        <a:noFill/>
      </xdr:spPr>
      <xdr:txBody>
        <a:bodyPr wrap="square" lIns="91440" tIns="45720" rIns="91440" bIns="45720">
          <a:noAutofit/>
        </a:bodyPr>
        <a:lstStyle/>
        <a:p>
          <a:pPr algn="ctr"/>
          <a:r>
            <a:rPr lang="ja-JP" altLang="en-US" sz="2000" b="0" cap="none" spc="0">
              <a:ln w="0"/>
              <a:solidFill>
                <a:srgbClr val="FFFF99"/>
              </a:solidFill>
              <a:effectLst>
                <a:outerShdw blurRad="38100" dist="19050" dir="2700000" algn="tl" rotWithShape="0">
                  <a:schemeClr val="dk1">
                    <a:alpha val="40000"/>
                  </a:schemeClr>
                </a:outerShdw>
              </a:effectLst>
            </a:rPr>
            <a:t>■</a:t>
          </a:r>
          <a:r>
            <a:rPr lang="ja-JP" altLang="en-US" sz="2000" b="0" cap="none" spc="0">
              <a:ln w="0"/>
              <a:solidFill>
                <a:schemeClr val="tx1"/>
              </a:solidFill>
              <a:effectLst>
                <a:outerShdw blurRad="38100" dist="19050" dir="2700000" algn="tl" rotWithShape="0">
                  <a:schemeClr val="dk1">
                    <a:alpha val="40000"/>
                  </a:schemeClr>
                </a:outerShdw>
              </a:effectLst>
            </a:rPr>
            <a:t>は選択、</a:t>
          </a:r>
          <a:r>
            <a:rPr lang="ja-JP" altLang="en-US" sz="2000" b="0" cap="none" spc="0">
              <a:ln w="0"/>
              <a:solidFill>
                <a:schemeClr val="accent6">
                  <a:lumMod val="20000"/>
                  <a:lumOff val="80000"/>
                </a:schemeClr>
              </a:solidFill>
              <a:effectLst>
                <a:outerShdw blurRad="38100" dist="19050" dir="2700000" algn="tl" rotWithShape="0">
                  <a:schemeClr val="dk1">
                    <a:alpha val="40000"/>
                  </a:schemeClr>
                </a:outerShdw>
              </a:effectLst>
            </a:rPr>
            <a:t>■</a:t>
          </a:r>
          <a:r>
            <a:rPr lang="ja-JP" altLang="en-US" sz="2000" b="0" cap="none" spc="0">
              <a:ln w="0"/>
              <a:solidFill>
                <a:schemeClr val="tx1"/>
              </a:solidFill>
              <a:effectLst>
                <a:outerShdw blurRad="38100" dist="19050" dir="2700000" algn="tl" rotWithShape="0">
                  <a:schemeClr val="dk1">
                    <a:alpha val="40000"/>
                  </a:schemeClr>
                </a:outerShdw>
              </a:effectLst>
            </a:rPr>
            <a:t>は入力</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791882</xdr:colOff>
      <xdr:row>0</xdr:row>
      <xdr:rowOff>127000</xdr:rowOff>
    </xdr:from>
    <xdr:ext cx="3459480" cy="350520"/>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3757706" y="127000"/>
          <a:ext cx="3459480" cy="350520"/>
        </a:xfrm>
        <a:prstGeom prst="rect">
          <a:avLst/>
        </a:prstGeom>
        <a:noFill/>
      </xdr:spPr>
      <xdr:txBody>
        <a:bodyPr wrap="square" lIns="91440" tIns="45720" rIns="91440" bIns="45720">
          <a:noAutofit/>
        </a:bodyPr>
        <a:lstStyle/>
        <a:p>
          <a:pPr algn="ctr"/>
          <a:r>
            <a:rPr lang="ja-JP" altLang="en-US" sz="2000" b="0" cap="none" spc="0">
              <a:ln w="0"/>
              <a:solidFill>
                <a:srgbClr val="FFFF99"/>
              </a:solidFill>
              <a:effectLst>
                <a:outerShdw blurRad="38100" dist="19050" dir="2700000" algn="tl" rotWithShape="0">
                  <a:schemeClr val="dk1">
                    <a:alpha val="40000"/>
                  </a:schemeClr>
                </a:outerShdw>
              </a:effectLst>
            </a:rPr>
            <a:t>■</a:t>
          </a:r>
          <a:r>
            <a:rPr lang="ja-JP" altLang="en-US" sz="2000" b="0" cap="none" spc="0">
              <a:ln w="0"/>
              <a:solidFill>
                <a:schemeClr val="tx1"/>
              </a:solidFill>
              <a:effectLst>
                <a:outerShdw blurRad="38100" dist="19050" dir="2700000" algn="tl" rotWithShape="0">
                  <a:schemeClr val="dk1">
                    <a:alpha val="40000"/>
                  </a:schemeClr>
                </a:outerShdw>
              </a:effectLst>
            </a:rPr>
            <a:t>は選択、</a:t>
          </a:r>
          <a:r>
            <a:rPr lang="ja-JP" altLang="en-US" sz="2000" b="0" cap="none" spc="0">
              <a:ln w="0"/>
              <a:solidFill>
                <a:schemeClr val="accent6">
                  <a:lumMod val="20000"/>
                  <a:lumOff val="80000"/>
                </a:schemeClr>
              </a:solidFill>
              <a:effectLst>
                <a:outerShdw blurRad="38100" dist="19050" dir="2700000" algn="tl" rotWithShape="0">
                  <a:schemeClr val="dk1">
                    <a:alpha val="40000"/>
                  </a:schemeClr>
                </a:outerShdw>
              </a:effectLst>
            </a:rPr>
            <a:t>■</a:t>
          </a:r>
          <a:r>
            <a:rPr lang="ja-JP" altLang="en-US" sz="2000" b="0" cap="none" spc="0">
              <a:ln w="0"/>
              <a:solidFill>
                <a:schemeClr val="tx1"/>
              </a:solidFill>
              <a:effectLst>
                <a:outerShdw blurRad="38100" dist="19050" dir="2700000" algn="tl" rotWithShape="0">
                  <a:schemeClr val="dk1">
                    <a:alpha val="40000"/>
                  </a:schemeClr>
                </a:outerShdw>
              </a:effectLst>
            </a:rPr>
            <a:t>は入力</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791882</xdr:colOff>
      <xdr:row>0</xdr:row>
      <xdr:rowOff>97117</xdr:rowOff>
    </xdr:from>
    <xdr:ext cx="3459480" cy="350520"/>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3757706" y="97117"/>
          <a:ext cx="3459480" cy="350520"/>
        </a:xfrm>
        <a:prstGeom prst="rect">
          <a:avLst/>
        </a:prstGeom>
        <a:noFill/>
      </xdr:spPr>
      <xdr:txBody>
        <a:bodyPr wrap="square" lIns="91440" tIns="45720" rIns="91440" bIns="45720">
          <a:noAutofit/>
        </a:bodyPr>
        <a:lstStyle/>
        <a:p>
          <a:pPr algn="ctr"/>
          <a:r>
            <a:rPr lang="ja-JP" altLang="en-US" sz="2000" b="0" cap="none" spc="0">
              <a:ln w="0"/>
              <a:solidFill>
                <a:srgbClr val="FFFF99"/>
              </a:solidFill>
              <a:effectLst>
                <a:outerShdw blurRad="38100" dist="19050" dir="2700000" algn="tl" rotWithShape="0">
                  <a:schemeClr val="dk1">
                    <a:alpha val="40000"/>
                  </a:schemeClr>
                </a:outerShdw>
              </a:effectLst>
            </a:rPr>
            <a:t>■</a:t>
          </a:r>
          <a:r>
            <a:rPr lang="ja-JP" altLang="en-US" sz="2000" b="0" cap="none" spc="0">
              <a:ln w="0"/>
              <a:solidFill>
                <a:schemeClr val="tx1"/>
              </a:solidFill>
              <a:effectLst>
                <a:outerShdw blurRad="38100" dist="19050" dir="2700000" algn="tl" rotWithShape="0">
                  <a:schemeClr val="dk1">
                    <a:alpha val="40000"/>
                  </a:schemeClr>
                </a:outerShdw>
              </a:effectLst>
            </a:rPr>
            <a:t>は選択、</a:t>
          </a:r>
          <a:r>
            <a:rPr lang="ja-JP" altLang="en-US" sz="2000" b="0" cap="none" spc="0">
              <a:ln w="0"/>
              <a:solidFill>
                <a:schemeClr val="accent6">
                  <a:lumMod val="20000"/>
                  <a:lumOff val="80000"/>
                </a:schemeClr>
              </a:solidFill>
              <a:effectLst>
                <a:outerShdw blurRad="38100" dist="19050" dir="2700000" algn="tl" rotWithShape="0">
                  <a:schemeClr val="dk1">
                    <a:alpha val="40000"/>
                  </a:schemeClr>
                </a:outerShdw>
              </a:effectLst>
            </a:rPr>
            <a:t>■</a:t>
          </a:r>
          <a:r>
            <a:rPr lang="ja-JP" altLang="en-US" sz="2000" b="0" cap="none" spc="0">
              <a:ln w="0"/>
              <a:solidFill>
                <a:schemeClr val="tx1"/>
              </a:solidFill>
              <a:effectLst>
                <a:outerShdw blurRad="38100" dist="19050" dir="2700000" algn="tl" rotWithShape="0">
                  <a:schemeClr val="dk1">
                    <a:alpha val="40000"/>
                  </a:schemeClr>
                </a:outerShdw>
              </a:effectLst>
            </a:rPr>
            <a:t>は入力</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6</xdr:col>
      <xdr:colOff>84667</xdr:colOff>
      <xdr:row>3</xdr:row>
      <xdr:rowOff>74084</xdr:rowOff>
    </xdr:from>
    <xdr:to>
      <xdr:col>46</xdr:col>
      <xdr:colOff>84667</xdr:colOff>
      <xdr:row>4</xdr:row>
      <xdr:rowOff>127000</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bwMode="auto">
        <a:xfrm>
          <a:off x="719667" y="762001"/>
          <a:ext cx="4667250" cy="275166"/>
        </a:xfrm>
        <a:prstGeom prst="roundRect">
          <a:avLst/>
        </a:prstGeom>
        <a:solidFill>
          <a:schemeClr val="accent6"/>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b="1">
              <a:solidFill>
                <a:schemeClr val="bg1"/>
              </a:solidFill>
            </a:rPr>
            <a:t>介護医療院への移行に係る負担額のご説明について</a:t>
          </a:r>
        </a:p>
      </xdr:txBody>
    </xdr:sp>
    <xdr:clientData/>
  </xdr:twoCellAnchor>
  <xdr:twoCellAnchor>
    <xdr:from>
      <xdr:col>0</xdr:col>
      <xdr:colOff>95250</xdr:colOff>
      <xdr:row>12</xdr:row>
      <xdr:rowOff>196850</xdr:rowOff>
    </xdr:from>
    <xdr:to>
      <xdr:col>10</xdr:col>
      <xdr:colOff>80010</xdr:colOff>
      <xdr:row>13</xdr:row>
      <xdr:rowOff>203758</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bwMode="auto">
        <a:xfrm>
          <a:off x="95250" y="2882900"/>
          <a:ext cx="1064260" cy="229158"/>
        </a:xfrm>
        <a:prstGeom prst="roundRect">
          <a:avLst/>
        </a:prstGeom>
        <a:ln>
          <a:headEnd type="none" w="med" len="med"/>
          <a:tailEnd type="none" w="med" len="med"/>
        </a:ln>
        <a:effectLst/>
      </xdr:spPr>
      <xdr:style>
        <a:lnRef idx="1">
          <a:schemeClr val="accent2"/>
        </a:lnRef>
        <a:fillRef idx="2">
          <a:schemeClr val="accent2"/>
        </a:fillRef>
        <a:effectRef idx="1">
          <a:schemeClr val="accent2"/>
        </a:effectRef>
        <a:fontRef idx="minor">
          <a:schemeClr val="dk1"/>
        </a:fontRef>
      </xdr:style>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t>利用者様の状況</a:t>
          </a:r>
        </a:p>
      </xdr:txBody>
    </xdr:sp>
    <xdr:clientData/>
  </xdr:twoCellAnchor>
  <xdr:twoCellAnchor>
    <xdr:from>
      <xdr:col>0</xdr:col>
      <xdr:colOff>82550</xdr:colOff>
      <xdr:row>23</xdr:row>
      <xdr:rowOff>0</xdr:rowOff>
    </xdr:from>
    <xdr:to>
      <xdr:col>16</xdr:col>
      <xdr:colOff>313765</xdr:colOff>
      <xdr:row>23</xdr:row>
      <xdr:rowOff>187248</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bwMode="auto">
        <a:xfrm>
          <a:off x="82550" y="5184588"/>
          <a:ext cx="2083921" cy="187248"/>
        </a:xfrm>
        <a:prstGeom prst="roundRect">
          <a:avLst/>
        </a:prstGeom>
        <a:ln>
          <a:headEnd type="none" w="med" len="med"/>
          <a:tailEnd type="none" w="med" len="med"/>
        </a:ln>
        <a:effectLst/>
      </xdr:spPr>
      <xdr:style>
        <a:lnRef idx="1">
          <a:schemeClr val="accent2"/>
        </a:lnRef>
        <a:fillRef idx="2">
          <a:schemeClr val="accent2"/>
        </a:fillRef>
        <a:effectRef idx="1">
          <a:schemeClr val="accent2"/>
        </a:effectRef>
        <a:fontRef idx="minor">
          <a:schemeClr val="dk1"/>
        </a:fontRef>
      </xdr:style>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t>利用者様の月額ご負担額</a:t>
          </a:r>
          <a:r>
            <a:rPr kumimoji="1" lang="en-US" altLang="ja-JP" sz="1100" b="0"/>
            <a:t>(</a:t>
          </a:r>
          <a:r>
            <a:rPr kumimoji="1" lang="ja-JP" altLang="en-US" sz="1100" b="0"/>
            <a:t>概算）</a:t>
          </a:r>
        </a:p>
      </xdr:txBody>
    </xdr:sp>
    <xdr:clientData/>
  </xdr:twoCellAnchor>
  <xdr:twoCellAnchor>
    <xdr:from>
      <xdr:col>1</xdr:col>
      <xdr:colOff>19050</xdr:colOff>
      <xdr:row>33</xdr:row>
      <xdr:rowOff>266700</xdr:rowOff>
    </xdr:from>
    <xdr:to>
      <xdr:col>4</xdr:col>
      <xdr:colOff>66736</xdr:colOff>
      <xdr:row>34</xdr:row>
      <xdr:rowOff>205236</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bwMode="auto">
        <a:xfrm>
          <a:off x="127000" y="7524750"/>
          <a:ext cx="371536" cy="249686"/>
        </a:xfrm>
        <a:prstGeom prst="roundRect">
          <a:avLst/>
        </a:prstGeom>
        <a:ln>
          <a:headEnd type="none" w="med" len="med"/>
          <a:tailEnd type="none" w="med" len="med"/>
        </a:ln>
        <a:effectLst/>
      </xdr:spPr>
      <xdr:style>
        <a:lnRef idx="1">
          <a:schemeClr val="accent2"/>
        </a:lnRef>
        <a:fillRef idx="2">
          <a:schemeClr val="accent2"/>
        </a:fillRef>
        <a:effectRef idx="1">
          <a:schemeClr val="accent2"/>
        </a:effectRef>
        <a:fontRef idx="minor">
          <a:schemeClr val="dk1"/>
        </a:fontRef>
      </xdr:style>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t>備考</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38100</xdr:colOff>
      <xdr:row>0</xdr:row>
      <xdr:rowOff>68580</xdr:rowOff>
    </xdr:from>
    <xdr:to>
      <xdr:col>2</xdr:col>
      <xdr:colOff>295836</xdr:colOff>
      <xdr:row>1</xdr:row>
      <xdr:rowOff>144780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bwMode="auto">
        <a:xfrm>
          <a:off x="114300" y="68580"/>
          <a:ext cx="1229286" cy="361950"/>
        </a:xfrm>
        <a:prstGeom prst="roundRect">
          <a:avLst/>
        </a:prstGeom>
        <a:solidFill>
          <a:schemeClr val="accent6"/>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b="1">
              <a:solidFill>
                <a:schemeClr val="bg1"/>
              </a:solidFill>
            </a:rPr>
            <a:t>資金計画</a:t>
          </a:r>
        </a:p>
      </xdr:txBody>
    </xdr:sp>
    <xdr:clientData/>
  </xdr:twoCellAnchor>
  <xdr:twoCellAnchor>
    <xdr:from>
      <xdr:col>1</xdr:col>
      <xdr:colOff>7620</xdr:colOff>
      <xdr:row>10</xdr:row>
      <xdr:rowOff>38100</xdr:rowOff>
    </xdr:from>
    <xdr:to>
      <xdr:col>3</xdr:col>
      <xdr:colOff>830580</xdr:colOff>
      <xdr:row>11</xdr:row>
      <xdr:rowOff>114300</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bwMode="auto">
        <a:xfrm>
          <a:off x="83820" y="2019300"/>
          <a:ext cx="2645410" cy="273050"/>
        </a:xfrm>
        <a:prstGeom prst="roundRect">
          <a:avLst/>
        </a:prstGeom>
        <a:solidFill>
          <a:schemeClr val="accent6"/>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b="1">
              <a:solidFill>
                <a:schemeClr val="bg1"/>
              </a:solidFill>
            </a:rPr>
            <a:t>借入金返済シミュレーション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tint="0.39997558519241921"/>
  </sheetPr>
  <dimension ref="A1:AL220"/>
  <sheetViews>
    <sheetView showGridLines="0" tabSelected="1" zoomScale="85" zoomScaleNormal="85" workbookViewId="0">
      <selection activeCell="D9" sqref="D9:F9"/>
    </sheetView>
  </sheetViews>
  <sheetFormatPr defaultColWidth="0" defaultRowHeight="19.5" zeroHeight="1"/>
  <cols>
    <col min="1" max="1" width="8.125" style="140" customWidth="1"/>
    <col min="2" max="2" width="6.125" style="140" customWidth="1"/>
    <col min="3" max="3" width="9.875" style="140" customWidth="1"/>
    <col min="4" max="5" width="8.125" style="140" customWidth="1"/>
    <col min="6" max="6" width="8.25" style="140" customWidth="1"/>
    <col min="7" max="14" width="8.125" style="140" customWidth="1"/>
    <col min="15" max="15" width="15.5" style="140" customWidth="1"/>
    <col min="16" max="16" width="34" style="140" customWidth="1"/>
    <col min="17" max="17" width="1.5" style="245" customWidth="1"/>
    <col min="18" max="18" width="27.875" style="245" hidden="1" customWidth="1"/>
    <col min="19" max="19" width="18.125" style="245" hidden="1" customWidth="1"/>
    <col min="20" max="22" width="19.125" style="245" hidden="1" customWidth="1"/>
    <col min="23" max="23" width="28.5" style="245" hidden="1" customWidth="1"/>
    <col min="24" max="24" width="8.875" style="245" hidden="1" customWidth="1"/>
    <col min="25" max="37" width="7.875" style="245" hidden="1" customWidth="1"/>
    <col min="38" max="38" width="8.875" style="245" hidden="1" customWidth="1"/>
    <col min="39" max="16384" width="8.875" style="140" hidden="1"/>
  </cols>
  <sheetData>
    <row r="1" spans="1:38" ht="39" thickBot="1">
      <c r="A1" s="582" t="s">
        <v>828</v>
      </c>
      <c r="B1" s="582"/>
      <c r="C1" s="582"/>
      <c r="D1" s="582"/>
      <c r="E1" s="582"/>
      <c r="F1" s="582"/>
      <c r="G1" s="582"/>
      <c r="H1" s="582"/>
      <c r="I1" s="582"/>
      <c r="J1" s="582"/>
      <c r="K1" s="582"/>
      <c r="L1" s="582"/>
      <c r="M1" s="582"/>
      <c r="N1" s="582"/>
      <c r="O1" s="582"/>
      <c r="P1" s="582"/>
      <c r="R1" s="487" t="s">
        <v>1092</v>
      </c>
      <c r="S1" s="486" t="s">
        <v>1094</v>
      </c>
      <c r="T1" s="486" t="s">
        <v>1095</v>
      </c>
    </row>
    <row r="2" spans="1:38" ht="28.7" customHeight="1" thickBot="1">
      <c r="A2" s="591" t="str">
        <f ca="1">IF(R2&lt;DATE(2021,3,1),"日付が間違っています","本シミュレーションでは")</f>
        <v>本シミュレーションでは</v>
      </c>
      <c r="B2" s="592"/>
      <c r="C2" s="592"/>
      <c r="D2" s="499">
        <f ca="1">YEAR(TODAY())</f>
        <v>2021</v>
      </c>
      <c r="E2" s="494" t="s">
        <v>1089</v>
      </c>
      <c r="F2" s="499">
        <f ca="1">MONTH(TODAY())</f>
        <v>6</v>
      </c>
      <c r="G2" s="494" t="s">
        <v>1090</v>
      </c>
      <c r="H2" s="499">
        <f ca="1">DAY(TODAY())</f>
        <v>29</v>
      </c>
      <c r="I2" s="495" t="s">
        <v>1091</v>
      </c>
      <c r="J2" s="493" t="s">
        <v>1097</v>
      </c>
      <c r="K2" s="493"/>
      <c r="L2" s="493"/>
      <c r="M2" s="493"/>
      <c r="N2" s="493"/>
      <c r="O2" s="493"/>
      <c r="P2" s="496" t="str">
        <f ca="1">IF(A2="日付が間違っています","日付エラー！","")</f>
        <v/>
      </c>
      <c r="R2" s="489">
        <f ca="1">DATE(D2,F2,H2)</f>
        <v>44376</v>
      </c>
      <c r="S2" s="510">
        <f ca="1">IF(R2&lt;DATE(2021,8,1),1,IF(R2&lt;DATE(2021,10,1),2,IF(R2&lt;DATE(2022,4,1),3,IF(R2&lt;DATE(2024,4,1),4,5))))</f>
        <v>1</v>
      </c>
      <c r="T2" s="490">
        <f ca="1">IF(S2&lt;3,1.001,1)</f>
        <v>1.0009999999999999</v>
      </c>
    </row>
    <row r="3" spans="1:38">
      <c r="A3" s="278" t="s">
        <v>244</v>
      </c>
      <c r="B3" s="278" t="s">
        <v>251</v>
      </c>
      <c r="C3" s="278"/>
      <c r="D3" s="278"/>
      <c r="E3" s="278"/>
      <c r="F3" s="278"/>
      <c r="G3" s="278"/>
      <c r="H3" s="278"/>
      <c r="I3" s="278"/>
      <c r="J3" s="278"/>
      <c r="K3" s="278"/>
      <c r="L3" s="278"/>
      <c r="M3" s="278"/>
      <c r="N3" s="279"/>
      <c r="O3" s="279"/>
      <c r="P3" s="279"/>
      <c r="Q3" s="400"/>
      <c r="R3" s="498" t="s">
        <v>1105</v>
      </c>
      <c r="S3" s="588" t="s">
        <v>1106</v>
      </c>
      <c r="T3" s="589"/>
      <c r="U3" s="590"/>
      <c r="V3" s="398"/>
      <c r="W3" s="140"/>
      <c r="X3" s="140"/>
      <c r="Y3" s="140"/>
      <c r="Z3" s="140"/>
      <c r="AA3" s="140"/>
      <c r="AB3" s="140"/>
      <c r="AC3" s="140"/>
      <c r="AD3" s="140"/>
      <c r="AE3" s="140"/>
      <c r="AF3" s="140"/>
      <c r="AG3" s="140"/>
      <c r="AH3" s="140"/>
      <c r="AI3" s="140"/>
      <c r="AJ3" s="140"/>
      <c r="AK3" s="140"/>
      <c r="AL3" s="140"/>
    </row>
    <row r="4" spans="1:38">
      <c r="R4" s="398">
        <v>1</v>
      </c>
      <c r="S4" s="588" t="s">
        <v>1108</v>
      </c>
      <c r="T4" s="589"/>
      <c r="U4" s="590"/>
      <c r="V4" s="398"/>
    </row>
    <row r="5" spans="1:38">
      <c r="A5" s="375" t="s">
        <v>245</v>
      </c>
      <c r="C5" s="140" t="s">
        <v>247</v>
      </c>
      <c r="R5" s="398">
        <v>1</v>
      </c>
      <c r="S5" s="588" t="s">
        <v>1109</v>
      </c>
      <c r="T5" s="589"/>
      <c r="U5" s="590"/>
      <c r="V5" s="398"/>
    </row>
    <row r="6" spans="1:38">
      <c r="A6" s="375"/>
      <c r="C6" s="140" t="s">
        <v>248</v>
      </c>
      <c r="R6" s="282">
        <v>2</v>
      </c>
      <c r="S6" s="588" t="s">
        <v>1107</v>
      </c>
      <c r="T6" s="589"/>
      <c r="U6" s="590"/>
      <c r="V6" s="398"/>
    </row>
    <row r="7" spans="1:38" ht="19.5" customHeight="1">
      <c r="A7" s="375"/>
      <c r="R7" s="282">
        <v>3</v>
      </c>
      <c r="S7" s="588" t="s">
        <v>1110</v>
      </c>
      <c r="T7" s="589"/>
      <c r="U7" s="590"/>
      <c r="V7" s="398"/>
    </row>
    <row r="8" spans="1:38">
      <c r="A8" s="375"/>
      <c r="D8" s="583" t="s">
        <v>250</v>
      </c>
      <c r="E8" s="583"/>
      <c r="F8" s="583"/>
      <c r="H8" s="583" t="s">
        <v>249</v>
      </c>
      <c r="I8" s="583"/>
      <c r="J8" s="583"/>
      <c r="R8" s="282">
        <v>3</v>
      </c>
      <c r="S8" s="588" t="s">
        <v>1111</v>
      </c>
      <c r="T8" s="589"/>
      <c r="U8" s="590"/>
      <c r="V8" s="398"/>
    </row>
    <row r="9" spans="1:38" ht="29.45" customHeight="1">
      <c r="A9" s="375"/>
      <c r="D9" s="584"/>
      <c r="E9" s="584"/>
      <c r="F9" s="584"/>
      <c r="H9" s="585"/>
      <c r="I9" s="585"/>
      <c r="J9" s="585"/>
      <c r="L9" s="281" t="str">
        <f>IF(H9="","",IF(H14="手順1-1をご確認ください","都道府県と市町村の組み合わせをご確認ください",""))</f>
        <v/>
      </c>
      <c r="R9" s="282">
        <v>4</v>
      </c>
      <c r="S9" s="588" t="s">
        <v>1112</v>
      </c>
      <c r="T9" s="589"/>
      <c r="U9" s="590"/>
      <c r="V9" s="398"/>
    </row>
    <row r="10" spans="1:38">
      <c r="A10" s="375"/>
      <c r="H10" s="140" t="str">
        <f>IF(AND(IFERROR(D14,"")="その他",H9=""),"↑グレーアウトしているときは入力不要","")</f>
        <v/>
      </c>
      <c r="S10" s="140"/>
    </row>
    <row r="11" spans="1:38">
      <c r="A11" s="375" t="s">
        <v>246</v>
      </c>
      <c r="C11" s="140" t="str">
        <f>A5&amp;"の入力に基づく、地域区分は次のとおりです。誤りがないかご確認ください。"</f>
        <v>手順1-1の入力に基づく、地域区分は次のとおりです。誤りがないかご確認ください。</v>
      </c>
      <c r="R11" s="140"/>
      <c r="S11" s="587"/>
      <c r="T11" s="587"/>
      <c r="U11" s="587"/>
      <c r="V11" s="587"/>
    </row>
    <row r="12" spans="1:38" ht="12.2" customHeight="1"/>
    <row r="13" spans="1:38">
      <c r="D13" s="586" t="s">
        <v>56</v>
      </c>
      <c r="E13" s="586"/>
      <c r="F13" s="586"/>
      <c r="H13" s="586" t="s">
        <v>823</v>
      </c>
      <c r="I13" s="586"/>
      <c r="J13" s="586"/>
      <c r="K13" s="586"/>
      <c r="L13" s="586"/>
    </row>
    <row r="14" spans="1:38" ht="29.45" customHeight="1">
      <c r="D14" s="575" t="str">
        <f>IFERROR(IF(COUNTIFS(GRADE_FLG,0,LIST_PREF,入力シート!D9)=1,"その他",VLOOKUP(D9&amp;H9,【事務所の所在地】!E:H,4,0)),"手順1-1をご確認ください")</f>
        <v>手順1-1をご確認ください</v>
      </c>
      <c r="E14" s="575"/>
      <c r="F14" s="575"/>
      <c r="H14" s="576" t="str">
        <f>IF(入力シート!D14="","",IFERROR(VLOOKUP(入力シート!D14,【事務所の所在地】!J3:K10,2,0),"手順1-1をご確認ください"))</f>
        <v>手順1-1をご確認ください</v>
      </c>
      <c r="I14" s="576"/>
      <c r="J14" s="577"/>
      <c r="K14" s="577"/>
      <c r="L14" s="577"/>
    </row>
    <row r="15" spans="1:38">
      <c r="H15" s="375" t="s">
        <v>600</v>
      </c>
      <c r="X15" s="282"/>
      <c r="Y15" s="282">
        <v>1</v>
      </c>
      <c r="Z15" s="282">
        <v>2</v>
      </c>
      <c r="AA15" s="282">
        <v>3</v>
      </c>
      <c r="AB15" s="282">
        <v>4</v>
      </c>
      <c r="AC15" s="282">
        <v>5</v>
      </c>
      <c r="AD15" s="282">
        <v>6</v>
      </c>
      <c r="AE15" s="282">
        <v>7</v>
      </c>
      <c r="AF15" s="282">
        <v>8</v>
      </c>
      <c r="AG15" s="282">
        <v>9</v>
      </c>
      <c r="AH15" s="282">
        <v>10</v>
      </c>
      <c r="AI15" s="282">
        <v>11</v>
      </c>
      <c r="AJ15" s="282">
        <v>12</v>
      </c>
      <c r="AK15" s="282">
        <v>13</v>
      </c>
      <c r="AL15" s="282">
        <v>14</v>
      </c>
    </row>
    <row r="16" spans="1:38">
      <c r="X16" s="282">
        <v>1</v>
      </c>
      <c r="Y16" s="282"/>
      <c r="Z16" s="282" t="s">
        <v>856</v>
      </c>
      <c r="AA16" s="282" t="s">
        <v>856</v>
      </c>
      <c r="AB16" s="282"/>
      <c r="AC16" s="282"/>
      <c r="AD16" s="282"/>
      <c r="AE16" s="282"/>
      <c r="AF16" s="282"/>
      <c r="AG16" s="282" t="s">
        <v>856</v>
      </c>
      <c r="AH16" s="282" t="s">
        <v>856</v>
      </c>
      <c r="AI16" s="282" t="s">
        <v>856</v>
      </c>
      <c r="AJ16" s="282" t="s">
        <v>856</v>
      </c>
      <c r="AK16" s="282" t="s">
        <v>856</v>
      </c>
      <c r="AL16" s="282"/>
    </row>
    <row r="17" spans="1:38">
      <c r="A17" s="278" t="s">
        <v>601</v>
      </c>
      <c r="B17" s="278" t="s">
        <v>602</v>
      </c>
      <c r="C17" s="278"/>
      <c r="D17" s="278"/>
      <c r="E17" s="278"/>
      <c r="F17" s="278"/>
      <c r="G17" s="278"/>
      <c r="H17" s="278"/>
      <c r="I17" s="278"/>
      <c r="J17" s="278"/>
      <c r="K17" s="278"/>
      <c r="L17" s="278"/>
      <c r="M17" s="278"/>
      <c r="N17" s="279"/>
      <c r="O17" s="279"/>
      <c r="P17" s="279"/>
      <c r="Q17" s="140"/>
      <c r="R17" s="140"/>
      <c r="S17" s="140"/>
      <c r="T17" s="140"/>
      <c r="U17" s="140"/>
      <c r="V17" s="140"/>
      <c r="W17" s="140"/>
      <c r="X17" s="398">
        <v>2</v>
      </c>
      <c r="Y17" s="398" t="s">
        <v>856</v>
      </c>
      <c r="Z17" s="398"/>
      <c r="AA17" s="398" t="s">
        <v>856</v>
      </c>
      <c r="AB17" s="398"/>
      <c r="AC17" s="398"/>
      <c r="AD17" s="398"/>
      <c r="AE17" s="398"/>
      <c r="AF17" s="398"/>
      <c r="AG17" s="398" t="s">
        <v>856</v>
      </c>
      <c r="AH17" s="398" t="s">
        <v>856</v>
      </c>
      <c r="AI17" s="398" t="s">
        <v>856</v>
      </c>
      <c r="AJ17" s="398" t="s">
        <v>856</v>
      </c>
      <c r="AK17" s="398" t="s">
        <v>856</v>
      </c>
      <c r="AL17" s="398"/>
    </row>
    <row r="18" spans="1:38" ht="14.45" customHeight="1">
      <c r="C18" s="130"/>
      <c r="X18" s="282">
        <v>3</v>
      </c>
      <c r="Y18" s="282" t="s">
        <v>856</v>
      </c>
      <c r="Z18" s="282" t="s">
        <v>856</v>
      </c>
      <c r="AA18" s="282"/>
      <c r="AB18" s="282"/>
      <c r="AC18" s="282"/>
      <c r="AD18" s="282"/>
      <c r="AE18" s="282"/>
      <c r="AF18" s="282"/>
      <c r="AG18" s="282" t="s">
        <v>856</v>
      </c>
      <c r="AH18" s="282" t="s">
        <v>856</v>
      </c>
      <c r="AI18" s="282" t="s">
        <v>856</v>
      </c>
      <c r="AJ18" s="282" t="s">
        <v>856</v>
      </c>
      <c r="AK18" s="282" t="s">
        <v>856</v>
      </c>
      <c r="AL18" s="282"/>
    </row>
    <row r="19" spans="1:38">
      <c r="A19" s="399" t="s">
        <v>603</v>
      </c>
      <c r="B19" s="278"/>
      <c r="C19" s="278" t="s">
        <v>605</v>
      </c>
      <c r="D19" s="278"/>
      <c r="E19" s="278"/>
      <c r="F19" s="278"/>
      <c r="G19" s="278"/>
      <c r="H19" s="278"/>
      <c r="I19" s="278"/>
      <c r="J19" s="278"/>
      <c r="K19" s="278"/>
      <c r="L19" s="278"/>
      <c r="M19" s="278"/>
      <c r="N19" s="279"/>
      <c r="Q19" s="140"/>
      <c r="R19" s="140"/>
      <c r="S19" s="140"/>
      <c r="T19" s="140"/>
      <c r="U19" s="140"/>
      <c r="V19" s="140"/>
      <c r="W19" s="140"/>
      <c r="X19" s="398">
        <v>4</v>
      </c>
      <c r="Y19" s="398"/>
      <c r="Z19" s="398"/>
      <c r="AA19" s="398"/>
      <c r="AB19" s="398"/>
      <c r="AC19" s="398" t="s">
        <v>856</v>
      </c>
      <c r="AD19" s="398" t="s">
        <v>856</v>
      </c>
      <c r="AE19" s="398"/>
      <c r="AF19" s="398" t="s">
        <v>857</v>
      </c>
      <c r="AG19" s="398" t="s">
        <v>856</v>
      </c>
      <c r="AH19" s="398" t="s">
        <v>856</v>
      </c>
      <c r="AI19" s="398" t="s">
        <v>856</v>
      </c>
      <c r="AJ19" s="398" t="s">
        <v>856</v>
      </c>
      <c r="AK19" s="398" t="s">
        <v>856</v>
      </c>
      <c r="AL19" s="398"/>
    </row>
    <row r="20" spans="1:38" ht="14.45" customHeight="1">
      <c r="C20" s="130"/>
      <c r="D20" s="281" t="str">
        <f>IF(C22="",IF(OR(C23="",C24="",C25=""),"A病棟から順にご入力ください",""),"")</f>
        <v>A病棟から順にご入力ください</v>
      </c>
      <c r="X20" s="282">
        <v>5</v>
      </c>
      <c r="Y20" s="282"/>
      <c r="Z20" s="282"/>
      <c r="AA20" s="282"/>
      <c r="AB20" s="282" t="s">
        <v>856</v>
      </c>
      <c r="AC20" s="282"/>
      <c r="AD20" s="282" t="s">
        <v>856</v>
      </c>
      <c r="AE20" s="282"/>
      <c r="AF20" s="282"/>
      <c r="AG20" s="282" t="s">
        <v>856</v>
      </c>
      <c r="AH20" s="282" t="s">
        <v>856</v>
      </c>
      <c r="AI20" s="282" t="s">
        <v>856</v>
      </c>
      <c r="AJ20" s="282" t="s">
        <v>856</v>
      </c>
      <c r="AK20" s="282" t="s">
        <v>856</v>
      </c>
      <c r="AL20" s="282"/>
    </row>
    <row r="21" spans="1:38">
      <c r="C21" s="100" t="s">
        <v>964</v>
      </c>
      <c r="D21" s="578" t="s">
        <v>604</v>
      </c>
      <c r="E21" s="578"/>
      <c r="F21" s="578"/>
      <c r="G21" s="578"/>
      <c r="H21" s="578"/>
      <c r="I21" s="578" t="s">
        <v>58</v>
      </c>
      <c r="J21" s="578"/>
      <c r="K21" s="578"/>
      <c r="L21" s="578" t="s">
        <v>608</v>
      </c>
      <c r="M21" s="579"/>
      <c r="R21" s="245" t="s">
        <v>771</v>
      </c>
      <c r="S21" s="245" t="s">
        <v>771</v>
      </c>
      <c r="T21" s="245" t="s">
        <v>884</v>
      </c>
      <c r="U21" s="580" t="s">
        <v>885</v>
      </c>
      <c r="V21" s="580"/>
      <c r="W21" s="581"/>
      <c r="X21" s="282">
        <v>6</v>
      </c>
      <c r="Y21" s="282"/>
      <c r="Z21" s="282"/>
      <c r="AA21" s="282"/>
      <c r="AB21" s="282" t="s">
        <v>856</v>
      </c>
      <c r="AC21" s="282" t="s">
        <v>856</v>
      </c>
      <c r="AD21" s="282"/>
      <c r="AE21" s="282"/>
      <c r="AF21" s="282"/>
      <c r="AG21" s="282" t="s">
        <v>856</v>
      </c>
      <c r="AH21" s="282" t="s">
        <v>856</v>
      </c>
      <c r="AI21" s="282" t="s">
        <v>856</v>
      </c>
      <c r="AJ21" s="282" t="s">
        <v>856</v>
      </c>
      <c r="AK21" s="282" t="s">
        <v>856</v>
      </c>
      <c r="AL21" s="282"/>
    </row>
    <row r="22" spans="1:38" ht="30.2" customHeight="1">
      <c r="A22" s="593" t="str">
        <f>IFERROR(IF(INDEX(Y16:AL29,T22,T23)=0,IF(INDEX(Y16:AL29,T22,T24)=0,IF(INDEX(Y16:AL29,T22,T25)=0,"","算定不可"),"算定不可"),"算定不可"),"")</f>
        <v/>
      </c>
      <c r="B22" s="594"/>
      <c r="C22" s="98" t="str">
        <f>IF(D22&lt;&gt;"","A病棟","")</f>
        <v/>
      </c>
      <c r="D22" s="595"/>
      <c r="E22" s="595"/>
      <c r="F22" s="595"/>
      <c r="G22" s="595"/>
      <c r="H22" s="595"/>
      <c r="I22" s="595"/>
      <c r="J22" s="595"/>
      <c r="K22" s="595"/>
      <c r="L22" s="601"/>
      <c r="M22" s="602"/>
      <c r="N22" s="283" t="str">
        <f>IF(W22=0,IF(D22="",IF(L22&gt;0,"エラー！施設種類を選択してください",""),IF(L22="","エラー！定員数を入力してください",IF(I22="","エラー！居室種類を選択してください",""))),"施設種類と居室種類の組み合わせエラー")</f>
        <v/>
      </c>
      <c r="O22" s="283"/>
      <c r="P22" s="283"/>
      <c r="R22" s="245" t="e">
        <f>VLOOKUP(D22,【入所居室のタイプ】!$J$1:$L$14,2,)</f>
        <v>#N/A</v>
      </c>
      <c r="S22" s="245" t="e">
        <f>VLOOKUP(D22,【入所居室のタイプ】!$J$1:$L$14,3,)</f>
        <v>#N/A</v>
      </c>
      <c r="T22" s="245" t="e">
        <f>VLOOKUP(S22,【入所居室のタイプ】!$L$2:$M$14,2,0)</f>
        <v>#N/A</v>
      </c>
      <c r="U22" s="245" t="e">
        <f>VLOOKUP(入力シート!D22,【入所居室のタイプ】!$J$1:$N$14,5,0)</f>
        <v>#N/A</v>
      </c>
      <c r="V22" s="245" t="e">
        <f>VLOOKUP(I22,【入所居室のタイプ】!$O$2:$P$5,2,0)</f>
        <v>#N/A</v>
      </c>
      <c r="W22" s="245">
        <f>IFERROR(U22-V22,0)</f>
        <v>0</v>
      </c>
      <c r="X22" s="282">
        <v>7</v>
      </c>
      <c r="Y22" s="282"/>
      <c r="Z22" s="282"/>
      <c r="AA22" s="282"/>
      <c r="AB22" s="282"/>
      <c r="AC22" s="282"/>
      <c r="AD22" s="282"/>
      <c r="AE22" s="282"/>
      <c r="AF22" s="282" t="s">
        <v>856</v>
      </c>
      <c r="AG22" s="282" t="s">
        <v>856</v>
      </c>
      <c r="AH22" s="282" t="s">
        <v>856</v>
      </c>
      <c r="AI22" s="282" t="s">
        <v>856</v>
      </c>
      <c r="AJ22" s="282" t="s">
        <v>856</v>
      </c>
      <c r="AK22" s="282" t="s">
        <v>856</v>
      </c>
      <c r="AL22" s="282"/>
    </row>
    <row r="23" spans="1:38" ht="30.2" customHeight="1">
      <c r="A23" s="593" t="str">
        <f>IFERROR(IF(INDEX(Y16:AL29,T23,T22)=0,IF(INDEX(Y16:AL29,T23,T24)=0,IF(INDEX(Y16:AL29,T23,T25)=0,"","算定不可"),"算定不可"),"算定不可"),"")</f>
        <v/>
      </c>
      <c r="B23" s="594"/>
      <c r="C23" s="99" t="str">
        <f>IF(D23&lt;&gt;"","B病棟","")</f>
        <v/>
      </c>
      <c r="D23" s="595"/>
      <c r="E23" s="595"/>
      <c r="F23" s="595"/>
      <c r="G23" s="595"/>
      <c r="H23" s="595"/>
      <c r="I23" s="595"/>
      <c r="J23" s="595"/>
      <c r="K23" s="595"/>
      <c r="L23" s="596"/>
      <c r="M23" s="597"/>
      <c r="N23" s="283" t="str">
        <f>IF(W23=0,IF(D23="",IF(L23&gt;0,"エラー！施設種類を選択してください",""),IF(L23="","エラー！定員数を入力してください",IF(I23="","エラー！居室種類を選択してください",""))),"施設種類と居室種類の組み合わせエラー")</f>
        <v/>
      </c>
      <c r="O23" s="283"/>
      <c r="P23" s="283"/>
      <c r="R23" s="245" t="str">
        <f>IFERROR(VLOOKUP(D23,【入所居室のタイプ】!$J$1:$L$14,2,),"")</f>
        <v/>
      </c>
      <c r="S23" s="245" t="e">
        <f>VLOOKUP(D23,【入所居室のタイプ】!$J$1:$L$14,3,)</f>
        <v>#N/A</v>
      </c>
      <c r="T23" s="245">
        <f>IFERROR(VLOOKUP(S23,【入所居室のタイプ】!$L$2:$M$14,2,0),14)</f>
        <v>14</v>
      </c>
      <c r="U23" s="245" t="e">
        <f>VLOOKUP(入力シート!D23,【入所居室のタイプ】!$J$1:$N$14,5,0)</f>
        <v>#N/A</v>
      </c>
      <c r="V23" s="245" t="e">
        <f>VLOOKUP(I23,【入所居室のタイプ】!$O$2:$P$5,2,0)</f>
        <v>#N/A</v>
      </c>
      <c r="W23" s="245">
        <f>IFERROR(U23-V23,0)</f>
        <v>0</v>
      </c>
      <c r="X23" s="282">
        <v>8</v>
      </c>
      <c r="Y23" s="282"/>
      <c r="Z23" s="282"/>
      <c r="AA23" s="282"/>
      <c r="AB23" s="282"/>
      <c r="AC23" s="282"/>
      <c r="AD23" s="282"/>
      <c r="AE23" s="282" t="s">
        <v>856</v>
      </c>
      <c r="AF23" s="282"/>
      <c r="AG23" s="282" t="s">
        <v>856</v>
      </c>
      <c r="AH23" s="282" t="s">
        <v>856</v>
      </c>
      <c r="AI23" s="282" t="s">
        <v>856</v>
      </c>
      <c r="AJ23" s="282" t="s">
        <v>856</v>
      </c>
      <c r="AK23" s="282" t="s">
        <v>856</v>
      </c>
      <c r="AL23" s="282"/>
    </row>
    <row r="24" spans="1:38" ht="30.2" customHeight="1">
      <c r="A24" s="593" t="str">
        <f>IFERROR(IF(INDEX(Y16:AL29,T24,T22)=0,IF(INDEX(Y16:AL29,T24,T23)=0,IF(INDEX(Y16:AL29,T24,T25)=0,"","算定不可"),"算定不可"),"算定不可"),"")</f>
        <v/>
      </c>
      <c r="B24" s="594"/>
      <c r="C24" s="99" t="str">
        <f>IF(D24&lt;&gt;"","C病棟","")</f>
        <v/>
      </c>
      <c r="D24" s="595"/>
      <c r="E24" s="595"/>
      <c r="F24" s="595"/>
      <c r="G24" s="595"/>
      <c r="H24" s="595"/>
      <c r="I24" s="595"/>
      <c r="J24" s="595"/>
      <c r="K24" s="595"/>
      <c r="L24" s="596"/>
      <c r="M24" s="597"/>
      <c r="N24" s="283" t="str">
        <f>IF(W24=0,IF(D24="",IF(L24&gt;0,"エラー！施設種類を選択してください",""),IF(L24="","エラー！定員数を入力してください",IF(I24="","エラー！居室種類を選択してください",""))),"施設種類と居室種類の組み合わせエラー")</f>
        <v/>
      </c>
      <c r="O24" s="283"/>
      <c r="P24" s="283"/>
      <c r="R24" s="245" t="str">
        <f>IFERROR(VLOOKUP(D24,【入所居室のタイプ】!$J$1:$L$14,2,),"")</f>
        <v/>
      </c>
      <c r="S24" s="245" t="str">
        <f>IFERROR(VLOOKUP(D24,【入所居室のタイプ】!$J$1:$L$14,3,),"")</f>
        <v/>
      </c>
      <c r="T24" s="245">
        <f>IFERROR(VLOOKUP(S24,【入所居室のタイプ】!$L$2:$M$14,2,0),14)</f>
        <v>14</v>
      </c>
      <c r="U24" s="245" t="e">
        <f>VLOOKUP(入力シート!D24,【入所居室のタイプ】!$J$1:$N$14,5,0)</f>
        <v>#N/A</v>
      </c>
      <c r="V24" s="245" t="e">
        <f>VLOOKUP(I24,【入所居室のタイプ】!$O$2:$P$5,2,0)</f>
        <v>#N/A</v>
      </c>
      <c r="W24" s="245">
        <f>IFERROR(U24-V24,0)</f>
        <v>0</v>
      </c>
      <c r="X24" s="282">
        <v>9</v>
      </c>
      <c r="Y24" s="282" t="s">
        <v>856</v>
      </c>
      <c r="Z24" s="282" t="s">
        <v>856</v>
      </c>
      <c r="AA24" s="282" t="s">
        <v>856</v>
      </c>
      <c r="AB24" s="282" t="s">
        <v>856</v>
      </c>
      <c r="AC24" s="282" t="s">
        <v>856</v>
      </c>
      <c r="AD24" s="282" t="s">
        <v>856</v>
      </c>
      <c r="AE24" s="282" t="s">
        <v>856</v>
      </c>
      <c r="AF24" s="282" t="s">
        <v>856</v>
      </c>
      <c r="AG24" s="282"/>
      <c r="AH24" s="282" t="s">
        <v>856</v>
      </c>
      <c r="AI24" s="282"/>
      <c r="AJ24" s="282"/>
      <c r="AK24" s="282"/>
      <c r="AL24" s="282"/>
    </row>
    <row r="25" spans="1:38" ht="30.2" customHeight="1" thickBot="1">
      <c r="A25" s="593" t="str">
        <f>IFERROR(IF(INDEX(Y16:AL29,T25,T22)="",IF(INDEX(Y16:AL29,T25,T23)="",IF(INDEX(Y16:AL29,T25,T24)="","","算定不可"),"算定不可"),"算定不可"),"")</f>
        <v/>
      </c>
      <c r="B25" s="594"/>
      <c r="C25" s="99" t="str">
        <f>IF(D25&lt;&gt;"","D病棟","")</f>
        <v/>
      </c>
      <c r="D25" s="595"/>
      <c r="E25" s="595"/>
      <c r="F25" s="595"/>
      <c r="G25" s="595"/>
      <c r="H25" s="595"/>
      <c r="I25" s="595"/>
      <c r="J25" s="595"/>
      <c r="K25" s="598"/>
      <c r="L25" s="599"/>
      <c r="M25" s="600"/>
      <c r="N25" s="283" t="str">
        <f>IF(W25=0,IF(D25="",IF(L25&gt;0,"エラー！施設種類を選択してください",""),IF(L25="","エラー！定員数を入力してください",IF(I25="","エラー！居室種類を選択してください",""))),"施設種類と居室種類の組み合わせエラー")</f>
        <v/>
      </c>
      <c r="O25" s="283"/>
      <c r="P25" s="283"/>
      <c r="R25" s="245" t="str">
        <f>IFERROR(VLOOKUP(D25,【入所居室のタイプ】!$J$1:$L$14,2,),"")</f>
        <v/>
      </c>
      <c r="S25" s="245" t="str">
        <f>IFERROR(VLOOKUP(D25,【入所居室のタイプ】!$J$1:$L$14,3,),"")</f>
        <v/>
      </c>
      <c r="T25" s="245">
        <f>IFERROR(VLOOKUP(S25,【入所居室のタイプ】!$L$2:$M$14,2,0),14)</f>
        <v>14</v>
      </c>
      <c r="U25" s="245" t="e">
        <f>VLOOKUP(入力シート!D25,【入所居室のタイプ】!$J$1:$N$14,5,0)</f>
        <v>#N/A</v>
      </c>
      <c r="V25" s="245" t="e">
        <f>VLOOKUP(I25,【入所居室のタイプ】!$O$2:$P$5,2,0)</f>
        <v>#N/A</v>
      </c>
      <c r="W25" s="245">
        <f>IFERROR(U25-V25,0)</f>
        <v>0</v>
      </c>
      <c r="X25" s="282">
        <v>10</v>
      </c>
      <c r="Y25" s="282" t="s">
        <v>856</v>
      </c>
      <c r="Z25" s="282" t="s">
        <v>856</v>
      </c>
      <c r="AA25" s="282" t="s">
        <v>856</v>
      </c>
      <c r="AB25" s="282" t="s">
        <v>856</v>
      </c>
      <c r="AC25" s="282" t="s">
        <v>856</v>
      </c>
      <c r="AD25" s="282" t="s">
        <v>856</v>
      </c>
      <c r="AE25" s="282" t="s">
        <v>856</v>
      </c>
      <c r="AF25" s="282" t="s">
        <v>856</v>
      </c>
      <c r="AG25" s="282" t="s">
        <v>856</v>
      </c>
      <c r="AH25" s="282"/>
      <c r="AI25" s="282"/>
      <c r="AJ25" s="282"/>
      <c r="AK25" s="282"/>
      <c r="AL25" s="282"/>
    </row>
    <row r="26" spans="1:38" ht="30" customHeight="1" thickBot="1">
      <c r="C26" s="284" t="s">
        <v>962</v>
      </c>
      <c r="D26" s="285"/>
      <c r="E26" s="285"/>
      <c r="F26" s="285"/>
      <c r="G26" s="285"/>
      <c r="H26" s="285"/>
      <c r="I26" s="285"/>
      <c r="J26" s="285"/>
      <c r="K26" s="131" t="s">
        <v>61</v>
      </c>
      <c r="L26" s="603">
        <f>SUM(L22:L25)</f>
        <v>0</v>
      </c>
      <c r="M26" s="604"/>
      <c r="X26" s="282">
        <v>11</v>
      </c>
      <c r="Y26" s="282" t="s">
        <v>856</v>
      </c>
      <c r="Z26" s="282" t="s">
        <v>856</v>
      </c>
      <c r="AA26" s="282" t="s">
        <v>856</v>
      </c>
      <c r="AB26" s="282" t="s">
        <v>856</v>
      </c>
      <c r="AC26" s="282" t="s">
        <v>856</v>
      </c>
      <c r="AD26" s="282" t="s">
        <v>856</v>
      </c>
      <c r="AE26" s="282" t="s">
        <v>856</v>
      </c>
      <c r="AF26" s="282" t="s">
        <v>856</v>
      </c>
      <c r="AG26" s="282"/>
      <c r="AH26" s="282"/>
      <c r="AI26" s="282"/>
      <c r="AJ26" s="282"/>
      <c r="AK26" s="282"/>
      <c r="AL26" s="282"/>
    </row>
    <row r="27" spans="1:38" ht="17.45" customHeight="1">
      <c r="D27" s="285"/>
      <c r="E27" s="285"/>
      <c r="F27" s="285"/>
      <c r="G27" s="285"/>
      <c r="H27" s="285"/>
      <c r="I27" s="285"/>
      <c r="J27" s="285"/>
      <c r="K27" s="132"/>
      <c r="L27" s="286"/>
      <c r="M27" s="286"/>
      <c r="X27" s="282">
        <v>12</v>
      </c>
      <c r="Y27" s="282" t="s">
        <v>856</v>
      </c>
      <c r="Z27" s="282" t="s">
        <v>856</v>
      </c>
      <c r="AA27" s="282" t="s">
        <v>856</v>
      </c>
      <c r="AB27" s="282" t="s">
        <v>856</v>
      </c>
      <c r="AC27" s="282" t="s">
        <v>856</v>
      </c>
      <c r="AD27" s="282" t="s">
        <v>856</v>
      </c>
      <c r="AE27" s="282" t="s">
        <v>856</v>
      </c>
      <c r="AF27" s="282" t="s">
        <v>856</v>
      </c>
      <c r="AG27" s="282"/>
      <c r="AH27" s="282"/>
      <c r="AI27" s="282"/>
      <c r="AJ27" s="282"/>
      <c r="AK27" s="282"/>
      <c r="AL27" s="282"/>
    </row>
    <row r="28" spans="1:38">
      <c r="X28" s="282">
        <v>13</v>
      </c>
      <c r="Y28" s="282" t="s">
        <v>856</v>
      </c>
      <c r="Z28" s="282" t="s">
        <v>856</v>
      </c>
      <c r="AA28" s="282" t="s">
        <v>856</v>
      </c>
      <c r="AB28" s="282" t="s">
        <v>856</v>
      </c>
      <c r="AC28" s="282" t="s">
        <v>856</v>
      </c>
      <c r="AD28" s="282" t="s">
        <v>856</v>
      </c>
      <c r="AE28" s="282" t="s">
        <v>856</v>
      </c>
      <c r="AF28" s="282" t="s">
        <v>856</v>
      </c>
      <c r="AG28" s="282"/>
      <c r="AH28" s="282"/>
      <c r="AI28" s="282"/>
      <c r="AJ28" s="282"/>
      <c r="AK28" s="282"/>
      <c r="AL28" s="282"/>
    </row>
    <row r="29" spans="1:38">
      <c r="A29" s="399" t="s">
        <v>606</v>
      </c>
      <c r="B29" s="278"/>
      <c r="C29" s="278" t="s">
        <v>965</v>
      </c>
      <c r="D29" s="278"/>
      <c r="E29" s="278"/>
      <c r="F29" s="278"/>
      <c r="G29" s="278"/>
      <c r="H29" s="278"/>
      <c r="I29" s="278"/>
      <c r="J29" s="278"/>
      <c r="K29" s="278"/>
      <c r="L29" s="278"/>
      <c r="M29" s="278"/>
      <c r="N29" s="278"/>
      <c r="O29" s="278"/>
      <c r="P29" s="278"/>
      <c r="Q29" s="140"/>
      <c r="R29" s="140"/>
      <c r="S29" s="140"/>
      <c r="T29" s="140"/>
      <c r="U29" s="140"/>
      <c r="V29" s="140"/>
      <c r="W29" s="140"/>
      <c r="X29" s="398">
        <v>14</v>
      </c>
      <c r="Y29" s="398"/>
      <c r="Z29" s="398"/>
      <c r="AA29" s="398"/>
      <c r="AB29" s="398"/>
      <c r="AC29" s="398"/>
      <c r="AD29" s="398"/>
      <c r="AE29" s="398"/>
      <c r="AF29" s="398"/>
      <c r="AG29" s="398"/>
      <c r="AH29" s="398"/>
      <c r="AI29" s="398"/>
      <c r="AJ29" s="398"/>
      <c r="AK29" s="398"/>
      <c r="AL29" s="398"/>
    </row>
    <row r="30" spans="1:38">
      <c r="A30" s="278"/>
      <c r="B30" s="278"/>
      <c r="C30" s="278" t="s">
        <v>878</v>
      </c>
      <c r="D30" s="278"/>
      <c r="E30" s="278"/>
      <c r="F30" s="278"/>
      <c r="G30" s="278"/>
      <c r="H30" s="278"/>
      <c r="I30" s="278"/>
      <c r="J30" s="278"/>
      <c r="K30" s="278"/>
      <c r="L30" s="278"/>
      <c r="M30" s="278"/>
      <c r="N30" s="278"/>
      <c r="O30" s="278"/>
      <c r="P30" s="278"/>
      <c r="Q30" s="140"/>
      <c r="R30" s="140"/>
      <c r="S30" s="140"/>
      <c r="T30" s="140"/>
      <c r="U30" s="140"/>
      <c r="V30" s="140"/>
      <c r="W30" s="140"/>
      <c r="X30" s="140"/>
      <c r="Y30" s="140"/>
      <c r="Z30" s="140"/>
      <c r="AA30" s="140"/>
      <c r="AB30" s="140"/>
      <c r="AC30" s="140"/>
      <c r="AD30" s="140"/>
      <c r="AE30" s="140"/>
      <c r="AF30" s="140"/>
      <c r="AG30" s="140"/>
      <c r="AH30" s="140"/>
      <c r="AI30" s="140"/>
      <c r="AJ30" s="140"/>
      <c r="AK30" s="140"/>
      <c r="AL30" s="140"/>
    </row>
    <row r="31" spans="1:38" ht="20.25" thickBot="1"/>
    <row r="32" spans="1:38" ht="22.5">
      <c r="C32" s="287" t="str">
        <f>C22</f>
        <v/>
      </c>
      <c r="D32" s="288"/>
      <c r="E32" s="288"/>
      <c r="F32" s="288"/>
      <c r="G32" s="288"/>
      <c r="H32" s="288"/>
      <c r="I32" s="288"/>
      <c r="J32" s="288"/>
      <c r="K32" s="288"/>
      <c r="L32" s="288"/>
      <c r="M32" s="288"/>
      <c r="N32" s="288"/>
      <c r="O32" s="133"/>
      <c r="P32" s="289"/>
    </row>
    <row r="33" spans="3:22">
      <c r="C33" s="290"/>
      <c r="D33" s="130">
        <f>D22</f>
        <v>0</v>
      </c>
      <c r="E33" s="130"/>
      <c r="F33" s="130"/>
      <c r="G33" s="130"/>
      <c r="H33" s="285"/>
      <c r="I33" s="285"/>
      <c r="J33" s="130">
        <f>I22</f>
        <v>0</v>
      </c>
      <c r="K33" s="285"/>
      <c r="L33" s="285"/>
      <c r="M33" s="130" t="str">
        <f>TEXT(L22,"定員　#,###床")</f>
        <v>定員 床</v>
      </c>
      <c r="N33" s="285"/>
      <c r="O33" s="104"/>
      <c r="P33" s="291"/>
    </row>
    <row r="34" spans="3:22" ht="18.600000000000001" customHeight="1">
      <c r="C34" s="290"/>
      <c r="D34" s="605" t="str">
        <f>IF(E44&lt;0,"↓構成割合が100%を超えています","")</f>
        <v/>
      </c>
      <c r="E34" s="605"/>
      <c r="F34" s="605"/>
      <c r="G34" s="605"/>
      <c r="H34" s="605"/>
      <c r="I34" s="285"/>
      <c r="J34" s="283" t="str">
        <f>IF(D33=0,"",IF(K37&gt;1,"↓利用率が100%を超えています",""))</f>
        <v/>
      </c>
      <c r="K34" s="285"/>
      <c r="L34" s="285"/>
      <c r="M34" s="285"/>
      <c r="N34" s="285"/>
      <c r="O34" s="104"/>
      <c r="P34" s="291"/>
    </row>
    <row r="35" spans="3:22">
      <c r="C35" s="290"/>
      <c r="D35" s="292" t="s">
        <v>615</v>
      </c>
      <c r="E35" s="293"/>
      <c r="F35" s="293"/>
      <c r="G35" s="293"/>
      <c r="H35" s="294"/>
      <c r="I35" s="295" t="s">
        <v>779</v>
      </c>
      <c r="J35" s="606" t="s">
        <v>625</v>
      </c>
      <c r="K35" s="607"/>
      <c r="L35" s="608" t="str">
        <f>IF(AND(NOT(E37=""),NOT(K45="-")),"←エラー！！","")</f>
        <v/>
      </c>
      <c r="M35" s="609"/>
      <c r="N35" s="609"/>
      <c r="O35" s="609"/>
      <c r="P35" s="610"/>
    </row>
    <row r="36" spans="3:22">
      <c r="C36" s="290"/>
      <c r="D36" s="611" t="s">
        <v>851</v>
      </c>
      <c r="E36" s="612"/>
      <c r="F36" s="296"/>
      <c r="G36" s="285"/>
      <c r="H36" s="297"/>
      <c r="I36" s="613" t="s">
        <v>826</v>
      </c>
      <c r="J36" s="298" t="s">
        <v>611</v>
      </c>
      <c r="K36" s="297"/>
      <c r="L36" s="615" t="str">
        <f>IF(AND(NOT(E37=""),NOT(K45="-")),"想定利用率または年間延利用者数のどちらか一方のみを入力してください","")</f>
        <v/>
      </c>
      <c r="M36" s="616"/>
      <c r="N36" s="616"/>
      <c r="O36" s="616"/>
      <c r="P36" s="617"/>
    </row>
    <row r="37" spans="3:22">
      <c r="C37" s="290"/>
      <c r="D37" s="299"/>
      <c r="E37" s="300"/>
      <c r="F37" s="285" t="s">
        <v>613</v>
      </c>
      <c r="G37" s="285"/>
      <c r="H37" s="297"/>
      <c r="I37" s="613"/>
      <c r="J37" s="298"/>
      <c r="K37" s="301" t="str">
        <f>IFERROR(SUM(K40:K44)/($L$22*365),"")</f>
        <v/>
      </c>
      <c r="L37" s="285"/>
      <c r="M37" s="275" t="s">
        <v>1012</v>
      </c>
      <c r="N37" s="274"/>
      <c r="O37" s="628" t="str">
        <f ca="1">IF(S2&lt;3,"新型コロナウイルス感染症に対応するための特例的な評価を含む","")</f>
        <v>新型コロナウイルス感染症に対応するための特例的な評価を含む</v>
      </c>
      <c r="P37" s="629"/>
    </row>
    <row r="38" spans="3:22" ht="6.95" customHeight="1">
      <c r="C38" s="290"/>
      <c r="D38" s="299"/>
      <c r="E38" s="285"/>
      <c r="F38" s="285"/>
      <c r="G38" s="285"/>
      <c r="H38" s="297"/>
      <c r="I38" s="613"/>
      <c r="J38" s="298"/>
      <c r="K38" s="301"/>
      <c r="L38" s="285"/>
      <c r="M38" s="298"/>
      <c r="N38" s="285"/>
      <c r="O38" s="104"/>
      <c r="P38" s="291"/>
    </row>
    <row r="39" spans="3:22">
      <c r="C39" s="290"/>
      <c r="D39" s="100" t="s">
        <v>607</v>
      </c>
      <c r="E39" s="618" t="s">
        <v>610</v>
      </c>
      <c r="F39" s="618"/>
      <c r="G39" s="618" t="s">
        <v>609</v>
      </c>
      <c r="H39" s="619"/>
      <c r="I39" s="614"/>
      <c r="J39" s="100" t="s">
        <v>607</v>
      </c>
      <c r="K39" s="302" t="s">
        <v>609</v>
      </c>
      <c r="L39" s="285"/>
      <c r="M39" s="100" t="s">
        <v>607</v>
      </c>
      <c r="N39" s="105" t="s">
        <v>614</v>
      </c>
      <c r="O39" s="303" t="s">
        <v>609</v>
      </c>
      <c r="P39" s="106" t="s">
        <v>616</v>
      </c>
    </row>
    <row r="40" spans="3:22">
      <c r="C40" s="290"/>
      <c r="D40" s="107">
        <v>1</v>
      </c>
      <c r="E40" s="620"/>
      <c r="F40" s="620"/>
      <c r="G40" s="636">
        <f>IFERROR(INT($L$22*$E$37/100*E40/100*365),0)</f>
        <v>0</v>
      </c>
      <c r="H40" s="637"/>
      <c r="I40" s="614"/>
      <c r="J40" s="101">
        <v>1</v>
      </c>
      <c r="K40" s="304"/>
      <c r="L40" s="285"/>
      <c r="M40" s="107">
        <v>1</v>
      </c>
      <c r="N40" s="305">
        <f ca="1">IF(入力シート!$L$22="",0,INDEX(【入所居室のタイプ】!$F$1:$F$130,MATCH($D$33&amp;$J$33&amp;"要介護"&amp;DBCS(M40),【入所居室のタイプ】!$H$1:$H$130,0)))*T2</f>
        <v>0</v>
      </c>
      <c r="O40" s="306">
        <f>IF(AND(G40&gt;0,K40&gt;0),"重複エラー",SUM(G40,K40))</f>
        <v>0</v>
      </c>
      <c r="P40" s="307">
        <f ca="1">IFERROR(N40*O40/1000*$H$14,0)</f>
        <v>0</v>
      </c>
      <c r="R40" s="245" t="s">
        <v>755</v>
      </c>
      <c r="T40" s="308">
        <f ca="1">N40*O40</f>
        <v>0</v>
      </c>
      <c r="U40" s="308"/>
      <c r="V40" s="308"/>
    </row>
    <row r="41" spans="3:22">
      <c r="C41" s="290"/>
      <c r="D41" s="102">
        <v>2</v>
      </c>
      <c r="E41" s="638"/>
      <c r="F41" s="638"/>
      <c r="G41" s="639">
        <f>IFERROR(INT($L$22*$E$37/100*E41/100*365),0)</f>
        <v>0</v>
      </c>
      <c r="H41" s="640"/>
      <c r="I41" s="614"/>
      <c r="J41" s="102">
        <v>2</v>
      </c>
      <c r="K41" s="309"/>
      <c r="L41" s="285"/>
      <c r="M41" s="102">
        <v>2</v>
      </c>
      <c r="N41" s="310">
        <f ca="1">IF(入力シート!$L$22="",0,INDEX(【入所居室のタイプ】!$F$1:$F$130,MATCH($D$33&amp;$J$33&amp;"要介護"&amp;DBCS(M41),【入所居室のタイプ】!$H$1:$H$130,0)))*T2</f>
        <v>0</v>
      </c>
      <c r="O41" s="311">
        <f>IF(AND(G41&gt;0,K41&gt;0),"重複エラー",SUM(G41,K41))</f>
        <v>0</v>
      </c>
      <c r="P41" s="312">
        <f ca="1">IFERROR(N41*O41/1000*$H$14,0)</f>
        <v>0</v>
      </c>
      <c r="R41" s="245" t="s">
        <v>755</v>
      </c>
      <c r="T41" s="308">
        <f ca="1">N41*O41</f>
        <v>0</v>
      </c>
      <c r="U41" s="308"/>
      <c r="V41" s="308"/>
    </row>
    <row r="42" spans="3:22">
      <c r="C42" s="290"/>
      <c r="D42" s="102">
        <v>3</v>
      </c>
      <c r="E42" s="638"/>
      <c r="F42" s="638"/>
      <c r="G42" s="639">
        <f>IFERROR(INT($L$22*$E$37/100*E42/100*365),0)</f>
        <v>0</v>
      </c>
      <c r="H42" s="640"/>
      <c r="I42" s="614"/>
      <c r="J42" s="102">
        <v>3</v>
      </c>
      <c r="K42" s="309"/>
      <c r="L42" s="285"/>
      <c r="M42" s="102">
        <v>3</v>
      </c>
      <c r="N42" s="310">
        <f ca="1">IF(入力シート!$L$22="",0,INDEX(【入所居室のタイプ】!$F$1:$F$130,MATCH($D$33&amp;$J$33&amp;"要介護"&amp;DBCS(M42),【入所居室のタイプ】!$H$1:$H$130,0)))*T2</f>
        <v>0</v>
      </c>
      <c r="O42" s="311">
        <f>IF(AND(G42&gt;0,K42&gt;0),"重複エラー",SUM(G42,K42))</f>
        <v>0</v>
      </c>
      <c r="P42" s="312">
        <f ca="1">IFERROR(N42*O42/1000*$H$14,0)</f>
        <v>0</v>
      </c>
      <c r="R42" s="245" t="s">
        <v>755</v>
      </c>
      <c r="T42" s="308">
        <f ca="1">N42*O42</f>
        <v>0</v>
      </c>
      <c r="U42" s="308"/>
      <c r="V42" s="308"/>
    </row>
    <row r="43" spans="3:22">
      <c r="C43" s="290"/>
      <c r="D43" s="102">
        <v>4</v>
      </c>
      <c r="E43" s="641"/>
      <c r="F43" s="641"/>
      <c r="G43" s="639">
        <f>IFERROR(INT($L$22*$E$37/100*E43/100*365),0)</f>
        <v>0</v>
      </c>
      <c r="H43" s="640"/>
      <c r="I43" s="614"/>
      <c r="J43" s="102">
        <v>4</v>
      </c>
      <c r="K43" s="309"/>
      <c r="L43" s="285"/>
      <c r="M43" s="102">
        <v>4</v>
      </c>
      <c r="N43" s="310">
        <f ca="1">IF(入力シート!$L$22="",0,INDEX(【入所居室のタイプ】!$F$1:$F$130,MATCH($D$33&amp;$J$33&amp;"要介護"&amp;DBCS(M43),【入所居室のタイプ】!$H$1:$H$130,0)))*T2</f>
        <v>0</v>
      </c>
      <c r="O43" s="311">
        <f>IF(AND(G43&gt;0,K43&gt;0),"重複エラー",SUM(G43,K43))</f>
        <v>0</v>
      </c>
      <c r="P43" s="312">
        <f ca="1">IFERROR(N43*O43/1000*$H$14,0)</f>
        <v>0</v>
      </c>
      <c r="R43" s="245" t="s">
        <v>755</v>
      </c>
      <c r="T43" s="308">
        <f ca="1">N43*O43</f>
        <v>0</v>
      </c>
      <c r="U43" s="308"/>
      <c r="V43" s="308"/>
    </row>
    <row r="44" spans="3:22">
      <c r="C44" s="290"/>
      <c r="D44" s="103">
        <v>5</v>
      </c>
      <c r="E44" s="621" t="str">
        <f>IFERROR(IF(K37=0,IF(SUM(E40:E43)&gt;=0,100-SUM(E40:E43),""),""),"")</f>
        <v/>
      </c>
      <c r="F44" s="621"/>
      <c r="G44" s="622">
        <f>IFERROR(INT($L$22*$E$37/100*E44/100*365),0)</f>
        <v>0</v>
      </c>
      <c r="H44" s="623"/>
      <c r="I44" s="614"/>
      <c r="J44" s="103">
        <v>5</v>
      </c>
      <c r="K44" s="313"/>
      <c r="L44" s="285"/>
      <c r="M44" s="103">
        <v>5</v>
      </c>
      <c r="N44" s="314">
        <f ca="1">IF(入力シート!$L$22="",0,INDEX(【入所居室のタイプ】!$F$1:$F$130,MATCH($D$33&amp;$J$33&amp;"要介護"&amp;DBCS(M44),【入所居室のタイプ】!$H$1:$H$130,0)))*T2</f>
        <v>0</v>
      </c>
      <c r="O44" s="315">
        <f>IF(AND(G44&gt;0,K44&gt;0),"重複エラー",SUM(G44,K44))</f>
        <v>0</v>
      </c>
      <c r="P44" s="316">
        <f ca="1">IFERROR(N44*O44/1000*$H$14,0)</f>
        <v>0</v>
      </c>
      <c r="R44" s="245" t="s">
        <v>755</v>
      </c>
      <c r="T44" s="308">
        <f ca="1">N44*O44</f>
        <v>0</v>
      </c>
      <c r="U44" s="308"/>
      <c r="V44" s="308"/>
    </row>
    <row r="45" spans="3:22">
      <c r="C45" s="290"/>
      <c r="D45" s="134" t="s">
        <v>877</v>
      </c>
      <c r="E45" s="624" t="str">
        <f>IF(C32="","",IFERROR(SUMPRODUCT(E40:E44,D40:D44)/100,"-"))</f>
        <v/>
      </c>
      <c r="F45" s="624"/>
      <c r="G45" s="625" t="s">
        <v>612</v>
      </c>
      <c r="H45" s="626"/>
      <c r="I45" s="614"/>
      <c r="J45" s="317" t="s">
        <v>877</v>
      </c>
      <c r="K45" s="318" t="str">
        <f>IFERROR(SUMPRODUCT(J40:J44,K40:K44)/SUM(K40:K44),"-")</f>
        <v>-</v>
      </c>
      <c r="L45" s="319"/>
      <c r="M45" s="627" t="s">
        <v>620</v>
      </c>
      <c r="N45" s="625"/>
      <c r="O45" s="320">
        <f>SUM(O40:O44)</f>
        <v>0</v>
      </c>
      <c r="P45" s="321">
        <f>IF(C32="",0,IFERROR(SUM(P40:P44),""))</f>
        <v>0</v>
      </c>
      <c r="R45" s="245" t="s">
        <v>756</v>
      </c>
      <c r="T45" s="322">
        <f ca="1">SUM(T40:T44)</f>
        <v>0</v>
      </c>
      <c r="U45" s="322"/>
      <c r="V45" s="322"/>
    </row>
    <row r="46" spans="3:22">
      <c r="C46" s="290"/>
      <c r="D46" s="371"/>
      <c r="E46" s="323"/>
      <c r="F46" s="323"/>
      <c r="G46" s="285"/>
      <c r="H46" s="285"/>
      <c r="I46" s="285"/>
      <c r="J46" s="285"/>
      <c r="K46" s="323"/>
      <c r="L46" s="319"/>
      <c r="M46" s="285"/>
      <c r="N46" s="285"/>
      <c r="O46" s="285"/>
      <c r="P46" s="324"/>
      <c r="R46" s="245" t="s">
        <v>1011</v>
      </c>
      <c r="T46" s="322">
        <f>O45-'加算項目（A病棟）'!$O$13</f>
        <v>0</v>
      </c>
    </row>
    <row r="47" spans="3:22">
      <c r="C47" s="290"/>
      <c r="D47" s="630" t="s">
        <v>892</v>
      </c>
      <c r="E47" s="631"/>
      <c r="F47" s="631"/>
      <c r="G47" s="631"/>
      <c r="H47" s="631"/>
      <c r="I47" s="632"/>
      <c r="J47" s="325"/>
      <c r="K47" s="323"/>
      <c r="L47" s="319"/>
      <c r="M47" s="633" t="s">
        <v>970</v>
      </c>
      <c r="N47" s="634"/>
      <c r="O47" s="634"/>
      <c r="P47" s="635"/>
      <c r="R47" s="245" t="s">
        <v>1013</v>
      </c>
      <c r="T47" s="308" t="e">
        <f ca="1">T45+(P52*1000/$H$14)</f>
        <v>#VALUE!</v>
      </c>
    </row>
    <row r="48" spans="3:22" ht="19.350000000000001" customHeight="1">
      <c r="C48" s="290"/>
      <c r="D48" s="326" t="s">
        <v>969</v>
      </c>
      <c r="E48" s="657" t="s">
        <v>968</v>
      </c>
      <c r="F48" s="657"/>
      <c r="G48" s="658">
        <f ca="1">IF(S2=1,1392,1445)</f>
        <v>1392</v>
      </c>
      <c r="H48" s="659"/>
      <c r="I48" s="297" t="s">
        <v>621</v>
      </c>
      <c r="J48" s="285"/>
      <c r="K48" s="323"/>
      <c r="L48" s="319"/>
      <c r="M48" s="660" t="s">
        <v>622</v>
      </c>
      <c r="N48" s="661"/>
      <c r="O48" s="661"/>
      <c r="P48" s="327">
        <f>IF(C32="",0,IFERROR($G$48*T46/1000,""))</f>
        <v>0</v>
      </c>
      <c r="R48" s="245" t="s">
        <v>758</v>
      </c>
      <c r="T48" s="308" t="e">
        <f ca="1">T45/O45</f>
        <v>#DIV/0!</v>
      </c>
      <c r="U48" s="308"/>
      <c r="V48" s="308"/>
    </row>
    <row r="49" spans="1:22" ht="19.350000000000001" customHeight="1">
      <c r="C49" s="290"/>
      <c r="D49" s="326" t="s">
        <v>619</v>
      </c>
      <c r="E49" s="662" t="s">
        <v>623</v>
      </c>
      <c r="F49" s="662"/>
      <c r="G49" s="658" t="str">
        <f>IFERROR(IF(J33="","",INDEX(【食費居住費】!C18:C21,MATCH(J33,【食費居住費】!B18:B21,0))),"")</f>
        <v/>
      </c>
      <c r="H49" s="659"/>
      <c r="I49" s="297" t="s">
        <v>621</v>
      </c>
      <c r="J49" s="285"/>
      <c r="K49" s="323"/>
      <c r="L49" s="319"/>
      <c r="M49" s="663" t="s">
        <v>624</v>
      </c>
      <c r="N49" s="664"/>
      <c r="O49" s="664"/>
      <c r="P49" s="328">
        <f>IF(C32="",0,IFERROR($G$49*O45/1000,""))</f>
        <v>0</v>
      </c>
      <c r="T49" s="308"/>
      <c r="U49" s="308"/>
      <c r="V49" s="308"/>
    </row>
    <row r="50" spans="1:22" ht="19.350000000000001" customHeight="1">
      <c r="C50" s="290"/>
      <c r="D50" s="329" t="s">
        <v>55</v>
      </c>
      <c r="E50" s="642" t="s">
        <v>893</v>
      </c>
      <c r="F50" s="642"/>
      <c r="G50" s="643"/>
      <c r="H50" s="644"/>
      <c r="I50" s="330" t="s">
        <v>621</v>
      </c>
      <c r="J50" s="285"/>
      <c r="K50" s="323"/>
      <c r="L50" s="319"/>
      <c r="M50" s="645" t="s">
        <v>894</v>
      </c>
      <c r="N50" s="646"/>
      <c r="O50" s="647"/>
      <c r="P50" s="328">
        <f>IF(C32="",0,IFERROR($G$50*O45/1000,""))</f>
        <v>0</v>
      </c>
      <c r="R50" s="245" t="s">
        <v>895</v>
      </c>
      <c r="T50" s="308">
        <f>SUM(P48:P50)</f>
        <v>0</v>
      </c>
    </row>
    <row r="51" spans="1:22">
      <c r="C51" s="290"/>
      <c r="D51" s="648" t="str">
        <f>HYPERLINK("#'加算項目（A病棟）'!A1","加算および特別診療費を入力する場合はここをクリックしてください")</f>
        <v>加算および特別診療費を入力する場合はここをクリックしてください</v>
      </c>
      <c r="E51" s="649"/>
      <c r="F51" s="649"/>
      <c r="G51" s="649"/>
      <c r="H51" s="649"/>
      <c r="I51" s="649"/>
      <c r="J51" s="649"/>
      <c r="K51" s="650"/>
      <c r="L51" s="319"/>
      <c r="M51" s="651" t="s">
        <v>896</v>
      </c>
      <c r="N51" s="652"/>
      <c r="O51" s="653"/>
      <c r="P51" s="328">
        <f>IF(C32="",0,'加算項目（A病棟）'!$J$64+'加算項目（A病棟）'!$J$103)</f>
        <v>0</v>
      </c>
      <c r="R51" s="245" t="s">
        <v>764</v>
      </c>
      <c r="T51" s="308">
        <f>IFERROR(P45+P48+P49+P50+P51+P52,"0")</f>
        <v>0</v>
      </c>
      <c r="U51" s="308"/>
      <c r="V51" s="308"/>
    </row>
    <row r="52" spans="1:22" ht="20.25" thickBot="1">
      <c r="C52" s="331"/>
      <c r="D52" s="332"/>
      <c r="E52" s="333"/>
      <c r="F52" s="333"/>
      <c r="G52" s="334"/>
      <c r="H52" s="334"/>
      <c r="I52" s="335"/>
      <c r="J52" s="335"/>
      <c r="K52" s="333"/>
      <c r="L52" s="336"/>
      <c r="M52" s="654" t="s">
        <v>907</v>
      </c>
      <c r="N52" s="655"/>
      <c r="O52" s="656"/>
      <c r="P52" s="337">
        <f>IFERROR(IF(C32="",0,-($T48*$H$14/1000*'加算項目（A病棟）'!$O$13)),0)</f>
        <v>0</v>
      </c>
      <c r="Q52" s="237"/>
    </row>
    <row r="53" spans="1:22">
      <c r="C53" s="285"/>
      <c r="D53" s="371"/>
      <c r="E53" s="323"/>
      <c r="F53" s="323"/>
      <c r="G53" s="144"/>
      <c r="H53" s="144"/>
      <c r="I53" s="285"/>
      <c r="J53" s="285"/>
      <c r="K53" s="323"/>
      <c r="L53" s="319"/>
      <c r="M53" s="285"/>
      <c r="N53" s="285"/>
      <c r="O53" s="285"/>
      <c r="P53" s="338"/>
      <c r="T53" s="322"/>
      <c r="U53" s="322"/>
      <c r="V53" s="322"/>
    </row>
    <row r="54" spans="1:22" ht="23.25" collapsed="1" thickBot="1">
      <c r="A54" s="665" t="str">
        <f>IF($C$24="",HYPERLINK("#C129","すべての療養棟の情報を入力したので支出の入力へ進む"),"")</f>
        <v>すべての療養棟の情報を入力したので支出の入力へ進む</v>
      </c>
      <c r="B54" s="665"/>
      <c r="C54" s="665"/>
      <c r="D54" s="665"/>
      <c r="E54" s="665"/>
      <c r="F54" s="665"/>
      <c r="G54" s="665"/>
      <c r="H54" s="665"/>
      <c r="I54" s="665"/>
      <c r="J54" s="339"/>
      <c r="K54" s="339"/>
      <c r="L54" s="281"/>
      <c r="M54" s="281"/>
      <c r="N54" s="281"/>
      <c r="O54" s="281"/>
      <c r="P54" s="281"/>
    </row>
    <row r="55" spans="1:22" ht="22.5">
      <c r="A55" s="340"/>
      <c r="B55" s="340"/>
      <c r="C55" s="287" t="str">
        <f>C23</f>
        <v/>
      </c>
      <c r="D55" s="341"/>
      <c r="E55" s="341"/>
      <c r="F55" s="341"/>
      <c r="G55" s="341"/>
      <c r="H55" s="341"/>
      <c r="I55" s="341"/>
      <c r="J55" s="341"/>
      <c r="K55" s="341"/>
      <c r="L55" s="288"/>
      <c r="M55" s="288"/>
      <c r="N55" s="288"/>
      <c r="O55" s="133"/>
      <c r="P55" s="289"/>
    </row>
    <row r="56" spans="1:22">
      <c r="A56" s="340"/>
      <c r="B56" s="340"/>
      <c r="C56" s="342"/>
      <c r="D56" s="285">
        <f>D23</f>
        <v>0</v>
      </c>
      <c r="E56" s="285"/>
      <c r="F56" s="285"/>
      <c r="G56" s="285"/>
      <c r="H56" s="285"/>
      <c r="I56" s="285"/>
      <c r="J56" s="285" t="str">
        <f>IF(I23=0,"",I23)</f>
        <v/>
      </c>
      <c r="K56" s="285"/>
      <c r="L56" s="285"/>
      <c r="M56" s="285" t="str">
        <f>TEXT(L23,"定員　#,###床")</f>
        <v>定員 床</v>
      </c>
      <c r="N56" s="285"/>
      <c r="O56" s="128"/>
      <c r="P56" s="291"/>
    </row>
    <row r="57" spans="1:22" ht="17.45" customHeight="1">
      <c r="A57" s="340"/>
      <c r="B57" s="340"/>
      <c r="C57" s="342"/>
      <c r="D57" s="283" t="str">
        <f>IF(E67&lt;0,"↓構成割合が100%を超えています","")</f>
        <v/>
      </c>
      <c r="E57" s="283"/>
      <c r="F57" s="283"/>
      <c r="G57" s="283"/>
      <c r="H57" s="283"/>
      <c r="I57" s="283"/>
      <c r="J57" s="283" t="str">
        <f>IF(D56=0,"",IF(K60&gt;1,"↓利用率が100%を超えています",""))</f>
        <v/>
      </c>
      <c r="K57" s="283"/>
      <c r="L57" s="285"/>
      <c r="M57" s="285"/>
      <c r="N57" s="285"/>
      <c r="O57" s="128"/>
      <c r="P57" s="291"/>
    </row>
    <row r="58" spans="1:22">
      <c r="A58" s="340"/>
      <c r="B58" s="340"/>
      <c r="C58" s="342"/>
      <c r="D58" s="292" t="s">
        <v>615</v>
      </c>
      <c r="E58" s="293"/>
      <c r="F58" s="293"/>
      <c r="G58" s="293"/>
      <c r="H58" s="294"/>
      <c r="I58" s="295" t="s">
        <v>779</v>
      </c>
      <c r="J58" s="606" t="s">
        <v>625</v>
      </c>
      <c r="K58" s="607"/>
      <c r="L58" s="608" t="str">
        <f>IF(AND(NOT(E60=""),NOT(K68="-")),"←エラー！！","")</f>
        <v/>
      </c>
      <c r="M58" s="609"/>
      <c r="N58" s="609"/>
      <c r="O58" s="609"/>
      <c r="P58" s="610"/>
    </row>
    <row r="59" spans="1:22" ht="19.350000000000001" customHeight="1">
      <c r="A59" s="340"/>
      <c r="B59" s="340"/>
      <c r="C59" s="342"/>
      <c r="D59" s="611" t="s">
        <v>851</v>
      </c>
      <c r="E59" s="612"/>
      <c r="F59" s="296"/>
      <c r="G59" s="285"/>
      <c r="H59" s="297"/>
      <c r="I59" s="614" t="s">
        <v>826</v>
      </c>
      <c r="J59" s="667" t="s">
        <v>611</v>
      </c>
      <c r="K59" s="668"/>
      <c r="L59" s="615" t="str">
        <f>IF(AND(NOT(E60=""),NOT(K68="-")),"想定利用率または年間延利用者数のどちらか一方のみを入力してください","")</f>
        <v/>
      </c>
      <c r="M59" s="616"/>
      <c r="N59" s="616"/>
      <c r="O59" s="616"/>
      <c r="P59" s="617"/>
    </row>
    <row r="60" spans="1:22">
      <c r="A60" s="340"/>
      <c r="B60" s="340"/>
      <c r="C60" s="342"/>
      <c r="D60" s="299"/>
      <c r="E60" s="300"/>
      <c r="F60" s="285" t="s">
        <v>613</v>
      </c>
      <c r="G60" s="285"/>
      <c r="H60" s="297"/>
      <c r="I60" s="614"/>
      <c r="J60" s="298"/>
      <c r="K60" s="301" t="str">
        <f>IFERROR(SUM(K63:K67)/($L$23*365),"")</f>
        <v/>
      </c>
      <c r="L60" s="285"/>
      <c r="M60" s="275" t="s">
        <v>1012</v>
      </c>
      <c r="N60" s="274"/>
      <c r="O60" s="669" t="str">
        <f ca="1">IF(S2&lt;3,"新型コロナウイルス感染症に対応するための特例的な評価を含む","")</f>
        <v>新型コロナウイルス感染症に対応するための特例的な評価を含む</v>
      </c>
      <c r="P60" s="670"/>
    </row>
    <row r="61" spans="1:22" ht="6.95" customHeight="1">
      <c r="A61" s="340"/>
      <c r="B61" s="340"/>
      <c r="C61" s="342"/>
      <c r="D61" s="299"/>
      <c r="E61" s="296"/>
      <c r="F61" s="285"/>
      <c r="G61" s="285"/>
      <c r="H61" s="297"/>
      <c r="I61" s="614"/>
      <c r="J61" s="298"/>
      <c r="K61" s="301"/>
      <c r="L61" s="285"/>
      <c r="M61" s="298"/>
      <c r="N61" s="285"/>
      <c r="O61" s="104"/>
      <c r="P61" s="291"/>
    </row>
    <row r="62" spans="1:22">
      <c r="A62" s="340"/>
      <c r="B62" s="340"/>
      <c r="C62" s="342"/>
      <c r="D62" s="100" t="s">
        <v>607</v>
      </c>
      <c r="E62" s="618" t="s">
        <v>610</v>
      </c>
      <c r="F62" s="618"/>
      <c r="G62" s="618" t="s">
        <v>609</v>
      </c>
      <c r="H62" s="619"/>
      <c r="I62" s="614"/>
      <c r="J62" s="100" t="s">
        <v>607</v>
      </c>
      <c r="K62" s="302" t="s">
        <v>609</v>
      </c>
      <c r="L62" s="285"/>
      <c r="M62" s="100" t="s">
        <v>607</v>
      </c>
      <c r="N62" s="105" t="s">
        <v>614</v>
      </c>
      <c r="O62" s="303" t="s">
        <v>609</v>
      </c>
      <c r="P62" s="106" t="s">
        <v>616</v>
      </c>
    </row>
    <row r="63" spans="1:22">
      <c r="A63" s="340"/>
      <c r="B63" s="340"/>
      <c r="C63" s="342"/>
      <c r="D63" s="107">
        <v>1</v>
      </c>
      <c r="E63" s="620"/>
      <c r="F63" s="620"/>
      <c r="G63" s="636">
        <f>IFERROR(INT($L$23*$E$60/100*E63/100*365),0)</f>
        <v>0</v>
      </c>
      <c r="H63" s="637"/>
      <c r="I63" s="614"/>
      <c r="J63" s="101">
        <v>1</v>
      </c>
      <c r="K63" s="304"/>
      <c r="L63" s="285"/>
      <c r="M63" s="107">
        <v>1</v>
      </c>
      <c r="N63" s="305">
        <f ca="1">IF(入力シート!$L$23="",0,INDEX(【入所居室のタイプ】!$F$1:$F$130,MATCH($D$56&amp;$J$56&amp;"要介護"&amp;DBCS(M63),【入所居室のタイプ】!$H$1:$H$130,0)))*T2</f>
        <v>0</v>
      </c>
      <c r="O63" s="306">
        <f>IF(AND(G63&gt;0,K63&gt;0),"重複エラー",SUM(G63,K63))</f>
        <v>0</v>
      </c>
      <c r="P63" s="307">
        <f ca="1">IFERROR(N63*O63/1000*$H$14,0)</f>
        <v>0</v>
      </c>
      <c r="R63" s="245" t="s">
        <v>755</v>
      </c>
      <c r="T63" s="308">
        <f ca="1">N63*O63</f>
        <v>0</v>
      </c>
      <c r="U63" s="308"/>
      <c r="V63" s="308"/>
    </row>
    <row r="64" spans="1:22">
      <c r="A64" s="340"/>
      <c r="B64" s="340"/>
      <c r="C64" s="342"/>
      <c r="D64" s="102">
        <v>2</v>
      </c>
      <c r="E64" s="638"/>
      <c r="F64" s="638"/>
      <c r="G64" s="639">
        <f>IFERROR(INT($L$23*$E$60/100*E64/100*365),0)</f>
        <v>0</v>
      </c>
      <c r="H64" s="640"/>
      <c r="I64" s="614"/>
      <c r="J64" s="102">
        <v>2</v>
      </c>
      <c r="K64" s="309"/>
      <c r="L64" s="285"/>
      <c r="M64" s="102">
        <v>2</v>
      </c>
      <c r="N64" s="310">
        <f ca="1">IF(入力シート!$L$23="",0,INDEX(【入所居室のタイプ】!$F$1:$F$130,MATCH($D$56&amp;$J$56&amp;"要介護"&amp;DBCS(M64),【入所居室のタイプ】!$H$1:$H$130,0)))*T2</f>
        <v>0</v>
      </c>
      <c r="O64" s="311">
        <f>IF(AND(G64&gt;0,K64&gt;0),"重複エラー",SUM(G64,K64))</f>
        <v>0</v>
      </c>
      <c r="P64" s="312">
        <f ca="1">IFERROR(N64*O64/1000*$H$14,0)</f>
        <v>0</v>
      </c>
      <c r="R64" s="245" t="s">
        <v>755</v>
      </c>
      <c r="T64" s="308">
        <f ca="1">N64*O64</f>
        <v>0</v>
      </c>
      <c r="U64" s="308"/>
      <c r="V64" s="308"/>
    </row>
    <row r="65" spans="1:22">
      <c r="A65" s="340"/>
      <c r="B65" s="340"/>
      <c r="C65" s="342"/>
      <c r="D65" s="102">
        <v>3</v>
      </c>
      <c r="E65" s="638"/>
      <c r="F65" s="638"/>
      <c r="G65" s="639">
        <f>IFERROR(INT($L$23*$E$60/100*E65/100*365),0)</f>
        <v>0</v>
      </c>
      <c r="H65" s="640"/>
      <c r="I65" s="614"/>
      <c r="J65" s="102">
        <v>3</v>
      </c>
      <c r="K65" s="309"/>
      <c r="L65" s="285"/>
      <c r="M65" s="102">
        <v>3</v>
      </c>
      <c r="N65" s="310">
        <f ca="1">IF(入力シート!$L$23="",0,INDEX(【入所居室のタイプ】!$F$1:$F$130,MATCH($D$56&amp;$J$56&amp;"要介護"&amp;DBCS(M65),【入所居室のタイプ】!$H$1:$H$130,0)))*T2</f>
        <v>0</v>
      </c>
      <c r="O65" s="311">
        <f>IF(AND(G65&gt;0,K65&gt;0),"重複エラー",SUM(G65,K65))</f>
        <v>0</v>
      </c>
      <c r="P65" s="312">
        <f ca="1">IFERROR(N65*O65/1000*$H$14,0)</f>
        <v>0</v>
      </c>
      <c r="R65" s="245" t="s">
        <v>755</v>
      </c>
      <c r="T65" s="308">
        <f ca="1">N65*O65</f>
        <v>0</v>
      </c>
      <c r="U65" s="308"/>
      <c r="V65" s="308"/>
    </row>
    <row r="66" spans="1:22">
      <c r="A66" s="340"/>
      <c r="B66" s="340"/>
      <c r="C66" s="342"/>
      <c r="D66" s="102">
        <v>4</v>
      </c>
      <c r="E66" s="641"/>
      <c r="F66" s="641"/>
      <c r="G66" s="639">
        <f>IFERROR(INT($L$23*$E$60/100*E66/100*365),0)</f>
        <v>0</v>
      </c>
      <c r="H66" s="640"/>
      <c r="I66" s="614"/>
      <c r="J66" s="102">
        <v>4</v>
      </c>
      <c r="K66" s="309"/>
      <c r="L66" s="285"/>
      <c r="M66" s="102">
        <v>4</v>
      </c>
      <c r="N66" s="310">
        <f ca="1">IF(入力シート!$L$23="",0,INDEX(【入所居室のタイプ】!$F$1:$F$130,MATCH($D$56&amp;$J$56&amp;"要介護"&amp;DBCS(M66),【入所居室のタイプ】!$H$1:$H$130,0)))*T2</f>
        <v>0</v>
      </c>
      <c r="O66" s="311">
        <f>IF(AND(G66&gt;0,K66&gt;0),"重複エラー",SUM(G66,K66))</f>
        <v>0</v>
      </c>
      <c r="P66" s="312">
        <f ca="1">IFERROR(N66*O66/1000*$H$14,0)</f>
        <v>0</v>
      </c>
      <c r="R66" s="245" t="s">
        <v>755</v>
      </c>
      <c r="T66" s="308">
        <f ca="1">N66*O66</f>
        <v>0</v>
      </c>
      <c r="U66" s="308"/>
      <c r="V66" s="308"/>
    </row>
    <row r="67" spans="1:22">
      <c r="A67" s="340"/>
      <c r="B67" s="340"/>
      <c r="C67" s="342"/>
      <c r="D67" s="103">
        <v>5</v>
      </c>
      <c r="E67" s="666" t="str">
        <f>IF(K60=0,IF(SUM(E63:E66)&gt;=0,100-SUM(E63:F66),""),"")</f>
        <v/>
      </c>
      <c r="F67" s="666"/>
      <c r="G67" s="622">
        <f>IFERROR(INT($L$23*$E$60/100*E67/100*365),0)</f>
        <v>0</v>
      </c>
      <c r="H67" s="623"/>
      <c r="I67" s="614"/>
      <c r="J67" s="103">
        <v>5</v>
      </c>
      <c r="K67" s="313"/>
      <c r="L67" s="285"/>
      <c r="M67" s="103">
        <v>5</v>
      </c>
      <c r="N67" s="314">
        <f ca="1">IF(入力シート!$L$23="",0,INDEX(【入所居室のタイプ】!$F$1:$F$130,MATCH($D$56&amp;$J$56&amp;"要介護"&amp;DBCS(M67),【入所居室のタイプ】!$H$1:$H$130,0)))*T2</f>
        <v>0</v>
      </c>
      <c r="O67" s="315">
        <f>IF(AND(G67&gt;0,K67&gt;0),"重複エラー",SUM(G67,K67))</f>
        <v>0</v>
      </c>
      <c r="P67" s="316">
        <f ca="1">IFERROR(N67*O67/1000*$H$14,0)</f>
        <v>0</v>
      </c>
      <c r="R67" s="245" t="s">
        <v>755</v>
      </c>
      <c r="T67" s="308">
        <f ca="1">N67*O67</f>
        <v>0</v>
      </c>
      <c r="U67" s="308"/>
      <c r="V67" s="308"/>
    </row>
    <row r="68" spans="1:22">
      <c r="A68" s="340"/>
      <c r="B68" s="340"/>
      <c r="C68" s="342"/>
      <c r="D68" s="134" t="s">
        <v>877</v>
      </c>
      <c r="E68" s="624" t="str">
        <f>IF(C55="","",IFERROR(SUMPRODUCT(E63:E67,D63:D67)/100,"-"))</f>
        <v/>
      </c>
      <c r="F68" s="624"/>
      <c r="G68" s="625" t="s">
        <v>612</v>
      </c>
      <c r="H68" s="626"/>
      <c r="I68" s="614"/>
      <c r="J68" s="317" t="s">
        <v>877</v>
      </c>
      <c r="K68" s="318" t="str">
        <f>IFERROR(SUMPRODUCT(J63:J67,K63:K67)/SUM(K63:K67),"-")</f>
        <v>-</v>
      </c>
      <c r="L68" s="319"/>
      <c r="M68" s="627" t="s">
        <v>620</v>
      </c>
      <c r="N68" s="625"/>
      <c r="O68" s="320">
        <f>SUM(O63:O67)</f>
        <v>0</v>
      </c>
      <c r="P68" s="321">
        <f>IF(C55="",0,IFERROR(SUM(P63:P67),""))</f>
        <v>0</v>
      </c>
      <c r="R68" s="245" t="s">
        <v>756</v>
      </c>
      <c r="T68" s="322">
        <f ca="1">SUM(T63:T67)</f>
        <v>0</v>
      </c>
      <c r="U68" s="322"/>
      <c r="V68" s="322"/>
    </row>
    <row r="69" spans="1:22">
      <c r="A69" s="340"/>
      <c r="B69" s="340"/>
      <c r="C69" s="342"/>
      <c r="D69" s="371"/>
      <c r="E69" s="323"/>
      <c r="F69" s="323"/>
      <c r="G69" s="285"/>
      <c r="H69" s="285"/>
      <c r="I69" s="343"/>
      <c r="J69" s="285"/>
      <c r="K69" s="323"/>
      <c r="L69" s="319"/>
      <c r="M69" s="285"/>
      <c r="N69" s="285"/>
      <c r="O69" s="285"/>
      <c r="P69" s="324"/>
      <c r="R69" s="245" t="s">
        <v>1011</v>
      </c>
      <c r="T69" s="322">
        <f>O68-'加算項目（B病棟）'!$O$13</f>
        <v>0</v>
      </c>
    </row>
    <row r="70" spans="1:22">
      <c r="C70" s="290"/>
      <c r="D70" s="630" t="s">
        <v>892</v>
      </c>
      <c r="E70" s="631"/>
      <c r="F70" s="631"/>
      <c r="G70" s="631"/>
      <c r="H70" s="631"/>
      <c r="I70" s="632"/>
      <c r="J70" s="325"/>
      <c r="K70" s="323"/>
      <c r="L70" s="319"/>
      <c r="M70" s="633" t="s">
        <v>970</v>
      </c>
      <c r="N70" s="634"/>
      <c r="O70" s="634"/>
      <c r="P70" s="635"/>
      <c r="R70" s="245" t="s">
        <v>1013</v>
      </c>
      <c r="T70" s="308" t="e">
        <f ca="1">T68+(P75*1000/$H$14)</f>
        <v>#VALUE!</v>
      </c>
    </row>
    <row r="71" spans="1:22">
      <c r="A71" s="340"/>
      <c r="B71" s="340"/>
      <c r="C71" s="342"/>
      <c r="D71" s="326" t="s">
        <v>969</v>
      </c>
      <c r="E71" s="657" t="s">
        <v>968</v>
      </c>
      <c r="F71" s="657"/>
      <c r="G71" s="658">
        <f ca="1">IF(S2=1,1392,1445)</f>
        <v>1392</v>
      </c>
      <c r="H71" s="659"/>
      <c r="I71" s="297" t="s">
        <v>621</v>
      </c>
      <c r="J71" s="285"/>
      <c r="K71" s="323"/>
      <c r="L71" s="319"/>
      <c r="M71" s="660" t="s">
        <v>622</v>
      </c>
      <c r="N71" s="661"/>
      <c r="O71" s="661"/>
      <c r="P71" s="327">
        <f>IF(C55="",0,IFERROR($G$71*T69/1000,""))</f>
        <v>0</v>
      </c>
      <c r="R71" s="245" t="s">
        <v>758</v>
      </c>
      <c r="T71" s="308" t="e">
        <f ca="1">T68/O68</f>
        <v>#DIV/0!</v>
      </c>
      <c r="U71" s="308"/>
      <c r="V71" s="308"/>
    </row>
    <row r="72" spans="1:22">
      <c r="A72" s="340"/>
      <c r="B72" s="340"/>
      <c r="C72" s="342"/>
      <c r="D72" s="326" t="s">
        <v>619</v>
      </c>
      <c r="E72" s="662" t="s">
        <v>623</v>
      </c>
      <c r="F72" s="662"/>
      <c r="G72" s="658" t="str">
        <f>IFERROR(IF(J56="","",INDEX(【食費居住費】!C18:C21,MATCH(J56,【食費居住費】!B18:B21,0))),"")</f>
        <v/>
      </c>
      <c r="H72" s="659"/>
      <c r="I72" s="297" t="s">
        <v>621</v>
      </c>
      <c r="J72" s="285"/>
      <c r="K72" s="323"/>
      <c r="L72" s="319"/>
      <c r="M72" s="663" t="s">
        <v>624</v>
      </c>
      <c r="N72" s="664"/>
      <c r="O72" s="664"/>
      <c r="P72" s="328">
        <f>IF(C55="",0,IFERROR($G$72*O68/1000,0))</f>
        <v>0</v>
      </c>
      <c r="T72" s="308"/>
      <c r="U72" s="308"/>
      <c r="V72" s="308"/>
    </row>
    <row r="73" spans="1:22">
      <c r="A73" s="340"/>
      <c r="B73" s="340"/>
      <c r="C73" s="342"/>
      <c r="D73" s="329" t="s">
        <v>55</v>
      </c>
      <c r="E73" s="642" t="s">
        <v>893</v>
      </c>
      <c r="F73" s="642"/>
      <c r="G73" s="671"/>
      <c r="H73" s="672"/>
      <c r="I73" s="297" t="s">
        <v>621</v>
      </c>
      <c r="J73" s="285"/>
      <c r="K73" s="323"/>
      <c r="L73" s="319"/>
      <c r="M73" s="645" t="s">
        <v>894</v>
      </c>
      <c r="N73" s="646"/>
      <c r="O73" s="647"/>
      <c r="P73" s="328">
        <f>IF(C55="",0,IFERROR($G$73*O68/1000,0))</f>
        <v>0</v>
      </c>
      <c r="R73" s="245" t="s">
        <v>895</v>
      </c>
      <c r="T73" s="308">
        <f>SUM(P71:P73)</f>
        <v>0</v>
      </c>
      <c r="U73" s="308"/>
      <c r="V73" s="308"/>
    </row>
    <row r="74" spans="1:22">
      <c r="A74" s="340"/>
      <c r="B74" s="340"/>
      <c r="C74" s="342"/>
      <c r="D74" s="673" t="str">
        <f>HYPERLINK("#'加算項目（B病棟）'!A1","加算および特別診療費を入力する場合はここをクリックしてください")</f>
        <v>加算および特別診療費を入力する場合はここをクリックしてください</v>
      </c>
      <c r="E74" s="674"/>
      <c r="F74" s="674"/>
      <c r="G74" s="674"/>
      <c r="H74" s="674"/>
      <c r="I74" s="674"/>
      <c r="J74" s="674"/>
      <c r="K74" s="675"/>
      <c r="L74" s="319"/>
      <c r="M74" s="651" t="s">
        <v>896</v>
      </c>
      <c r="N74" s="652"/>
      <c r="O74" s="653"/>
      <c r="P74" s="328">
        <f>IF(C55="",0,'加算項目（B病棟）'!$J$64+'加算項目（B病棟）'!$J$103)</f>
        <v>0</v>
      </c>
      <c r="R74" s="245" t="s">
        <v>764</v>
      </c>
      <c r="T74" s="344">
        <f>IFERROR(P68+P71+P72+P73+P74+P75,"0")</f>
        <v>0</v>
      </c>
      <c r="U74" s="344"/>
      <c r="V74" s="344"/>
    </row>
    <row r="75" spans="1:22" ht="20.25" thickBot="1">
      <c r="A75" s="340"/>
      <c r="B75" s="340"/>
      <c r="C75" s="345"/>
      <c r="D75" s="332"/>
      <c r="E75" s="333"/>
      <c r="F75" s="333"/>
      <c r="G75" s="334"/>
      <c r="H75" s="334"/>
      <c r="I75" s="335"/>
      <c r="J75" s="335"/>
      <c r="K75" s="333"/>
      <c r="L75" s="336"/>
      <c r="M75" s="654" t="s">
        <v>907</v>
      </c>
      <c r="N75" s="655"/>
      <c r="O75" s="656"/>
      <c r="P75" s="337">
        <f>IFERROR(IF(C55="",0,-($T71*$H$14/1000*'加算項目（B病棟）'!$O$13)),0)</f>
        <v>0</v>
      </c>
      <c r="Q75" s="237"/>
      <c r="R75" s="308"/>
      <c r="S75" s="308"/>
    </row>
    <row r="76" spans="1:22">
      <c r="A76" s="340"/>
      <c r="B76" s="340"/>
      <c r="C76" s="346"/>
      <c r="D76" s="347"/>
      <c r="E76" s="348"/>
      <c r="F76" s="348"/>
      <c r="G76" s="349"/>
      <c r="H76" s="349"/>
      <c r="I76" s="346"/>
      <c r="J76" s="346"/>
      <c r="K76" s="348"/>
      <c r="L76" s="319"/>
      <c r="M76" s="285"/>
      <c r="N76" s="285"/>
      <c r="O76" s="285"/>
      <c r="P76" s="338"/>
      <c r="T76" s="308"/>
      <c r="U76" s="308"/>
      <c r="V76" s="308"/>
    </row>
    <row r="77" spans="1:22" ht="22.35" customHeight="1" collapsed="1" thickBot="1">
      <c r="A77" s="665" t="str">
        <f>IF($C$24="",HYPERLINK("#C129","すべての療養棟の情報を入力したので支出の入力へ進む"),"")</f>
        <v>すべての療養棟の情報を入力したので支出の入力へ進む</v>
      </c>
      <c r="B77" s="665"/>
      <c r="C77" s="665"/>
      <c r="D77" s="665"/>
      <c r="E77" s="665"/>
      <c r="F77" s="665"/>
      <c r="G77" s="665"/>
      <c r="H77" s="665"/>
      <c r="I77" s="665"/>
      <c r="J77" s="350"/>
      <c r="K77" s="350"/>
      <c r="L77" s="325"/>
      <c r="M77" s="325"/>
      <c r="N77" s="325"/>
      <c r="O77" s="135"/>
      <c r="P77" s="325"/>
      <c r="Q77" s="237"/>
      <c r="R77" s="237"/>
      <c r="S77" s="237"/>
    </row>
    <row r="78" spans="1:22" ht="22.5">
      <c r="A78" s="340"/>
      <c r="B78" s="340"/>
      <c r="C78" s="287" t="str">
        <f>C24</f>
        <v/>
      </c>
      <c r="D78" s="341"/>
      <c r="E78" s="341"/>
      <c r="F78" s="341"/>
      <c r="G78" s="341"/>
      <c r="H78" s="341"/>
      <c r="I78" s="341"/>
      <c r="J78" s="341"/>
      <c r="K78" s="341"/>
      <c r="L78" s="288"/>
      <c r="M78" s="288"/>
      <c r="N78" s="288"/>
      <c r="O78" s="133"/>
      <c r="P78" s="289"/>
      <c r="Q78" s="237"/>
      <c r="R78" s="237"/>
      <c r="S78" s="237"/>
      <c r="T78" s="237"/>
      <c r="U78" s="237"/>
      <c r="V78" s="237"/>
    </row>
    <row r="79" spans="1:22">
      <c r="A79" s="340"/>
      <c r="B79" s="340"/>
      <c r="C79" s="342"/>
      <c r="D79" s="285">
        <f>D24</f>
        <v>0</v>
      </c>
      <c r="E79" s="285"/>
      <c r="F79" s="285"/>
      <c r="G79" s="285"/>
      <c r="H79" s="285"/>
      <c r="I79" s="285"/>
      <c r="J79" s="285" t="str">
        <f>IF(I24=0,"",I24)</f>
        <v/>
      </c>
      <c r="K79" s="285"/>
      <c r="L79" s="285"/>
      <c r="M79" s="285" t="str">
        <f>TEXT(L24,"定員　#,###床")</f>
        <v>定員 床</v>
      </c>
      <c r="N79" s="285"/>
      <c r="O79" s="128"/>
      <c r="P79" s="291"/>
      <c r="Q79" s="237"/>
      <c r="R79" s="237"/>
      <c r="S79" s="237"/>
      <c r="T79" s="237"/>
      <c r="U79" s="237"/>
      <c r="V79" s="237"/>
    </row>
    <row r="80" spans="1:22" ht="24" customHeight="1">
      <c r="A80" s="340"/>
      <c r="B80" s="340"/>
      <c r="C80" s="342"/>
      <c r="D80" s="283" t="str">
        <f>IF(E90&lt;0,"↓構成割合が100%を超えています","")</f>
        <v/>
      </c>
      <c r="E80" s="285"/>
      <c r="F80" s="285"/>
      <c r="G80" s="285"/>
      <c r="H80" s="285"/>
      <c r="I80" s="285"/>
      <c r="J80" s="283" t="str">
        <f>IF(D79=0,"",IF(K83&gt;1,"↓利用率が100%を超えています",""))</f>
        <v/>
      </c>
      <c r="K80" s="285"/>
      <c r="L80" s="285"/>
      <c r="M80" s="285"/>
      <c r="N80" s="285"/>
      <c r="O80" s="128"/>
      <c r="P80" s="291"/>
      <c r="Q80" s="237"/>
      <c r="R80" s="237"/>
      <c r="S80" s="237"/>
      <c r="T80" s="237"/>
      <c r="U80" s="237"/>
      <c r="V80" s="237"/>
    </row>
    <row r="81" spans="1:22">
      <c r="A81" s="340"/>
      <c r="B81" s="340"/>
      <c r="C81" s="342"/>
      <c r="D81" s="292" t="s">
        <v>615</v>
      </c>
      <c r="E81" s="293"/>
      <c r="F81" s="293"/>
      <c r="G81" s="293"/>
      <c r="H81" s="294"/>
      <c r="I81" s="295" t="s">
        <v>779</v>
      </c>
      <c r="J81" s="606" t="s">
        <v>625</v>
      </c>
      <c r="K81" s="607"/>
      <c r="L81" s="608" t="str">
        <f>IF(AND(NOT(E83=""),NOT(K91="-")),"←エラー！！","")</f>
        <v/>
      </c>
      <c r="M81" s="609"/>
      <c r="N81" s="609"/>
      <c r="O81" s="609"/>
      <c r="P81" s="610"/>
      <c r="Q81" s="237"/>
      <c r="R81" s="237"/>
      <c r="S81" s="237"/>
      <c r="T81" s="237"/>
      <c r="U81" s="237"/>
      <c r="V81" s="237"/>
    </row>
    <row r="82" spans="1:22" ht="19.350000000000001" customHeight="1">
      <c r="A82" s="340"/>
      <c r="B82" s="340"/>
      <c r="C82" s="342"/>
      <c r="D82" s="611" t="s">
        <v>851</v>
      </c>
      <c r="E82" s="612"/>
      <c r="F82" s="296"/>
      <c r="G82" s="285"/>
      <c r="H82" s="297"/>
      <c r="I82" s="614" t="s">
        <v>826</v>
      </c>
      <c r="J82" s="298" t="s">
        <v>611</v>
      </c>
      <c r="K82" s="297"/>
      <c r="L82" s="615" t="str">
        <f>IF(AND(NOT(E83=""),NOT(K91="-")),"想定利用率または年間延利用者数のどちらか一方のみを入力してください","")</f>
        <v/>
      </c>
      <c r="M82" s="616"/>
      <c r="N82" s="616"/>
      <c r="O82" s="616"/>
      <c r="P82" s="617"/>
      <c r="Q82" s="237"/>
      <c r="R82" s="237"/>
      <c r="S82" s="237"/>
      <c r="T82" s="237"/>
      <c r="U82" s="237"/>
      <c r="V82" s="237"/>
    </row>
    <row r="83" spans="1:22">
      <c r="A83" s="340"/>
      <c r="B83" s="340"/>
      <c r="C83" s="342"/>
      <c r="D83" s="299"/>
      <c r="E83" s="300">
        <v>100</v>
      </c>
      <c r="F83" s="285" t="s">
        <v>613</v>
      </c>
      <c r="G83" s="285"/>
      <c r="H83" s="297"/>
      <c r="I83" s="614"/>
      <c r="J83" s="298"/>
      <c r="K83" s="301" t="str">
        <f>IFERROR(SUM(K86:K90)/($L$24*365),"")</f>
        <v/>
      </c>
      <c r="L83" s="285"/>
      <c r="M83" s="275" t="s">
        <v>1012</v>
      </c>
      <c r="N83" s="274"/>
      <c r="O83" s="669" t="str">
        <f ca="1">IF(S2&lt;3,"新型コロナウイルス感染症に対応するための特例的な評価を含む","")</f>
        <v>新型コロナウイルス感染症に対応するための特例的な評価を含む</v>
      </c>
      <c r="P83" s="670"/>
      <c r="Q83" s="237"/>
      <c r="R83" s="237"/>
      <c r="S83" s="237"/>
      <c r="T83" s="237"/>
      <c r="U83" s="237"/>
      <c r="V83" s="237"/>
    </row>
    <row r="84" spans="1:22" ht="6.95" customHeight="1">
      <c r="A84" s="340"/>
      <c r="B84" s="340"/>
      <c r="C84" s="342"/>
      <c r="D84" s="299"/>
      <c r="E84" s="296"/>
      <c r="F84" s="285"/>
      <c r="G84" s="285"/>
      <c r="H84" s="297"/>
      <c r="I84" s="614"/>
      <c r="J84" s="298"/>
      <c r="K84" s="301"/>
      <c r="L84" s="285"/>
      <c r="M84" s="298"/>
      <c r="N84" s="285"/>
      <c r="O84" s="104"/>
      <c r="P84" s="291"/>
      <c r="Q84" s="237"/>
      <c r="R84" s="237"/>
      <c r="S84" s="237"/>
      <c r="T84" s="237"/>
      <c r="U84" s="237"/>
      <c r="V84" s="237"/>
    </row>
    <row r="85" spans="1:22">
      <c r="A85" s="340"/>
      <c r="B85" s="340"/>
      <c r="C85" s="342"/>
      <c r="D85" s="100" t="s">
        <v>607</v>
      </c>
      <c r="E85" s="618" t="s">
        <v>610</v>
      </c>
      <c r="F85" s="618"/>
      <c r="G85" s="618" t="s">
        <v>609</v>
      </c>
      <c r="H85" s="619"/>
      <c r="I85" s="614"/>
      <c r="J85" s="100" t="s">
        <v>607</v>
      </c>
      <c r="K85" s="302" t="s">
        <v>609</v>
      </c>
      <c r="L85" s="285"/>
      <c r="M85" s="100" t="s">
        <v>607</v>
      </c>
      <c r="N85" s="105" t="s">
        <v>614</v>
      </c>
      <c r="O85" s="303" t="s">
        <v>609</v>
      </c>
      <c r="P85" s="106" t="s">
        <v>616</v>
      </c>
      <c r="Q85" s="237"/>
      <c r="R85" s="237"/>
      <c r="S85" s="237"/>
      <c r="T85" s="237"/>
      <c r="U85" s="237"/>
      <c r="V85" s="237"/>
    </row>
    <row r="86" spans="1:22">
      <c r="A86" s="340"/>
      <c r="B86" s="340"/>
      <c r="C86" s="342"/>
      <c r="D86" s="107">
        <v>1</v>
      </c>
      <c r="E86" s="620"/>
      <c r="F86" s="620"/>
      <c r="G86" s="636">
        <f>IFERROR(INT($L$24*$E$83/100*E86/100*365),0)</f>
        <v>0</v>
      </c>
      <c r="H86" s="637"/>
      <c r="I86" s="614"/>
      <c r="J86" s="101">
        <v>1</v>
      </c>
      <c r="K86" s="304"/>
      <c r="L86" s="285"/>
      <c r="M86" s="107">
        <v>1</v>
      </c>
      <c r="N86" s="305">
        <f ca="1">IF(入力シート!$L$24="",0,INDEX(【入所居室のタイプ】!$F$1:$F$130,MATCH($D$79&amp;$J$79&amp;"要介護"&amp;DBCS(M86),【入所居室のタイプ】!$H$1:$H$130,0)))*T2</f>
        <v>0</v>
      </c>
      <c r="O86" s="306">
        <f>IF(AND(G86&gt;0,K86&gt;0),"重複エラー",SUM(G86,K86))</f>
        <v>0</v>
      </c>
      <c r="P86" s="307">
        <f ca="1">IFERROR(N86*O86/1000*$H$14,0)</f>
        <v>0</v>
      </c>
      <c r="Q86" s="237"/>
      <c r="R86" s="237" t="s">
        <v>755</v>
      </c>
      <c r="S86" s="237"/>
      <c r="T86" s="351">
        <f ca="1">N86*O86</f>
        <v>0</v>
      </c>
      <c r="U86" s="351"/>
      <c r="V86" s="351"/>
    </row>
    <row r="87" spans="1:22">
      <c r="A87" s="340"/>
      <c r="B87" s="340"/>
      <c r="C87" s="342"/>
      <c r="D87" s="102">
        <v>2</v>
      </c>
      <c r="E87" s="638"/>
      <c r="F87" s="638"/>
      <c r="G87" s="639">
        <f>IFERROR(INT($L$24*$E$83/100*E87/100*365),0)</f>
        <v>0</v>
      </c>
      <c r="H87" s="640"/>
      <c r="I87" s="614"/>
      <c r="J87" s="102">
        <v>2</v>
      </c>
      <c r="K87" s="309"/>
      <c r="L87" s="285"/>
      <c r="M87" s="102">
        <v>2</v>
      </c>
      <c r="N87" s="310">
        <f ca="1">IF(入力シート!$L$24="",0,INDEX(【入所居室のタイプ】!$F$1:$F$130,MATCH($D$79&amp;$J$79&amp;"要介護"&amp;DBCS(M87),【入所居室のタイプ】!$H$1:$H$130,0)))*T2</f>
        <v>0</v>
      </c>
      <c r="O87" s="311">
        <f>IF(AND(G87&gt;0,K87&gt;0),"重複エラー",SUM(G87,K87))</f>
        <v>0</v>
      </c>
      <c r="P87" s="312">
        <f ca="1">IFERROR(N87*O87/1000*$H$14,0)</f>
        <v>0</v>
      </c>
      <c r="Q87" s="237"/>
      <c r="R87" s="237" t="s">
        <v>755</v>
      </c>
      <c r="S87" s="237"/>
      <c r="T87" s="351">
        <f ca="1">N87*O87</f>
        <v>0</v>
      </c>
      <c r="U87" s="351"/>
      <c r="V87" s="351"/>
    </row>
    <row r="88" spans="1:22">
      <c r="A88" s="340"/>
      <c r="B88" s="340"/>
      <c r="C88" s="342"/>
      <c r="D88" s="102">
        <v>3</v>
      </c>
      <c r="E88" s="638"/>
      <c r="F88" s="638"/>
      <c r="G88" s="639">
        <f>IFERROR(INT($L$24*$E$83/100*E88/100*365),0)</f>
        <v>0</v>
      </c>
      <c r="H88" s="640"/>
      <c r="I88" s="614"/>
      <c r="J88" s="102">
        <v>3</v>
      </c>
      <c r="K88" s="309"/>
      <c r="L88" s="285"/>
      <c r="M88" s="102">
        <v>3</v>
      </c>
      <c r="N88" s="310">
        <f ca="1">IF(入力シート!$L$24="",0,INDEX(【入所居室のタイプ】!$F$1:$F$130,MATCH($D$79&amp;$J$79&amp;"要介護"&amp;DBCS(M88),【入所居室のタイプ】!$H$1:$H$130,0)))*T2</f>
        <v>0</v>
      </c>
      <c r="O88" s="311">
        <f>IF(AND(G88&gt;0,K88&gt;0),"重複エラー",SUM(G88,K88))</f>
        <v>0</v>
      </c>
      <c r="P88" s="312">
        <f ca="1">IFERROR(N88*O88/1000*$H$14,0)</f>
        <v>0</v>
      </c>
      <c r="Q88" s="237"/>
      <c r="R88" s="237" t="s">
        <v>755</v>
      </c>
      <c r="S88" s="237"/>
      <c r="T88" s="351">
        <f ca="1">N88*O88</f>
        <v>0</v>
      </c>
      <c r="U88" s="351"/>
      <c r="V88" s="351"/>
    </row>
    <row r="89" spans="1:22">
      <c r="A89" s="340"/>
      <c r="B89" s="340"/>
      <c r="C89" s="342"/>
      <c r="D89" s="102">
        <v>4</v>
      </c>
      <c r="E89" s="641"/>
      <c r="F89" s="641"/>
      <c r="G89" s="639">
        <f>IFERROR(INT($L$24*$E$83/100*E89/100*365),0)</f>
        <v>0</v>
      </c>
      <c r="H89" s="640"/>
      <c r="I89" s="614"/>
      <c r="J89" s="102">
        <v>4</v>
      </c>
      <c r="K89" s="309"/>
      <c r="L89" s="285"/>
      <c r="M89" s="102">
        <v>4</v>
      </c>
      <c r="N89" s="310">
        <f ca="1">IF(入力シート!$L$24="",0,INDEX(【入所居室のタイプ】!$F$1:$F$130,MATCH($D$79&amp;$J$79&amp;"要介護"&amp;DBCS(M89),【入所居室のタイプ】!$H$1:$H$130,0)))*T2</f>
        <v>0</v>
      </c>
      <c r="O89" s="311">
        <f>IF(AND(G89&gt;0,K89&gt;0),"重複エラー",SUM(G89,K89))</f>
        <v>0</v>
      </c>
      <c r="P89" s="312">
        <f ca="1">IFERROR(N89*O89/1000*$H$14,0)</f>
        <v>0</v>
      </c>
      <c r="Q89" s="237"/>
      <c r="R89" s="237" t="s">
        <v>755</v>
      </c>
      <c r="S89" s="237"/>
      <c r="T89" s="351">
        <f ca="1">N89*O89</f>
        <v>0</v>
      </c>
      <c r="U89" s="351"/>
      <c r="V89" s="351"/>
    </row>
    <row r="90" spans="1:22">
      <c r="A90" s="340"/>
      <c r="B90" s="340"/>
      <c r="C90" s="342"/>
      <c r="D90" s="103">
        <v>5</v>
      </c>
      <c r="E90" s="621" t="str">
        <f>IF(K83=0,IF(SUM(E86:F89)&gt;=0,100-SUM(E86:F89),""),"")</f>
        <v/>
      </c>
      <c r="F90" s="621"/>
      <c r="G90" s="622">
        <f>IFERROR(INT($L$24*$E$83/100*E90/100*365),0)</f>
        <v>0</v>
      </c>
      <c r="H90" s="623"/>
      <c r="I90" s="614"/>
      <c r="J90" s="103">
        <v>5</v>
      </c>
      <c r="K90" s="313"/>
      <c r="L90" s="285"/>
      <c r="M90" s="103">
        <v>5</v>
      </c>
      <c r="N90" s="314">
        <f ca="1">IF(入力シート!$L$24="",0,INDEX(【入所居室のタイプ】!$F$1:$F$130,MATCH($D$79&amp;$J$79&amp;"要介護"&amp;DBCS(M90),【入所居室のタイプ】!$H$1:$H$130,0)))*T2</f>
        <v>0</v>
      </c>
      <c r="O90" s="315">
        <f>IF(AND(G90&gt;0,K90&gt;0),"重複エラー",SUM(G90,K90))</f>
        <v>0</v>
      </c>
      <c r="P90" s="316">
        <f ca="1">IFERROR(N90*O90/1000*$H$14,0)</f>
        <v>0</v>
      </c>
      <c r="Q90" s="237"/>
      <c r="R90" s="237" t="s">
        <v>755</v>
      </c>
      <c r="S90" s="237"/>
      <c r="T90" s="351">
        <f ca="1">N90*O90</f>
        <v>0</v>
      </c>
      <c r="U90" s="351"/>
      <c r="V90" s="351"/>
    </row>
    <row r="91" spans="1:22">
      <c r="A91" s="340"/>
      <c r="B91" s="340"/>
      <c r="C91" s="342"/>
      <c r="D91" s="134" t="s">
        <v>877</v>
      </c>
      <c r="E91" s="624" t="str">
        <f>IF(C78="","",IFERROR(SUMPRODUCT(E86:E90,D86:D90)/100,"-"))</f>
        <v/>
      </c>
      <c r="F91" s="624"/>
      <c r="G91" s="625" t="s">
        <v>612</v>
      </c>
      <c r="H91" s="626"/>
      <c r="I91" s="614"/>
      <c r="J91" s="317" t="s">
        <v>877</v>
      </c>
      <c r="K91" s="318" t="str">
        <f>IFERROR(SUMPRODUCT(J86:J90,K86:K90)/SUM(K86:K90),"-")</f>
        <v>-</v>
      </c>
      <c r="L91" s="319"/>
      <c r="M91" s="627" t="s">
        <v>620</v>
      </c>
      <c r="N91" s="625"/>
      <c r="O91" s="320">
        <f>SUM(O86:O90)</f>
        <v>0</v>
      </c>
      <c r="P91" s="321" t="str">
        <f>IF(C78="","0",IFERROR(SUM(P86:P90),"0"))</f>
        <v>0</v>
      </c>
      <c r="Q91" s="237"/>
      <c r="R91" s="237" t="s">
        <v>756</v>
      </c>
      <c r="S91" s="237"/>
      <c r="T91" s="352">
        <f ca="1">SUM(T86:T90)</f>
        <v>0</v>
      </c>
      <c r="U91" s="352"/>
      <c r="V91" s="352"/>
    </row>
    <row r="92" spans="1:22">
      <c r="A92" s="340"/>
      <c r="B92" s="340"/>
      <c r="C92" s="342"/>
      <c r="D92" s="371"/>
      <c r="E92" s="323"/>
      <c r="F92" s="323"/>
      <c r="G92" s="285"/>
      <c r="H92" s="285"/>
      <c r="I92" s="285"/>
      <c r="J92" s="285"/>
      <c r="K92" s="323"/>
      <c r="L92" s="319"/>
      <c r="M92" s="353"/>
      <c r="N92" s="353"/>
      <c r="O92" s="353"/>
      <c r="P92" s="354"/>
      <c r="Q92" s="237"/>
      <c r="R92" s="245" t="s">
        <v>1011</v>
      </c>
      <c r="T92" s="322">
        <f>O91-'加算項目（C病棟）'!$O$13</f>
        <v>0</v>
      </c>
      <c r="U92" s="237"/>
      <c r="V92" s="237"/>
    </row>
    <row r="93" spans="1:22">
      <c r="C93" s="290"/>
      <c r="D93" s="630" t="s">
        <v>892</v>
      </c>
      <c r="E93" s="631"/>
      <c r="F93" s="631"/>
      <c r="G93" s="631"/>
      <c r="H93" s="631"/>
      <c r="I93" s="632"/>
      <c r="J93" s="325"/>
      <c r="K93" s="323"/>
      <c r="L93" s="319"/>
      <c r="M93" s="633" t="s">
        <v>970</v>
      </c>
      <c r="N93" s="634"/>
      <c r="O93" s="634"/>
      <c r="P93" s="635"/>
      <c r="Q93" s="237"/>
      <c r="R93" s="245" t="s">
        <v>1013</v>
      </c>
      <c r="T93" s="308" t="e">
        <f ca="1">T91+(P98*1000/$H$14)</f>
        <v>#VALUE!</v>
      </c>
      <c r="U93" s="237"/>
      <c r="V93" s="237"/>
    </row>
    <row r="94" spans="1:22" ht="19.350000000000001" customHeight="1">
      <c r="A94" s="340"/>
      <c r="B94" s="340"/>
      <c r="C94" s="342"/>
      <c r="D94" s="326" t="s">
        <v>969</v>
      </c>
      <c r="E94" s="657" t="s">
        <v>968</v>
      </c>
      <c r="F94" s="657"/>
      <c r="G94" s="658">
        <f ca="1">IF(S2=1,1392,1445)</f>
        <v>1392</v>
      </c>
      <c r="H94" s="659"/>
      <c r="I94" s="297" t="s">
        <v>621</v>
      </c>
      <c r="J94" s="285"/>
      <c r="K94" s="323"/>
      <c r="L94" s="319"/>
      <c r="M94" s="660" t="s">
        <v>622</v>
      </c>
      <c r="N94" s="661"/>
      <c r="O94" s="661"/>
      <c r="P94" s="327">
        <f>IF(C78="",0,IFERROR($G$94*T92/1000,"0"))</f>
        <v>0</v>
      </c>
      <c r="Q94" s="237"/>
      <c r="R94" s="245" t="s">
        <v>758</v>
      </c>
      <c r="T94" s="351" t="e">
        <f ca="1">T91/O91</f>
        <v>#DIV/0!</v>
      </c>
      <c r="U94" s="351"/>
      <c r="V94" s="351"/>
    </row>
    <row r="95" spans="1:22" ht="19.350000000000001" customHeight="1">
      <c r="A95" s="340"/>
      <c r="B95" s="340"/>
      <c r="C95" s="342"/>
      <c r="D95" s="326" t="s">
        <v>619</v>
      </c>
      <c r="E95" s="662" t="s">
        <v>623</v>
      </c>
      <c r="F95" s="662"/>
      <c r="G95" s="658" t="str">
        <f>IFERROR(IF(J79="","",INDEX(【食費居住費】!C18:C21,MATCH(J79,【食費居住費】!B18:B21,0))),"")</f>
        <v/>
      </c>
      <c r="H95" s="659"/>
      <c r="I95" s="297" t="s">
        <v>621</v>
      </c>
      <c r="J95" s="285"/>
      <c r="K95" s="323"/>
      <c r="L95" s="319"/>
      <c r="M95" s="663" t="s">
        <v>624</v>
      </c>
      <c r="N95" s="664"/>
      <c r="O95" s="664"/>
      <c r="P95" s="328">
        <f>IF(C78="",0,IFERROR($G$95*O91/1000,"0"))</f>
        <v>0</v>
      </c>
      <c r="Q95" s="237"/>
      <c r="R95" s="237"/>
      <c r="S95" s="237"/>
      <c r="T95" s="351"/>
      <c r="U95" s="351"/>
      <c r="V95" s="351"/>
    </row>
    <row r="96" spans="1:22" ht="19.350000000000001" customHeight="1">
      <c r="A96" s="340"/>
      <c r="B96" s="340"/>
      <c r="C96" s="342"/>
      <c r="D96" s="329" t="s">
        <v>55</v>
      </c>
      <c r="E96" s="642" t="s">
        <v>893</v>
      </c>
      <c r="F96" s="642"/>
      <c r="G96" s="671"/>
      <c r="H96" s="672"/>
      <c r="I96" s="297" t="s">
        <v>621</v>
      </c>
      <c r="J96" s="285"/>
      <c r="K96" s="323"/>
      <c r="L96" s="319"/>
      <c r="M96" s="645" t="s">
        <v>894</v>
      </c>
      <c r="N96" s="646"/>
      <c r="O96" s="647"/>
      <c r="P96" s="328">
        <f>IF(C78="",0,IFERROR($G$96*O91/1000,"0"))</f>
        <v>0</v>
      </c>
      <c r="Q96" s="237"/>
      <c r="R96" s="245" t="s">
        <v>895</v>
      </c>
      <c r="T96" s="308">
        <f>SUM(P94:P96)</f>
        <v>0</v>
      </c>
      <c r="U96" s="351"/>
      <c r="V96" s="351"/>
    </row>
    <row r="97" spans="1:22">
      <c r="A97" s="340"/>
      <c r="B97" s="340"/>
      <c r="C97" s="342"/>
      <c r="D97" s="648" t="str">
        <f>HYPERLINK("#'加算項目（C病棟）'!A1","加算および特別診療費を入力する場合はここをクリックしてください")</f>
        <v>加算および特別診療費を入力する場合はここをクリックしてください</v>
      </c>
      <c r="E97" s="649"/>
      <c r="F97" s="649"/>
      <c r="G97" s="649"/>
      <c r="H97" s="649"/>
      <c r="I97" s="649"/>
      <c r="J97" s="649"/>
      <c r="K97" s="650"/>
      <c r="L97" s="319"/>
      <c r="M97" s="651" t="s">
        <v>896</v>
      </c>
      <c r="N97" s="652"/>
      <c r="O97" s="653"/>
      <c r="P97" s="328">
        <f>IF(C78="",0,'加算項目（C病棟）'!$J$64+'加算項目（C病棟）'!$J$103)</f>
        <v>0</v>
      </c>
      <c r="Q97" s="237"/>
      <c r="R97" s="237" t="s">
        <v>764</v>
      </c>
      <c r="S97" s="237"/>
      <c r="T97" s="351">
        <f>IFERROR(P91+P94+P95+P96+P97+P98,"0")</f>
        <v>0</v>
      </c>
      <c r="U97" s="351"/>
      <c r="V97" s="351"/>
    </row>
    <row r="98" spans="1:22" ht="20.25" thickBot="1">
      <c r="A98" s="340"/>
      <c r="B98" s="340"/>
      <c r="C98" s="345"/>
      <c r="D98" s="332"/>
      <c r="E98" s="333"/>
      <c r="F98" s="333"/>
      <c r="G98" s="334"/>
      <c r="H98" s="334"/>
      <c r="I98" s="335"/>
      <c r="J98" s="335"/>
      <c r="K98" s="333"/>
      <c r="L98" s="336"/>
      <c r="M98" s="654" t="s">
        <v>907</v>
      </c>
      <c r="N98" s="655"/>
      <c r="O98" s="656"/>
      <c r="P98" s="337">
        <f>IFERROR(IF(C78="",0,-($T94*$H$14/1000*'加算項目（C病棟）'!$O$13)),0)</f>
        <v>0</v>
      </c>
      <c r="Q98" s="237"/>
      <c r="R98" s="237"/>
      <c r="S98" s="237"/>
    </row>
    <row r="99" spans="1:22">
      <c r="A99" s="340"/>
      <c r="B99" s="340"/>
      <c r="C99" s="346"/>
      <c r="D99" s="347"/>
      <c r="E99" s="348"/>
      <c r="F99" s="348"/>
      <c r="G99" s="349"/>
      <c r="H99" s="349"/>
      <c r="I99" s="346"/>
      <c r="J99" s="346"/>
      <c r="K99" s="348"/>
      <c r="L99" s="319"/>
      <c r="M99" s="285"/>
      <c r="N99" s="285"/>
      <c r="O99" s="285"/>
      <c r="P99" s="338"/>
      <c r="T99" s="351"/>
      <c r="U99" s="351"/>
      <c r="V99" s="351"/>
    </row>
    <row r="100" spans="1:22" ht="23.25" collapsed="1" thickBot="1">
      <c r="A100" s="676" t="str">
        <f>IF($C$25="",HYPERLINK("#C129","すべての療養棟の情報を入力したので支出の入力へ進む"),"")</f>
        <v>すべての療養棟の情報を入力したので支出の入力へ進む</v>
      </c>
      <c r="B100" s="676"/>
      <c r="C100" s="676"/>
      <c r="D100" s="676"/>
      <c r="E100" s="676"/>
      <c r="F100" s="676"/>
      <c r="G100" s="676"/>
      <c r="H100" s="676"/>
      <c r="I100" s="676"/>
      <c r="J100" s="350"/>
      <c r="K100" s="350"/>
      <c r="L100" s="325"/>
      <c r="M100" s="325"/>
      <c r="N100" s="325"/>
      <c r="O100" s="135"/>
      <c r="P100" s="136"/>
      <c r="T100" s="237"/>
      <c r="U100" s="237"/>
      <c r="V100" s="237"/>
    </row>
    <row r="101" spans="1:22" ht="22.5">
      <c r="C101" s="287" t="str">
        <f>C25</f>
        <v/>
      </c>
      <c r="D101" s="288"/>
      <c r="E101" s="288"/>
      <c r="F101" s="288"/>
      <c r="G101" s="288"/>
      <c r="H101" s="288"/>
      <c r="I101" s="288"/>
      <c r="J101" s="288"/>
      <c r="K101" s="288"/>
      <c r="L101" s="288"/>
      <c r="M101" s="288"/>
      <c r="N101" s="288"/>
      <c r="O101" s="133"/>
      <c r="P101" s="289"/>
    </row>
    <row r="102" spans="1:22">
      <c r="C102" s="290"/>
      <c r="D102" s="285">
        <f>D25</f>
        <v>0</v>
      </c>
      <c r="E102" s="285"/>
      <c r="F102" s="285"/>
      <c r="G102" s="285"/>
      <c r="H102" s="285"/>
      <c r="I102" s="285"/>
      <c r="J102" s="285" t="str">
        <f>IF(I25=0,"",I25)</f>
        <v/>
      </c>
      <c r="K102" s="285"/>
      <c r="L102" s="285"/>
      <c r="M102" s="285" t="str">
        <f>TEXT(L25,"定員　#,###床")</f>
        <v>定員 床</v>
      </c>
      <c r="N102" s="285"/>
      <c r="O102" s="104"/>
      <c r="P102" s="291"/>
    </row>
    <row r="103" spans="1:22" ht="21.6" customHeight="1">
      <c r="C103" s="290"/>
      <c r="D103" s="283" t="str">
        <f>IF(E113&lt;0,"↓構成割合が100%を超えています","")</f>
        <v/>
      </c>
      <c r="E103" s="285"/>
      <c r="F103" s="285"/>
      <c r="G103" s="285"/>
      <c r="H103" s="285"/>
      <c r="I103" s="285"/>
      <c r="J103" s="283" t="str">
        <f>IF(D102=0,"",IF(K106&gt;1,"↓利用率が100%を超えています",""))</f>
        <v/>
      </c>
      <c r="K103" s="285"/>
      <c r="L103" s="285"/>
      <c r="M103" s="285"/>
      <c r="N103" s="285"/>
      <c r="O103" s="104"/>
      <c r="P103" s="291"/>
    </row>
    <row r="104" spans="1:22">
      <c r="C104" s="290"/>
      <c r="D104" s="292" t="s">
        <v>615</v>
      </c>
      <c r="E104" s="293"/>
      <c r="F104" s="293"/>
      <c r="G104" s="293"/>
      <c r="H104" s="294"/>
      <c r="I104" s="355" t="s">
        <v>779</v>
      </c>
      <c r="J104" s="606" t="s">
        <v>625</v>
      </c>
      <c r="K104" s="607"/>
      <c r="L104" s="608" t="str">
        <f>IF(AND(NOT(E106=""),NOT(K114="-")),"←エラー！！","")</f>
        <v/>
      </c>
      <c r="M104" s="609"/>
      <c r="N104" s="609"/>
      <c r="O104" s="609"/>
      <c r="P104" s="610"/>
    </row>
    <row r="105" spans="1:22" ht="19.350000000000001" customHeight="1">
      <c r="C105" s="290"/>
      <c r="D105" s="611" t="s">
        <v>851</v>
      </c>
      <c r="E105" s="612"/>
      <c r="F105" s="296"/>
      <c r="G105" s="285"/>
      <c r="H105" s="297"/>
      <c r="I105" s="677" t="s">
        <v>826</v>
      </c>
      <c r="J105" s="298" t="s">
        <v>879</v>
      </c>
      <c r="K105" s="297"/>
      <c r="L105" s="615" t="str">
        <f>IF(AND(NOT(E106=""),NOT(K114="-")),"想定利用率または年間延利用者数のどちらか一方のみを入力してください","")</f>
        <v/>
      </c>
      <c r="M105" s="616"/>
      <c r="N105" s="616"/>
      <c r="O105" s="616"/>
      <c r="P105" s="617"/>
      <c r="R105" s="245" t="e">
        <f>(入力シート!P120)*1000/(入力シート!O114)*入力シート!O114/(365*入力シート!L25)</f>
        <v>#DIV/0!</v>
      </c>
    </row>
    <row r="106" spans="1:22">
      <c r="C106" s="290"/>
      <c r="D106" s="299"/>
      <c r="E106" s="300"/>
      <c r="F106" s="285" t="s">
        <v>613</v>
      </c>
      <c r="G106" s="285"/>
      <c r="H106" s="297"/>
      <c r="I106" s="677"/>
      <c r="J106" s="298"/>
      <c r="K106" s="301" t="str">
        <f>IFERROR(SUM(K109:K113)/($L$25*365),"")</f>
        <v/>
      </c>
      <c r="L106" s="285"/>
      <c r="M106" s="275" t="s">
        <v>1012</v>
      </c>
      <c r="N106" s="274"/>
      <c r="O106" s="669" t="str">
        <f ca="1">IF(S2&lt;3,"新型コロナウイルス感染症に対応するための特例的な評価を含む","")</f>
        <v>新型コロナウイルス感染症に対応するための特例的な評価を含む</v>
      </c>
      <c r="P106" s="670"/>
    </row>
    <row r="107" spans="1:22" ht="6.95" customHeight="1">
      <c r="C107" s="290"/>
      <c r="D107" s="299"/>
      <c r="E107" s="296"/>
      <c r="F107" s="285"/>
      <c r="G107" s="285"/>
      <c r="H107" s="297"/>
      <c r="I107" s="677"/>
      <c r="J107" s="298"/>
      <c r="K107" s="301"/>
      <c r="L107" s="285"/>
      <c r="M107" s="298"/>
      <c r="N107" s="285"/>
      <c r="O107" s="104"/>
      <c r="P107" s="291"/>
    </row>
    <row r="108" spans="1:22">
      <c r="C108" s="290"/>
      <c r="D108" s="100" t="s">
        <v>607</v>
      </c>
      <c r="E108" s="618" t="s">
        <v>610</v>
      </c>
      <c r="F108" s="618"/>
      <c r="G108" s="618" t="s">
        <v>609</v>
      </c>
      <c r="H108" s="619"/>
      <c r="I108" s="677"/>
      <c r="J108" s="100" t="s">
        <v>880</v>
      </c>
      <c r="K108" s="302" t="s">
        <v>881</v>
      </c>
      <c r="L108" s="285"/>
      <c r="M108" s="100" t="s">
        <v>607</v>
      </c>
      <c r="N108" s="105" t="s">
        <v>614</v>
      </c>
      <c r="O108" s="303" t="s">
        <v>609</v>
      </c>
      <c r="P108" s="106" t="s">
        <v>616</v>
      </c>
    </row>
    <row r="109" spans="1:22">
      <c r="C109" s="290"/>
      <c r="D109" s="107">
        <v>1</v>
      </c>
      <c r="E109" s="620"/>
      <c r="F109" s="620"/>
      <c r="G109" s="636">
        <f>IFERROR(INT($L$25*$E$106/100*E109/100*365),0)</f>
        <v>0</v>
      </c>
      <c r="H109" s="637"/>
      <c r="I109" s="677"/>
      <c r="J109" s="101">
        <v>1</v>
      </c>
      <c r="K109" s="304"/>
      <c r="L109" s="285"/>
      <c r="M109" s="107">
        <v>1</v>
      </c>
      <c r="N109" s="305">
        <f ca="1">IF(入力シート!$L$25="",0,INDEX(【入所居室のタイプ】!$F$1:$F$130,MATCH($D$102&amp;$J$102&amp;"要介護"&amp;DBCS(M109),【入所居室のタイプ】!$H$1:$H$130,0)))*T2</f>
        <v>0</v>
      </c>
      <c r="O109" s="306">
        <f>IF(AND(G109&gt;0,K109&gt;0),"重複エラー",SUM(G109,K109))</f>
        <v>0</v>
      </c>
      <c r="P109" s="307">
        <f ca="1">IFERROR(N109*O109/1000*$H$14,0)</f>
        <v>0</v>
      </c>
      <c r="R109" s="245" t="s">
        <v>755</v>
      </c>
      <c r="T109" s="308">
        <f ca="1">N109*O109</f>
        <v>0</v>
      </c>
      <c r="U109" s="308"/>
      <c r="V109" s="308"/>
    </row>
    <row r="110" spans="1:22">
      <c r="C110" s="290"/>
      <c r="D110" s="102">
        <v>2</v>
      </c>
      <c r="E110" s="638"/>
      <c r="F110" s="638"/>
      <c r="G110" s="639">
        <f>IFERROR(INT($L$25*$E$106/100*E110/100*365),0)</f>
        <v>0</v>
      </c>
      <c r="H110" s="640"/>
      <c r="I110" s="677"/>
      <c r="J110" s="102">
        <v>2</v>
      </c>
      <c r="K110" s="309"/>
      <c r="L110" s="285"/>
      <c r="M110" s="102">
        <v>2</v>
      </c>
      <c r="N110" s="310">
        <f ca="1">IF(入力シート!$L$25="",0,INDEX(【入所居室のタイプ】!$F$1:$F$130,MATCH($D$102&amp;$J$102&amp;"要介護"&amp;DBCS(M110),【入所居室のタイプ】!$H$1:$H$130,0)))*T2</f>
        <v>0</v>
      </c>
      <c r="O110" s="311">
        <f>IF(AND(G110&gt;0,K110&gt;0),"重複エラー",SUM(G110,K110))</f>
        <v>0</v>
      </c>
      <c r="P110" s="312">
        <f ca="1">IFERROR(N110*O110/1000*$H$14,0)</f>
        <v>0</v>
      </c>
      <c r="R110" s="245" t="s">
        <v>755</v>
      </c>
      <c r="T110" s="308">
        <f ca="1">N110*O110</f>
        <v>0</v>
      </c>
      <c r="U110" s="308"/>
      <c r="V110" s="308"/>
    </row>
    <row r="111" spans="1:22">
      <c r="C111" s="290"/>
      <c r="D111" s="102">
        <v>3</v>
      </c>
      <c r="E111" s="638"/>
      <c r="F111" s="638"/>
      <c r="G111" s="639">
        <f>IFERROR(INT($L$25*$E$106/100*E111/100*365),0)</f>
        <v>0</v>
      </c>
      <c r="H111" s="640"/>
      <c r="I111" s="677"/>
      <c r="J111" s="102">
        <v>3</v>
      </c>
      <c r="K111" s="309"/>
      <c r="L111" s="285"/>
      <c r="M111" s="102">
        <v>3</v>
      </c>
      <c r="N111" s="310">
        <f ca="1">IF(入力シート!$L$25="",0,INDEX(【入所居室のタイプ】!$F$1:$F$130,MATCH($D$102&amp;$J$102&amp;"要介護"&amp;DBCS(M111),【入所居室のタイプ】!$H$1:$H$130,0)))*T2</f>
        <v>0</v>
      </c>
      <c r="O111" s="311">
        <f>IF(AND(G111&gt;0,K111&gt;0),"重複エラー",SUM(G111,K111))</f>
        <v>0</v>
      </c>
      <c r="P111" s="312">
        <f ca="1">IFERROR(N111*O111/1000*$H$14,0)</f>
        <v>0</v>
      </c>
      <c r="R111" s="245" t="s">
        <v>755</v>
      </c>
      <c r="T111" s="308">
        <f ca="1">N111*O111</f>
        <v>0</v>
      </c>
      <c r="U111" s="308"/>
      <c r="V111" s="308"/>
    </row>
    <row r="112" spans="1:22">
      <c r="C112" s="290"/>
      <c r="D112" s="102">
        <v>4</v>
      </c>
      <c r="E112" s="641"/>
      <c r="F112" s="641"/>
      <c r="G112" s="639">
        <f>IFERROR(INT($L$25*$E$106/100*E112/100*365),0)</f>
        <v>0</v>
      </c>
      <c r="H112" s="640"/>
      <c r="I112" s="677"/>
      <c r="J112" s="102">
        <v>4</v>
      </c>
      <c r="K112" s="309"/>
      <c r="L112" s="285"/>
      <c r="M112" s="102">
        <v>4</v>
      </c>
      <c r="N112" s="310">
        <f ca="1">IF(入力シート!$L$25="",0,INDEX(【入所居室のタイプ】!$F$1:$F$130,MATCH($D$102&amp;$J$102&amp;"要介護"&amp;DBCS(M112),【入所居室のタイプ】!$H$1:$H$130,0)))*T2</f>
        <v>0</v>
      </c>
      <c r="O112" s="311">
        <f>IF(AND(G112&gt;0,K112&gt;0),"重複エラー",SUM(G112,K112))</f>
        <v>0</v>
      </c>
      <c r="P112" s="312">
        <f ca="1">IFERROR(N112*O112/1000*$H$14,0)</f>
        <v>0</v>
      </c>
      <c r="R112" s="245" t="s">
        <v>755</v>
      </c>
      <c r="T112" s="308">
        <f ca="1">N112*O112</f>
        <v>0</v>
      </c>
      <c r="U112" s="308"/>
      <c r="V112" s="308"/>
    </row>
    <row r="113" spans="1:38">
      <c r="C113" s="290"/>
      <c r="D113" s="103">
        <v>5</v>
      </c>
      <c r="E113" s="621" t="str">
        <f>IF(K106=0,IF(SUM(E109:F112)&gt;=0,100-SUM(E109:F112),""),"")</f>
        <v/>
      </c>
      <c r="F113" s="621"/>
      <c r="G113" s="622">
        <f>IFERROR(INT($L$25*$E$106/100*E113/100*365),0)</f>
        <v>0</v>
      </c>
      <c r="H113" s="623"/>
      <c r="I113" s="677"/>
      <c r="J113" s="103">
        <v>5</v>
      </c>
      <c r="K113" s="313"/>
      <c r="L113" s="285"/>
      <c r="M113" s="103">
        <v>5</v>
      </c>
      <c r="N113" s="314">
        <f ca="1">IF(入力シート!$L$25="",0,INDEX(【入所居室のタイプ】!$F$1:$F$130,MATCH($D$102&amp;$J$102&amp;"要介護"&amp;DBCS(M113),【入所居室のタイプ】!$H$1:$H$130,0)))*T2</f>
        <v>0</v>
      </c>
      <c r="O113" s="315">
        <f>IF(AND(G113&gt;0,K113&gt;0),"重複エラー",SUM(G113,K113))</f>
        <v>0</v>
      </c>
      <c r="P113" s="316">
        <f ca="1">IFERROR(N113*O113/1000*$H$14,0)</f>
        <v>0</v>
      </c>
      <c r="R113" s="245" t="s">
        <v>755</v>
      </c>
      <c r="T113" s="308">
        <f ca="1">N113*O113</f>
        <v>0</v>
      </c>
      <c r="U113" s="308"/>
      <c r="V113" s="308"/>
    </row>
    <row r="114" spans="1:38">
      <c r="C114" s="290"/>
      <c r="D114" s="134" t="s">
        <v>877</v>
      </c>
      <c r="E114" s="624" t="str">
        <f>IF(C101="","",IFERROR(SUMPRODUCT(E109:E113,D109:D113)/100,"-"))</f>
        <v/>
      </c>
      <c r="F114" s="624"/>
      <c r="G114" s="625" t="s">
        <v>612</v>
      </c>
      <c r="H114" s="626"/>
      <c r="I114" s="677"/>
      <c r="J114" s="317" t="s">
        <v>882</v>
      </c>
      <c r="K114" s="318" t="str">
        <f>IFERROR(SUMPRODUCT(J109:J113,K109:K113)/SUM(K109:K113),"-")</f>
        <v>-</v>
      </c>
      <c r="L114" s="319"/>
      <c r="M114" s="627" t="s">
        <v>620</v>
      </c>
      <c r="N114" s="625"/>
      <c r="O114" s="320">
        <f>SUM(O109:O113)</f>
        <v>0</v>
      </c>
      <c r="P114" s="321">
        <f>IFERROR(IF(C101="",0,IFERROR(SUM(P109:P113),"0")),0)</f>
        <v>0</v>
      </c>
      <c r="R114" s="245" t="s">
        <v>756</v>
      </c>
      <c r="T114" s="322">
        <f ca="1">SUM(T109:T113)</f>
        <v>0</v>
      </c>
      <c r="U114" s="322"/>
      <c r="V114" s="322"/>
    </row>
    <row r="115" spans="1:38">
      <c r="C115" s="290"/>
      <c r="D115" s="371"/>
      <c r="E115" s="323"/>
      <c r="F115" s="323"/>
      <c r="G115" s="285"/>
      <c r="H115" s="285"/>
      <c r="I115" s="285"/>
      <c r="J115" s="285"/>
      <c r="K115" s="323"/>
      <c r="L115" s="319"/>
      <c r="M115" s="285"/>
      <c r="N115" s="285"/>
      <c r="O115" s="285"/>
      <c r="P115" s="324"/>
      <c r="Q115" s="237"/>
      <c r="R115" s="245" t="s">
        <v>1011</v>
      </c>
      <c r="T115" s="322">
        <f>O114-'加算項目（D病棟）'!$O$13</f>
        <v>0</v>
      </c>
      <c r="U115" s="237"/>
      <c r="V115" s="237"/>
    </row>
    <row r="116" spans="1:38">
      <c r="C116" s="290"/>
      <c r="D116" s="630" t="s">
        <v>892</v>
      </c>
      <c r="E116" s="631"/>
      <c r="F116" s="631"/>
      <c r="G116" s="631"/>
      <c r="H116" s="631"/>
      <c r="I116" s="632"/>
      <c r="J116" s="325"/>
      <c r="K116" s="323"/>
      <c r="L116" s="319"/>
      <c r="M116" s="633" t="s">
        <v>970</v>
      </c>
      <c r="N116" s="634"/>
      <c r="O116" s="634"/>
      <c r="P116" s="635"/>
      <c r="Q116" s="237"/>
      <c r="R116" s="245" t="s">
        <v>1013</v>
      </c>
      <c r="T116" s="308" t="e">
        <f ca="1">T114+(P121*1000/$H$14)</f>
        <v>#VALUE!</v>
      </c>
      <c r="U116" s="237"/>
      <c r="V116" s="237"/>
    </row>
    <row r="117" spans="1:38" ht="19.350000000000001" customHeight="1">
      <c r="C117" s="290"/>
      <c r="D117" s="326" t="s">
        <v>969</v>
      </c>
      <c r="E117" s="657" t="s">
        <v>968</v>
      </c>
      <c r="F117" s="657"/>
      <c r="G117" s="658">
        <f ca="1">IF(S2=1,1392,1445)</f>
        <v>1392</v>
      </c>
      <c r="H117" s="659"/>
      <c r="I117" s="297" t="s">
        <v>621</v>
      </c>
      <c r="J117" s="285"/>
      <c r="K117" s="323"/>
      <c r="L117" s="319"/>
      <c r="M117" s="660" t="s">
        <v>622</v>
      </c>
      <c r="N117" s="661"/>
      <c r="O117" s="661"/>
      <c r="P117" s="327">
        <f>IF(C101="",0,IFERROR($G$117*T115/1000,""))</f>
        <v>0</v>
      </c>
      <c r="Q117" s="237"/>
      <c r="R117" s="237" t="s">
        <v>757</v>
      </c>
      <c r="S117" s="237"/>
      <c r="T117" s="351" t="e">
        <f ca="1">T114/O114</f>
        <v>#DIV/0!</v>
      </c>
      <c r="U117" s="351"/>
      <c r="V117" s="351"/>
    </row>
    <row r="118" spans="1:38" ht="19.350000000000001" customHeight="1">
      <c r="C118" s="290"/>
      <c r="D118" s="326" t="s">
        <v>619</v>
      </c>
      <c r="E118" s="662" t="s">
        <v>623</v>
      </c>
      <c r="F118" s="662"/>
      <c r="G118" s="658" t="str">
        <f>IFERROR(IF(J102="","",INDEX(【食費居住費】!C18:C21,MATCH(J102,【食費居住費】!B18:B21,0))),"")</f>
        <v/>
      </c>
      <c r="H118" s="659"/>
      <c r="I118" s="297" t="s">
        <v>621</v>
      </c>
      <c r="J118" s="285"/>
      <c r="K118" s="323"/>
      <c r="L118" s="319"/>
      <c r="M118" s="663" t="s">
        <v>624</v>
      </c>
      <c r="N118" s="664"/>
      <c r="O118" s="664"/>
      <c r="P118" s="328">
        <f>IF(C101="",0,IFERROR($G$118*O114/1000,""))</f>
        <v>0</v>
      </c>
      <c r="Q118" s="237"/>
      <c r="R118" s="237"/>
      <c r="S118" s="237"/>
      <c r="T118" s="351"/>
      <c r="U118" s="351"/>
      <c r="V118" s="351"/>
    </row>
    <row r="119" spans="1:38" ht="19.350000000000001" customHeight="1">
      <c r="C119" s="290"/>
      <c r="D119" s="329" t="s">
        <v>55</v>
      </c>
      <c r="E119" s="642" t="s">
        <v>893</v>
      </c>
      <c r="F119" s="642"/>
      <c r="G119" s="671"/>
      <c r="H119" s="672"/>
      <c r="I119" s="297" t="s">
        <v>621</v>
      </c>
      <c r="J119" s="285"/>
      <c r="K119" s="323"/>
      <c r="L119" s="319"/>
      <c r="M119" s="645" t="s">
        <v>894</v>
      </c>
      <c r="N119" s="646"/>
      <c r="O119" s="647"/>
      <c r="P119" s="328">
        <f>IF(C101="",0,IFERROR($G$119*O114/1000,""))</f>
        <v>0</v>
      </c>
      <c r="Q119" s="237"/>
      <c r="R119" s="245" t="s">
        <v>895</v>
      </c>
      <c r="T119" s="308">
        <f>SUM(P117:P119)</f>
        <v>0</v>
      </c>
      <c r="U119" s="237"/>
      <c r="V119" s="237"/>
    </row>
    <row r="120" spans="1:38">
      <c r="C120" s="290"/>
      <c r="D120" s="648" t="str">
        <f>HYPERLINK("#'加算項目（D病棟）'!A1","加算および特別診療費を入力する場合はここをクリックしてください")</f>
        <v>加算および特別診療費を入力する場合はここをクリックしてください</v>
      </c>
      <c r="E120" s="649"/>
      <c r="F120" s="649"/>
      <c r="G120" s="649"/>
      <c r="H120" s="649"/>
      <c r="I120" s="649"/>
      <c r="J120" s="649"/>
      <c r="K120" s="650"/>
      <c r="L120" s="319"/>
      <c r="M120" s="651" t="s">
        <v>896</v>
      </c>
      <c r="N120" s="652"/>
      <c r="O120" s="653"/>
      <c r="P120" s="328">
        <f>IF(C101="",0,'加算項目（D病棟）'!$J$64+'加算項目（D病棟）'!$J$103)</f>
        <v>0</v>
      </c>
      <c r="Q120" s="237"/>
      <c r="R120" s="237" t="s">
        <v>764</v>
      </c>
      <c r="S120" s="237"/>
      <c r="T120" s="351">
        <f>IFERROR(P114+P117+P118+P119+P120+P121,"0")</f>
        <v>0</v>
      </c>
      <c r="U120" s="351"/>
      <c r="V120" s="351"/>
    </row>
    <row r="121" spans="1:38" ht="20.25" thickBot="1">
      <c r="C121" s="331"/>
      <c r="D121" s="332"/>
      <c r="E121" s="333"/>
      <c r="F121" s="333"/>
      <c r="G121" s="334"/>
      <c r="H121" s="334"/>
      <c r="I121" s="335"/>
      <c r="J121" s="335"/>
      <c r="K121" s="333"/>
      <c r="L121" s="336"/>
      <c r="M121" s="654" t="s">
        <v>907</v>
      </c>
      <c r="N121" s="655"/>
      <c r="O121" s="656"/>
      <c r="P121" s="337">
        <f>IFERROR(IF(C101="",0,-($T117*$H$14/1000*'加算項目（D病棟）'!$O$13)),0)</f>
        <v>0</v>
      </c>
      <c r="Q121" s="237"/>
      <c r="R121" s="237"/>
      <c r="S121" s="237"/>
      <c r="T121" s="237"/>
      <c r="U121" s="237"/>
      <c r="V121" s="237"/>
    </row>
    <row r="122" spans="1:38">
      <c r="R122" s="245" t="s">
        <v>763</v>
      </c>
      <c r="T122" s="322">
        <f>T51+T74+T97+T120</f>
        <v>0</v>
      </c>
      <c r="U122" s="322"/>
      <c r="V122" s="322"/>
    </row>
    <row r="123" spans="1:38"/>
    <row r="124" spans="1:38">
      <c r="A124" s="278" t="s">
        <v>750</v>
      </c>
      <c r="B124" s="278" t="s">
        <v>753</v>
      </c>
      <c r="C124" s="278"/>
      <c r="D124" s="278"/>
      <c r="E124" s="278"/>
      <c r="F124" s="278"/>
      <c r="G124" s="278"/>
      <c r="H124" s="278"/>
      <c r="I124" s="278"/>
      <c r="J124" s="278"/>
      <c r="K124" s="278"/>
      <c r="L124" s="278"/>
      <c r="M124" s="278"/>
      <c r="N124" s="278"/>
      <c r="O124" s="278"/>
      <c r="P124" s="278"/>
      <c r="Q124" s="140"/>
      <c r="R124" s="140" t="s">
        <v>971</v>
      </c>
      <c r="S124" s="140"/>
      <c r="T124" s="143">
        <f>ROUND(T122*L131,1)</f>
        <v>0</v>
      </c>
      <c r="U124" s="140"/>
      <c r="V124" s="140"/>
      <c r="W124" s="140"/>
      <c r="X124" s="140"/>
      <c r="Y124" s="140"/>
      <c r="Z124" s="140"/>
      <c r="AA124" s="140"/>
      <c r="AB124" s="140"/>
      <c r="AC124" s="140"/>
      <c r="AD124" s="140"/>
      <c r="AE124" s="140"/>
      <c r="AF124" s="140"/>
      <c r="AG124" s="140"/>
      <c r="AH124" s="140"/>
      <c r="AI124" s="140"/>
      <c r="AJ124" s="140"/>
      <c r="AK124" s="140"/>
      <c r="AL124" s="140"/>
    </row>
    <row r="125" spans="1:38">
      <c r="A125" s="278"/>
      <c r="B125" s="278" t="s">
        <v>754</v>
      </c>
      <c r="C125" s="278"/>
      <c r="D125" s="278"/>
      <c r="E125" s="278"/>
      <c r="F125" s="278"/>
      <c r="G125" s="278"/>
      <c r="H125" s="278"/>
      <c r="I125" s="278"/>
      <c r="J125" s="278"/>
      <c r="K125" s="278"/>
      <c r="L125" s="278"/>
      <c r="M125" s="278"/>
      <c r="N125" s="278"/>
      <c r="O125" s="278"/>
      <c r="P125" s="278"/>
      <c r="Q125" s="140"/>
      <c r="R125" s="140" t="s">
        <v>972</v>
      </c>
      <c r="S125" s="140"/>
      <c r="T125" s="143">
        <f>ROUND(T122*L158,1)</f>
        <v>0</v>
      </c>
      <c r="U125" s="140"/>
      <c r="V125" s="140"/>
      <c r="W125" s="140"/>
      <c r="X125" s="140"/>
      <c r="Y125" s="140"/>
      <c r="Z125" s="140"/>
      <c r="AA125" s="140"/>
      <c r="AB125" s="140"/>
      <c r="AC125" s="140"/>
      <c r="AD125" s="140"/>
      <c r="AE125" s="140"/>
      <c r="AF125" s="140"/>
      <c r="AG125" s="140"/>
      <c r="AH125" s="140"/>
      <c r="AI125" s="140"/>
      <c r="AJ125" s="140"/>
      <c r="AK125" s="140"/>
      <c r="AL125" s="140"/>
    </row>
    <row r="126" spans="1:38">
      <c r="A126" s="245"/>
      <c r="B126" s="245"/>
      <c r="C126" s="245"/>
      <c r="D126" s="245"/>
      <c r="E126" s="245"/>
      <c r="F126" s="245"/>
      <c r="G126" s="245"/>
      <c r="H126" s="245"/>
      <c r="I126" s="245"/>
      <c r="J126" s="245"/>
    </row>
    <row r="127" spans="1:38">
      <c r="B127" s="390"/>
      <c r="F127" s="390"/>
      <c r="G127" s="390"/>
      <c r="H127" s="390"/>
      <c r="I127" s="390"/>
      <c r="J127" s="390"/>
      <c r="K127" s="390"/>
      <c r="T127" s="322"/>
      <c r="U127" s="322"/>
      <c r="V127" s="322"/>
    </row>
    <row r="128" spans="1:38" ht="28.5">
      <c r="B128" s="686" t="s">
        <v>751</v>
      </c>
      <c r="C128" s="686"/>
      <c r="D128" s="686"/>
      <c r="E128" s="140" t="s">
        <v>990</v>
      </c>
    </row>
    <row r="129" spans="3:19" ht="21" customHeight="1">
      <c r="C129" s="139"/>
      <c r="D129" s="139"/>
      <c r="E129" s="689" t="s">
        <v>958</v>
      </c>
      <c r="F129" s="689"/>
      <c r="G129" s="689"/>
      <c r="H129" s="689"/>
      <c r="I129" s="689"/>
      <c r="J129" s="689"/>
      <c r="K129" s="689"/>
      <c r="L129" s="689"/>
      <c r="M129" s="689"/>
      <c r="N129" s="689"/>
      <c r="O129" s="689"/>
      <c r="P129" s="689"/>
      <c r="S129" s="308"/>
    </row>
    <row r="130" spans="3:19" ht="53.1" customHeight="1">
      <c r="C130" s="139"/>
      <c r="D130" s="139"/>
      <c r="E130" s="687" t="s">
        <v>959</v>
      </c>
      <c r="F130" s="688"/>
      <c r="G130" s="688"/>
      <c r="H130" s="688"/>
      <c r="I130" s="688"/>
      <c r="J130" s="688"/>
      <c r="K130" s="688"/>
      <c r="L130" s="688"/>
      <c r="M130" s="688"/>
      <c r="N130" s="688"/>
      <c r="O130" s="688"/>
      <c r="P130" s="688"/>
    </row>
    <row r="131" spans="3:19" ht="19.350000000000001" customHeight="1">
      <c r="C131" s="140" t="s">
        <v>1069</v>
      </c>
      <c r="F131" s="141"/>
      <c r="G131" s="141"/>
      <c r="H131" s="698" t="s">
        <v>1113</v>
      </c>
      <c r="I131" s="698"/>
      <c r="J131" s="698"/>
      <c r="K131" s="698"/>
      <c r="L131" s="678" t="str">
        <f>IF(H131="令和２年度介護事業経営実態調査結果","59.4%","")</f>
        <v>59.4%</v>
      </c>
      <c r="M131" s="678"/>
      <c r="N131" s="679" t="str">
        <f>IF(H131="令和２年度介護事業経営実態調査結果",TEXT(T124,"#,##千円"),"")</f>
        <v>千円</v>
      </c>
      <c r="O131" s="679"/>
      <c r="P131" s="680"/>
    </row>
    <row r="132" spans="3:19" ht="19.350000000000001" customHeight="1">
      <c r="F132" s="141"/>
      <c r="G132" s="141"/>
      <c r="H132" s="698"/>
      <c r="I132" s="698"/>
      <c r="J132" s="698"/>
      <c r="K132" s="698"/>
      <c r="L132" s="678"/>
      <c r="M132" s="678"/>
      <c r="N132" s="679"/>
      <c r="O132" s="679"/>
      <c r="P132" s="680"/>
    </row>
    <row r="133" spans="3:19">
      <c r="C133" s="340" t="s">
        <v>837</v>
      </c>
      <c r="L133" s="140" t="str">
        <f>IF($H$131="令和元年度介護事業経営概況調査結果","上記割合を基に収入額から計算します。","")</f>
        <v/>
      </c>
    </row>
    <row r="134" spans="3:19">
      <c r="C134" s="681" t="s">
        <v>208</v>
      </c>
      <c r="D134" s="682"/>
      <c r="E134" s="683" t="s">
        <v>223</v>
      </c>
      <c r="F134" s="684"/>
      <c r="G134" s="681" t="s">
        <v>229</v>
      </c>
      <c r="H134" s="682"/>
      <c r="I134" s="683" t="s">
        <v>230</v>
      </c>
      <c r="J134" s="684"/>
      <c r="L134" s="685" t="str">
        <f>IF($H$131="令和２年度介護事業経営実態調査結果",HYPERLINK("#C167","経費の入力へ進む"),"")</f>
        <v>経費の入力へ進む</v>
      </c>
      <c r="M134" s="685"/>
      <c r="N134" s="685"/>
    </row>
    <row r="135" spans="3:19">
      <c r="C135" s="690" t="s">
        <v>209</v>
      </c>
      <c r="D135" s="691"/>
      <c r="E135" s="692"/>
      <c r="F135" s="693"/>
      <c r="G135" s="694"/>
      <c r="H135" s="695"/>
      <c r="I135" s="696">
        <f>E135*G135</f>
        <v>0</v>
      </c>
      <c r="J135" s="697"/>
      <c r="K135" s="298"/>
    </row>
    <row r="136" spans="3:19">
      <c r="C136" s="690" t="s">
        <v>211</v>
      </c>
      <c r="D136" s="691"/>
      <c r="E136" s="692"/>
      <c r="F136" s="693"/>
      <c r="G136" s="694"/>
      <c r="H136" s="695"/>
      <c r="I136" s="696">
        <f t="shared" ref="I136:I151" si="0">E136*G136</f>
        <v>0</v>
      </c>
      <c r="J136" s="697"/>
      <c r="K136" s="298"/>
    </row>
    <row r="137" spans="3:19">
      <c r="C137" s="699" t="s">
        <v>210</v>
      </c>
      <c r="D137" s="700"/>
      <c r="E137" s="692"/>
      <c r="F137" s="693"/>
      <c r="G137" s="694"/>
      <c r="H137" s="695"/>
      <c r="I137" s="696">
        <f t="shared" si="0"/>
        <v>0</v>
      </c>
      <c r="J137" s="697"/>
      <c r="K137" s="298"/>
    </row>
    <row r="138" spans="3:19">
      <c r="C138" s="699" t="s">
        <v>224</v>
      </c>
      <c r="D138" s="700"/>
      <c r="E138" s="692"/>
      <c r="F138" s="693"/>
      <c r="G138" s="694"/>
      <c r="H138" s="695"/>
      <c r="I138" s="696">
        <f t="shared" si="0"/>
        <v>0</v>
      </c>
      <c r="J138" s="697"/>
      <c r="K138" s="298"/>
    </row>
    <row r="139" spans="3:19">
      <c r="C139" s="699" t="s">
        <v>212</v>
      </c>
      <c r="D139" s="700"/>
      <c r="E139" s="692"/>
      <c r="F139" s="693"/>
      <c r="G139" s="694"/>
      <c r="H139" s="695"/>
      <c r="I139" s="696">
        <f t="shared" si="0"/>
        <v>0</v>
      </c>
      <c r="J139" s="697"/>
      <c r="K139" s="298"/>
    </row>
    <row r="140" spans="3:19">
      <c r="C140" s="699" t="s">
        <v>213</v>
      </c>
      <c r="D140" s="700"/>
      <c r="E140" s="692"/>
      <c r="F140" s="693"/>
      <c r="G140" s="694"/>
      <c r="H140" s="695"/>
      <c r="I140" s="696">
        <f t="shared" si="0"/>
        <v>0</v>
      </c>
      <c r="J140" s="697"/>
      <c r="K140" s="298"/>
    </row>
    <row r="141" spans="3:19">
      <c r="C141" s="699" t="s">
        <v>214</v>
      </c>
      <c r="D141" s="700"/>
      <c r="E141" s="692"/>
      <c r="F141" s="693"/>
      <c r="G141" s="694"/>
      <c r="H141" s="695"/>
      <c r="I141" s="696">
        <f t="shared" si="0"/>
        <v>0</v>
      </c>
      <c r="J141" s="697"/>
      <c r="K141" s="298"/>
    </row>
    <row r="142" spans="3:19">
      <c r="C142" s="699" t="s">
        <v>215</v>
      </c>
      <c r="D142" s="700"/>
      <c r="E142" s="692"/>
      <c r="F142" s="693"/>
      <c r="G142" s="694"/>
      <c r="H142" s="695"/>
      <c r="I142" s="696">
        <f t="shared" si="0"/>
        <v>0</v>
      </c>
      <c r="J142" s="697"/>
      <c r="K142" s="298"/>
    </row>
    <row r="143" spans="3:19">
      <c r="C143" s="699" t="s">
        <v>955</v>
      </c>
      <c r="D143" s="700"/>
      <c r="E143" s="692"/>
      <c r="F143" s="693"/>
      <c r="G143" s="694"/>
      <c r="H143" s="695"/>
      <c r="I143" s="696">
        <f t="shared" si="0"/>
        <v>0</v>
      </c>
      <c r="J143" s="697"/>
      <c r="K143" s="298"/>
    </row>
    <row r="144" spans="3:19">
      <c r="C144" s="699" t="s">
        <v>216</v>
      </c>
      <c r="D144" s="700"/>
      <c r="E144" s="692"/>
      <c r="F144" s="693"/>
      <c r="G144" s="694"/>
      <c r="H144" s="695"/>
      <c r="I144" s="696">
        <f t="shared" si="0"/>
        <v>0</v>
      </c>
      <c r="J144" s="697"/>
      <c r="K144" s="298"/>
    </row>
    <row r="145" spans="2:16">
      <c r="C145" s="699" t="s">
        <v>217</v>
      </c>
      <c r="D145" s="700"/>
      <c r="E145" s="692"/>
      <c r="F145" s="693"/>
      <c r="G145" s="694"/>
      <c r="H145" s="695"/>
      <c r="I145" s="696">
        <f t="shared" si="0"/>
        <v>0</v>
      </c>
      <c r="J145" s="697"/>
      <c r="K145" s="298"/>
    </row>
    <row r="146" spans="2:16">
      <c r="C146" s="690" t="s">
        <v>218</v>
      </c>
      <c r="D146" s="691"/>
      <c r="E146" s="692"/>
      <c r="F146" s="693"/>
      <c r="G146" s="694"/>
      <c r="H146" s="695"/>
      <c r="I146" s="696">
        <f t="shared" si="0"/>
        <v>0</v>
      </c>
      <c r="J146" s="697"/>
      <c r="K146" s="298"/>
    </row>
    <row r="147" spans="2:16">
      <c r="C147" s="373" t="s">
        <v>219</v>
      </c>
      <c r="D147" s="374"/>
      <c r="E147" s="692"/>
      <c r="F147" s="693"/>
      <c r="G147" s="694"/>
      <c r="H147" s="695"/>
      <c r="I147" s="696">
        <f t="shared" si="0"/>
        <v>0</v>
      </c>
      <c r="J147" s="697"/>
      <c r="K147" s="298"/>
    </row>
    <row r="148" spans="2:16">
      <c r="C148" s="373" t="s">
        <v>220</v>
      </c>
      <c r="D148" s="374"/>
      <c r="E148" s="692"/>
      <c r="F148" s="693"/>
      <c r="G148" s="701"/>
      <c r="H148" s="702"/>
      <c r="I148" s="696">
        <f t="shared" si="0"/>
        <v>0</v>
      </c>
      <c r="J148" s="697"/>
      <c r="K148" s="298" t="str">
        <f>IF($H$131="令和２年度介護事業経営実態調査結果","","人件費を一括入力する場合にはその他①～④の欄をお使いください。")</f>
        <v/>
      </c>
    </row>
    <row r="149" spans="2:16">
      <c r="C149" s="703" t="s">
        <v>1017</v>
      </c>
      <c r="D149" s="704"/>
      <c r="E149" s="692"/>
      <c r="F149" s="693"/>
      <c r="G149" s="701"/>
      <c r="H149" s="702"/>
      <c r="I149" s="696">
        <f t="shared" si="0"/>
        <v>0</v>
      </c>
      <c r="J149" s="697"/>
      <c r="K149" s="298"/>
    </row>
    <row r="150" spans="2:16">
      <c r="C150" s="703" t="s">
        <v>221</v>
      </c>
      <c r="D150" s="704"/>
      <c r="E150" s="692"/>
      <c r="F150" s="693"/>
      <c r="G150" s="701"/>
      <c r="H150" s="702"/>
      <c r="I150" s="696">
        <f t="shared" si="0"/>
        <v>0</v>
      </c>
      <c r="J150" s="697"/>
      <c r="K150" s="298"/>
    </row>
    <row r="151" spans="2:16">
      <c r="C151" s="703" t="s">
        <v>836</v>
      </c>
      <c r="D151" s="704"/>
      <c r="E151" s="692"/>
      <c r="F151" s="693"/>
      <c r="G151" s="701"/>
      <c r="H151" s="702"/>
      <c r="I151" s="696">
        <f t="shared" si="0"/>
        <v>0</v>
      </c>
      <c r="J151" s="697"/>
      <c r="K151" s="298"/>
    </row>
    <row r="152" spans="2:16">
      <c r="C152" s="705" t="s">
        <v>228</v>
      </c>
      <c r="D152" s="706"/>
      <c r="E152" s="705"/>
      <c r="F152" s="706"/>
      <c r="G152" s="707">
        <f>SUM(G135:G151)</f>
        <v>0</v>
      </c>
      <c r="H152" s="708"/>
      <c r="I152" s="696">
        <f>SUM(I135:I151)</f>
        <v>0</v>
      </c>
      <c r="J152" s="697"/>
    </row>
    <row r="153" spans="2:16" ht="20.25" thickBot="1">
      <c r="C153" s="705" t="s">
        <v>222</v>
      </c>
      <c r="D153" s="706"/>
      <c r="E153" s="705"/>
      <c r="F153" s="706"/>
      <c r="G153" s="713">
        <v>0.15</v>
      </c>
      <c r="H153" s="713"/>
      <c r="I153" s="714">
        <f>I152*G153</f>
        <v>0</v>
      </c>
      <c r="J153" s="715"/>
    </row>
    <row r="154" spans="2:16" ht="27.6" customHeight="1" thickBot="1">
      <c r="C154" s="716" t="s">
        <v>61</v>
      </c>
      <c r="D154" s="717"/>
      <c r="E154" s="717"/>
      <c r="F154" s="717"/>
      <c r="G154" s="717"/>
      <c r="H154" s="717"/>
      <c r="I154" s="718" t="str">
        <f>IF(H131="令和２年度介護事業経営実態調査結果","調査結果を採用",SUM(I152:J153))</f>
        <v>調査結果を採用</v>
      </c>
      <c r="J154" s="719"/>
      <c r="K154" s="142"/>
      <c r="L154" s="710"/>
      <c r="M154" s="710"/>
      <c r="N154" s="710"/>
      <c r="P154" s="143"/>
    </row>
    <row r="155" spans="2:16"/>
    <row r="156" spans="2:16" ht="28.5">
      <c r="B156" s="686" t="s">
        <v>752</v>
      </c>
      <c r="C156" s="686"/>
      <c r="D156" s="686"/>
    </row>
    <row r="157" spans="2:16" ht="87.6" customHeight="1">
      <c r="B157" s="372"/>
      <c r="C157" s="372"/>
      <c r="D157" s="372"/>
      <c r="E157" s="711" t="s">
        <v>1070</v>
      </c>
      <c r="F157" s="711"/>
      <c r="G157" s="711"/>
      <c r="H157" s="711"/>
      <c r="I157" s="711"/>
      <c r="J157" s="711"/>
      <c r="K157" s="711"/>
      <c r="L157" s="711"/>
      <c r="M157" s="711"/>
      <c r="N157" s="711"/>
      <c r="O157" s="711"/>
      <c r="P157" s="711"/>
    </row>
    <row r="158" spans="2:16" ht="19.350000000000001" customHeight="1">
      <c r="C158" s="140" t="s">
        <v>1069</v>
      </c>
      <c r="F158" s="141"/>
      <c r="G158" s="141"/>
      <c r="H158" s="698" t="s">
        <v>1115</v>
      </c>
      <c r="I158" s="698"/>
      <c r="J158" s="698"/>
      <c r="K158" s="698"/>
      <c r="L158" s="678" t="str">
        <f>IF(H158="令和２年度介護事業経営実態調査結果","31.4%","")</f>
        <v>31.4%</v>
      </c>
      <c r="M158" s="678"/>
      <c r="N158" s="712" t="str">
        <f>IF(H158="令和２年度介護事業経営実態調査結果",TEXT(T125,"#,##千円"),"")</f>
        <v>千円</v>
      </c>
      <c r="O158" s="712"/>
      <c r="P158" s="680"/>
    </row>
    <row r="159" spans="2:16" ht="19.350000000000001" customHeight="1">
      <c r="F159" s="141"/>
      <c r="G159" s="141"/>
      <c r="H159" s="698"/>
      <c r="I159" s="698"/>
      <c r="J159" s="698"/>
      <c r="K159" s="698"/>
      <c r="L159" s="678"/>
      <c r="M159" s="678"/>
      <c r="N159" s="712"/>
      <c r="O159" s="712"/>
      <c r="P159" s="680"/>
    </row>
    <row r="160" spans="2:16">
      <c r="C160" s="340" t="s">
        <v>838</v>
      </c>
      <c r="D160" s="139"/>
      <c r="E160" s="139"/>
      <c r="L160" s="140" t="str">
        <f>IF($H$158="令和元年度介護事業経営概況調査結果","上記割合を基に収入額から計算します。","")</f>
        <v/>
      </c>
    </row>
    <row r="161" spans="3:26">
      <c r="C161" s="728" t="s">
        <v>225</v>
      </c>
      <c r="D161" s="729"/>
      <c r="E161" s="728" t="s">
        <v>226</v>
      </c>
      <c r="F161" s="729"/>
      <c r="G161" s="728" t="s">
        <v>227</v>
      </c>
      <c r="H161" s="729"/>
      <c r="I161" s="683" t="s">
        <v>230</v>
      </c>
      <c r="J161" s="684"/>
      <c r="L161" s="709" t="str">
        <f>IF($H$158="令和２年度介護事業経営実態調査結果",HYPERLINK("#C193","手順4（結果の出力）へ進む"),"")</f>
        <v>手順4（結果の出力）へ進む</v>
      </c>
      <c r="M161" s="709"/>
      <c r="N161" s="709"/>
      <c r="O161" s="709"/>
    </row>
    <row r="162" spans="3:26">
      <c r="C162" s="720"/>
      <c r="D162" s="721"/>
      <c r="E162" s="722"/>
      <c r="F162" s="723"/>
      <c r="G162" s="724"/>
      <c r="H162" s="725"/>
      <c r="I162" s="726">
        <f>E162*G162</f>
        <v>0</v>
      </c>
      <c r="J162" s="727"/>
    </row>
    <row r="163" spans="3:26">
      <c r="C163" s="720"/>
      <c r="D163" s="721"/>
      <c r="E163" s="722"/>
      <c r="F163" s="723"/>
      <c r="G163" s="724"/>
      <c r="H163" s="725"/>
      <c r="I163" s="726">
        <f t="shared" ref="I163:I185" si="1">E163*G163</f>
        <v>0</v>
      </c>
      <c r="J163" s="727"/>
    </row>
    <row r="164" spans="3:26">
      <c r="C164" s="720"/>
      <c r="D164" s="721"/>
      <c r="E164" s="722"/>
      <c r="F164" s="723"/>
      <c r="G164" s="724"/>
      <c r="H164" s="725"/>
      <c r="I164" s="726">
        <f t="shared" si="1"/>
        <v>0</v>
      </c>
      <c r="J164" s="727"/>
    </row>
    <row r="165" spans="3:26">
      <c r="C165" s="720"/>
      <c r="D165" s="721"/>
      <c r="E165" s="722"/>
      <c r="F165" s="723"/>
      <c r="G165" s="724"/>
      <c r="H165" s="725"/>
      <c r="I165" s="726">
        <f t="shared" si="1"/>
        <v>0</v>
      </c>
      <c r="J165" s="727"/>
    </row>
    <row r="166" spans="3:26">
      <c r="C166" s="720"/>
      <c r="D166" s="721"/>
      <c r="E166" s="722"/>
      <c r="F166" s="723"/>
      <c r="G166" s="724"/>
      <c r="H166" s="725"/>
      <c r="I166" s="726">
        <f t="shared" si="1"/>
        <v>0</v>
      </c>
      <c r="J166" s="727"/>
    </row>
    <row r="167" spans="3:26">
      <c r="C167" s="720"/>
      <c r="D167" s="721"/>
      <c r="E167" s="722"/>
      <c r="F167" s="723"/>
      <c r="G167" s="724"/>
      <c r="H167" s="725"/>
      <c r="I167" s="726">
        <f t="shared" si="1"/>
        <v>0</v>
      </c>
      <c r="J167" s="727"/>
    </row>
    <row r="168" spans="3:26">
      <c r="C168" s="720"/>
      <c r="D168" s="721"/>
      <c r="E168" s="722"/>
      <c r="F168" s="723"/>
      <c r="G168" s="724"/>
      <c r="H168" s="725"/>
      <c r="I168" s="726">
        <f t="shared" si="1"/>
        <v>0</v>
      </c>
      <c r="J168" s="727"/>
      <c r="Z168" s="356"/>
    </row>
    <row r="169" spans="3:26">
      <c r="C169" s="720"/>
      <c r="D169" s="721"/>
      <c r="E169" s="722"/>
      <c r="F169" s="723"/>
      <c r="G169" s="724"/>
      <c r="H169" s="725"/>
      <c r="I169" s="726">
        <f t="shared" si="1"/>
        <v>0</v>
      </c>
      <c r="J169" s="727"/>
    </row>
    <row r="170" spans="3:26">
      <c r="C170" s="720"/>
      <c r="D170" s="721"/>
      <c r="E170" s="722"/>
      <c r="F170" s="723"/>
      <c r="G170" s="724"/>
      <c r="H170" s="725"/>
      <c r="I170" s="726">
        <f t="shared" si="1"/>
        <v>0</v>
      </c>
      <c r="J170" s="727"/>
    </row>
    <row r="171" spans="3:26">
      <c r="C171" s="720"/>
      <c r="D171" s="721"/>
      <c r="E171" s="722"/>
      <c r="F171" s="723"/>
      <c r="G171" s="724"/>
      <c r="H171" s="725"/>
      <c r="I171" s="726">
        <f t="shared" si="1"/>
        <v>0</v>
      </c>
      <c r="J171" s="727"/>
    </row>
    <row r="172" spans="3:26">
      <c r="C172" s="720"/>
      <c r="D172" s="721"/>
      <c r="E172" s="722"/>
      <c r="F172" s="723"/>
      <c r="G172" s="724"/>
      <c r="H172" s="725"/>
      <c r="I172" s="726">
        <f t="shared" si="1"/>
        <v>0</v>
      </c>
      <c r="J172" s="727"/>
    </row>
    <row r="173" spans="3:26">
      <c r="C173" s="720"/>
      <c r="D173" s="721"/>
      <c r="E173" s="722"/>
      <c r="F173" s="723"/>
      <c r="G173" s="724"/>
      <c r="H173" s="725"/>
      <c r="I173" s="726">
        <f t="shared" si="1"/>
        <v>0</v>
      </c>
      <c r="J173" s="727"/>
    </row>
    <row r="174" spans="3:26">
      <c r="C174" s="720"/>
      <c r="D174" s="721"/>
      <c r="E174" s="722"/>
      <c r="F174" s="723"/>
      <c r="G174" s="724"/>
      <c r="H174" s="725"/>
      <c r="I174" s="726">
        <f t="shared" si="1"/>
        <v>0</v>
      </c>
      <c r="J174" s="727"/>
    </row>
    <row r="175" spans="3:26">
      <c r="C175" s="720"/>
      <c r="D175" s="721"/>
      <c r="E175" s="722"/>
      <c r="F175" s="723"/>
      <c r="G175" s="724"/>
      <c r="H175" s="725"/>
      <c r="I175" s="726">
        <f t="shared" si="1"/>
        <v>0</v>
      </c>
      <c r="J175" s="727"/>
    </row>
    <row r="176" spans="3:26">
      <c r="C176" s="720"/>
      <c r="D176" s="721"/>
      <c r="E176" s="722"/>
      <c r="F176" s="723"/>
      <c r="G176" s="724"/>
      <c r="H176" s="725"/>
      <c r="I176" s="726">
        <f t="shared" si="1"/>
        <v>0</v>
      </c>
      <c r="J176" s="727"/>
    </row>
    <row r="177" spans="1:38">
      <c r="C177" s="720"/>
      <c r="D177" s="721"/>
      <c r="E177" s="722"/>
      <c r="F177" s="723"/>
      <c r="G177" s="724"/>
      <c r="H177" s="725"/>
      <c r="I177" s="726">
        <f t="shared" si="1"/>
        <v>0</v>
      </c>
      <c r="J177" s="727"/>
    </row>
    <row r="178" spans="1:38">
      <c r="C178" s="720"/>
      <c r="D178" s="721"/>
      <c r="E178" s="722"/>
      <c r="F178" s="723"/>
      <c r="G178" s="724"/>
      <c r="H178" s="725"/>
      <c r="I178" s="726">
        <f t="shared" si="1"/>
        <v>0</v>
      </c>
      <c r="J178" s="727"/>
    </row>
    <row r="179" spans="1:38">
      <c r="C179" s="720"/>
      <c r="D179" s="721"/>
      <c r="E179" s="722"/>
      <c r="F179" s="723"/>
      <c r="G179" s="724"/>
      <c r="H179" s="725"/>
      <c r="I179" s="726">
        <f t="shared" si="1"/>
        <v>0</v>
      </c>
      <c r="J179" s="727"/>
    </row>
    <row r="180" spans="1:38">
      <c r="C180" s="720"/>
      <c r="D180" s="721"/>
      <c r="E180" s="722"/>
      <c r="F180" s="723"/>
      <c r="G180" s="724"/>
      <c r="H180" s="725"/>
      <c r="I180" s="726">
        <f t="shared" si="1"/>
        <v>0</v>
      </c>
      <c r="J180" s="727"/>
    </row>
    <row r="181" spans="1:38">
      <c r="C181" s="720"/>
      <c r="D181" s="721"/>
      <c r="E181" s="722"/>
      <c r="F181" s="723"/>
      <c r="G181" s="724"/>
      <c r="H181" s="725"/>
      <c r="I181" s="726">
        <f t="shared" si="1"/>
        <v>0</v>
      </c>
      <c r="J181" s="727"/>
    </row>
    <row r="182" spans="1:38">
      <c r="C182" s="720"/>
      <c r="D182" s="721"/>
      <c r="E182" s="722"/>
      <c r="F182" s="723"/>
      <c r="G182" s="724"/>
      <c r="H182" s="725"/>
      <c r="I182" s="726">
        <f t="shared" si="1"/>
        <v>0</v>
      </c>
      <c r="J182" s="727"/>
    </row>
    <row r="183" spans="1:38">
      <c r="C183" s="720"/>
      <c r="D183" s="721"/>
      <c r="E183" s="722"/>
      <c r="F183" s="723"/>
      <c r="G183" s="724"/>
      <c r="H183" s="725"/>
      <c r="I183" s="726">
        <f t="shared" si="1"/>
        <v>0</v>
      </c>
      <c r="J183" s="727"/>
    </row>
    <row r="184" spans="1:38">
      <c r="C184" s="720"/>
      <c r="D184" s="721"/>
      <c r="E184" s="722"/>
      <c r="F184" s="723"/>
      <c r="G184" s="724"/>
      <c r="H184" s="725"/>
      <c r="I184" s="726">
        <f t="shared" si="1"/>
        <v>0</v>
      </c>
      <c r="J184" s="727"/>
    </row>
    <row r="185" spans="1:38" ht="20.25" thickBot="1">
      <c r="C185" s="720"/>
      <c r="D185" s="721"/>
      <c r="E185" s="722"/>
      <c r="F185" s="723"/>
      <c r="G185" s="724"/>
      <c r="H185" s="725"/>
      <c r="I185" s="734">
        <f t="shared" si="1"/>
        <v>0</v>
      </c>
      <c r="J185" s="735"/>
    </row>
    <row r="186" spans="1:38" ht="26.45" customHeight="1" thickBot="1">
      <c r="C186" s="716" t="s">
        <v>61</v>
      </c>
      <c r="D186" s="717"/>
      <c r="E186" s="717"/>
      <c r="F186" s="717"/>
      <c r="G186" s="717"/>
      <c r="H186" s="717"/>
      <c r="I186" s="736" t="str">
        <f>IF(H158="令和２年度介護事業経営実態調査結果","調査結果を採用",SUM(I162:J185))</f>
        <v>調査結果を採用</v>
      </c>
      <c r="J186" s="737"/>
      <c r="K186" s="371"/>
      <c r="L186" s="710"/>
      <c r="M186" s="710"/>
      <c r="N186" s="710"/>
      <c r="O186" s="144"/>
    </row>
    <row r="187" spans="1:38"/>
    <row r="188" spans="1:38"/>
    <row r="189" spans="1:38" s="276" customFormat="1" ht="22.5">
      <c r="A189" s="357" t="s">
        <v>778</v>
      </c>
      <c r="B189" s="277" t="s">
        <v>780</v>
      </c>
      <c r="C189" s="277"/>
      <c r="D189" s="277"/>
      <c r="E189" s="277"/>
      <c r="F189" s="277"/>
      <c r="G189" s="277"/>
      <c r="H189" s="277"/>
      <c r="I189" s="277"/>
      <c r="J189" s="277"/>
      <c r="K189" s="277"/>
      <c r="L189" s="277"/>
      <c r="M189" s="277"/>
      <c r="N189" s="277"/>
      <c r="O189" s="277"/>
      <c r="P189" s="277"/>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row>
    <row r="190" spans="1:38"/>
    <row r="191" spans="1:38" ht="19.350000000000001" customHeight="1">
      <c r="B191" s="738" t="str">
        <f>HYPERLINK("#'出力シート'!A1","シミュレーション結果の出力シートに移動")</f>
        <v>シミュレーション結果の出力シートに移動</v>
      </c>
      <c r="C191" s="738"/>
      <c r="D191" s="738"/>
      <c r="E191" s="738"/>
      <c r="F191" s="738"/>
      <c r="G191" s="738"/>
      <c r="H191" s="738"/>
      <c r="I191" s="738"/>
      <c r="J191" s="738"/>
      <c r="K191" s="738"/>
      <c r="L191" s="738"/>
      <c r="M191" s="738"/>
      <c r="N191" s="738"/>
      <c r="O191" s="738"/>
    </row>
    <row r="192" spans="1:38" ht="19.350000000000001" customHeight="1">
      <c r="B192" s="738"/>
      <c r="C192" s="738"/>
      <c r="D192" s="738"/>
      <c r="E192" s="738"/>
      <c r="F192" s="738"/>
      <c r="G192" s="738"/>
      <c r="H192" s="738"/>
      <c r="I192" s="738"/>
      <c r="J192" s="738"/>
      <c r="K192" s="738"/>
      <c r="L192" s="738"/>
      <c r="M192" s="738"/>
      <c r="N192" s="738"/>
      <c r="O192" s="738"/>
    </row>
    <row r="193" spans="1:38" ht="19.350000000000001" customHeight="1">
      <c r="B193" s="738"/>
      <c r="C193" s="738"/>
      <c r="D193" s="738"/>
      <c r="E193" s="738"/>
      <c r="F193" s="738"/>
      <c r="G193" s="738"/>
      <c r="H193" s="738"/>
      <c r="I193" s="738"/>
      <c r="J193" s="738"/>
      <c r="K193" s="738"/>
      <c r="L193" s="738"/>
      <c r="M193" s="738"/>
      <c r="N193" s="738"/>
      <c r="O193" s="738"/>
    </row>
    <row r="194" spans="1:38"/>
    <row r="195" spans="1:38"/>
    <row r="196" spans="1:38" s="276" customFormat="1" ht="22.5">
      <c r="A196" s="732" t="s">
        <v>967</v>
      </c>
      <c r="B196" s="732"/>
      <c r="C196" s="732"/>
      <c r="D196" s="732"/>
      <c r="E196" s="732"/>
      <c r="F196" s="732"/>
      <c r="G196" s="732"/>
      <c r="H196" s="732"/>
      <c r="I196" s="732"/>
      <c r="J196" s="732"/>
      <c r="K196" s="732"/>
      <c r="L196" s="732"/>
      <c r="M196" s="732"/>
      <c r="N196" s="732"/>
      <c r="O196" s="732"/>
      <c r="P196" s="732"/>
      <c r="Q196" s="245"/>
      <c r="R196" s="245"/>
      <c r="S196" s="245"/>
      <c r="T196" s="245"/>
      <c r="U196" s="245"/>
      <c r="V196" s="245"/>
      <c r="W196" s="245"/>
      <c r="X196" s="245"/>
      <c r="Y196" s="245"/>
      <c r="Z196" s="245"/>
      <c r="AA196" s="245"/>
      <c r="AB196" s="245"/>
      <c r="AC196" s="245"/>
      <c r="AD196" s="245"/>
      <c r="AE196" s="245"/>
      <c r="AF196" s="245"/>
      <c r="AG196" s="245"/>
      <c r="AH196" s="245"/>
      <c r="AI196" s="245"/>
      <c r="AJ196" s="245"/>
      <c r="AK196" s="245"/>
      <c r="AL196" s="245"/>
    </row>
    <row r="197" spans="1:38"/>
    <row r="198" spans="1:38" ht="19.350000000000001" customHeight="1">
      <c r="B198" s="730" t="str">
        <f>HYPERLINK("#'資金計画・借入金返済シミュレーション'!A1","資金計画・借入金返済シミュレーションシートに移動")</f>
        <v>資金計画・借入金返済シミュレーションシートに移動</v>
      </c>
      <c r="C198" s="731"/>
      <c r="D198" s="731"/>
      <c r="E198" s="731"/>
      <c r="F198" s="731"/>
      <c r="G198" s="731"/>
      <c r="H198" s="731"/>
      <c r="I198" s="731"/>
      <c r="J198" s="731"/>
      <c r="K198" s="731"/>
      <c r="L198" s="731"/>
      <c r="M198" s="731"/>
      <c r="N198" s="731"/>
      <c r="O198" s="731"/>
    </row>
    <row r="199" spans="1:38" ht="19.350000000000001" customHeight="1">
      <c r="B199" s="731"/>
      <c r="C199" s="731"/>
      <c r="D199" s="731"/>
      <c r="E199" s="731"/>
      <c r="F199" s="731"/>
      <c r="G199" s="731"/>
      <c r="H199" s="731"/>
      <c r="I199" s="731"/>
      <c r="J199" s="731"/>
      <c r="K199" s="731"/>
      <c r="L199" s="731"/>
      <c r="M199" s="731"/>
      <c r="N199" s="731"/>
      <c r="O199" s="731"/>
    </row>
    <row r="200" spans="1:38" ht="19.350000000000001" customHeight="1">
      <c r="B200" s="731"/>
      <c r="C200" s="731"/>
      <c r="D200" s="731"/>
      <c r="E200" s="731"/>
      <c r="F200" s="731"/>
      <c r="G200" s="731"/>
      <c r="H200" s="731"/>
      <c r="I200" s="731"/>
      <c r="J200" s="731"/>
      <c r="K200" s="731"/>
      <c r="L200" s="731"/>
      <c r="M200" s="731"/>
      <c r="N200" s="731"/>
      <c r="O200" s="731"/>
    </row>
    <row r="201" spans="1:38" ht="28.5">
      <c r="B201" s="228"/>
    </row>
    <row r="202" spans="1:38" ht="22.5">
      <c r="A202" s="732" t="s">
        <v>966</v>
      </c>
      <c r="B202" s="732"/>
      <c r="C202" s="732"/>
      <c r="D202" s="732"/>
      <c r="E202" s="732"/>
      <c r="F202" s="732"/>
      <c r="G202" s="732"/>
      <c r="H202" s="732"/>
      <c r="I202" s="732"/>
      <c r="J202" s="732"/>
      <c r="K202" s="732"/>
      <c r="L202" s="732"/>
      <c r="M202" s="732"/>
      <c r="N202" s="732"/>
      <c r="O202" s="732"/>
      <c r="P202" s="732"/>
    </row>
    <row r="203" spans="1:38"/>
    <row r="204" spans="1:38">
      <c r="B204" s="733" t="str">
        <f>HYPERLINK("#'利用者負担計算シート'!A1","利用者負担計算シートに移動")</f>
        <v>利用者負担計算シートに移動</v>
      </c>
      <c r="C204" s="733"/>
      <c r="D204" s="733"/>
      <c r="E204" s="733"/>
      <c r="F204" s="733"/>
      <c r="G204" s="733"/>
      <c r="H204" s="733"/>
      <c r="I204" s="733"/>
      <c r="J204" s="733"/>
      <c r="K204" s="733"/>
      <c r="L204" s="733"/>
      <c r="M204" s="733"/>
      <c r="N204" s="733"/>
      <c r="O204" s="733"/>
    </row>
    <row r="205" spans="1:38">
      <c r="B205" s="733"/>
      <c r="C205" s="733"/>
      <c r="D205" s="733"/>
      <c r="E205" s="733"/>
      <c r="F205" s="733"/>
      <c r="G205" s="733"/>
      <c r="H205" s="733"/>
      <c r="I205" s="733"/>
      <c r="J205" s="733"/>
      <c r="K205" s="733"/>
      <c r="L205" s="733"/>
      <c r="M205" s="733"/>
      <c r="N205" s="733"/>
      <c r="O205" s="733"/>
    </row>
    <row r="206" spans="1:38">
      <c r="B206" s="733"/>
      <c r="C206" s="733"/>
      <c r="D206" s="733"/>
      <c r="E206" s="733"/>
      <c r="F206" s="733"/>
      <c r="G206" s="733"/>
      <c r="H206" s="733"/>
      <c r="I206" s="733"/>
      <c r="J206" s="733"/>
      <c r="K206" s="733"/>
      <c r="L206" s="733"/>
      <c r="M206" s="733"/>
      <c r="N206" s="733"/>
      <c r="O206" s="733"/>
    </row>
    <row r="220"/>
  </sheetData>
  <sheetProtection algorithmName="SHA-512" hashValue="rI5Znvz8D1qkdwPBY9oSHxe94sA42/7ATwhYnyGK9UWJMDDi0md+a5ymCbZVNs0z5wFpZCoCMUDgWpnDu4iS0g==" saltValue="F5W6wYLJb8o5bq0fNRthHQ==" spinCount="100000" sheet="1" objects="1" scenarios="1"/>
  <mergeCells count="388">
    <mergeCell ref="C183:D183"/>
    <mergeCell ref="E183:F183"/>
    <mergeCell ref="G183:H183"/>
    <mergeCell ref="I183:J183"/>
    <mergeCell ref="C184:D184"/>
    <mergeCell ref="E184:F184"/>
    <mergeCell ref="G184:H184"/>
    <mergeCell ref="I184:J184"/>
    <mergeCell ref="C181:D181"/>
    <mergeCell ref="E181:F181"/>
    <mergeCell ref="G181:H181"/>
    <mergeCell ref="I181:J181"/>
    <mergeCell ref="C182:D182"/>
    <mergeCell ref="E182:F182"/>
    <mergeCell ref="G182:H182"/>
    <mergeCell ref="I182:J182"/>
    <mergeCell ref="B198:O200"/>
    <mergeCell ref="A202:P202"/>
    <mergeCell ref="B204:O206"/>
    <mergeCell ref="C185:D185"/>
    <mergeCell ref="E185:F185"/>
    <mergeCell ref="G185:H185"/>
    <mergeCell ref="I185:J185"/>
    <mergeCell ref="C186:H186"/>
    <mergeCell ref="I186:J186"/>
    <mergeCell ref="L186:N186"/>
    <mergeCell ref="B191:O193"/>
    <mergeCell ref="A196:P196"/>
    <mergeCell ref="C179:D179"/>
    <mergeCell ref="E179:F179"/>
    <mergeCell ref="G179:H179"/>
    <mergeCell ref="I179:J179"/>
    <mergeCell ref="C180:D180"/>
    <mergeCell ref="E180:F180"/>
    <mergeCell ref="G180:H180"/>
    <mergeCell ref="I180:J180"/>
    <mergeCell ref="C177:D177"/>
    <mergeCell ref="E177:F177"/>
    <mergeCell ref="G177:H177"/>
    <mergeCell ref="I177:J177"/>
    <mergeCell ref="C178:D178"/>
    <mergeCell ref="E178:F178"/>
    <mergeCell ref="G178:H178"/>
    <mergeCell ref="I178:J178"/>
    <mergeCell ref="C175:D175"/>
    <mergeCell ref="E175:F175"/>
    <mergeCell ref="G175:H175"/>
    <mergeCell ref="I175:J175"/>
    <mergeCell ref="C176:D176"/>
    <mergeCell ref="E176:F176"/>
    <mergeCell ref="G176:H176"/>
    <mergeCell ref="I176:J176"/>
    <mergeCell ref="C173:D173"/>
    <mergeCell ref="E173:F173"/>
    <mergeCell ref="G173:H173"/>
    <mergeCell ref="I173:J173"/>
    <mergeCell ref="C174:D174"/>
    <mergeCell ref="E174:F174"/>
    <mergeCell ref="G174:H174"/>
    <mergeCell ref="I174:J174"/>
    <mergeCell ref="C171:D171"/>
    <mergeCell ref="E171:F171"/>
    <mergeCell ref="G171:H171"/>
    <mergeCell ref="I171:J171"/>
    <mergeCell ref="C172:D172"/>
    <mergeCell ref="E172:F172"/>
    <mergeCell ref="G172:H172"/>
    <mergeCell ref="I172:J172"/>
    <mergeCell ref="C169:D169"/>
    <mergeCell ref="E169:F169"/>
    <mergeCell ref="G169:H169"/>
    <mergeCell ref="I169:J169"/>
    <mergeCell ref="C170:D170"/>
    <mergeCell ref="E170:F170"/>
    <mergeCell ref="G170:H170"/>
    <mergeCell ref="I170:J170"/>
    <mergeCell ref="C167:D167"/>
    <mergeCell ref="E167:F167"/>
    <mergeCell ref="G167:H167"/>
    <mergeCell ref="I167:J167"/>
    <mergeCell ref="C168:D168"/>
    <mergeCell ref="E168:F168"/>
    <mergeCell ref="G168:H168"/>
    <mergeCell ref="I168:J168"/>
    <mergeCell ref="C165:D165"/>
    <mergeCell ref="E165:F165"/>
    <mergeCell ref="G165:H165"/>
    <mergeCell ref="I165:J165"/>
    <mergeCell ref="C166:D166"/>
    <mergeCell ref="E166:F166"/>
    <mergeCell ref="G166:H166"/>
    <mergeCell ref="I166:J166"/>
    <mergeCell ref="C163:D163"/>
    <mergeCell ref="E163:F163"/>
    <mergeCell ref="G163:H163"/>
    <mergeCell ref="I163:J163"/>
    <mergeCell ref="C164:D164"/>
    <mergeCell ref="E164:F164"/>
    <mergeCell ref="G164:H164"/>
    <mergeCell ref="I164:J164"/>
    <mergeCell ref="C161:D161"/>
    <mergeCell ref="E161:F161"/>
    <mergeCell ref="G161:H161"/>
    <mergeCell ref="I161:J161"/>
    <mergeCell ref="C162:D162"/>
    <mergeCell ref="E162:F162"/>
    <mergeCell ref="G162:H162"/>
    <mergeCell ref="I162:J162"/>
    <mergeCell ref="L161:O161"/>
    <mergeCell ref="L154:N154"/>
    <mergeCell ref="B156:D156"/>
    <mergeCell ref="E157:P157"/>
    <mergeCell ref="H158:K159"/>
    <mergeCell ref="L158:M159"/>
    <mergeCell ref="N158:O159"/>
    <mergeCell ref="P158:P159"/>
    <mergeCell ref="C153:D153"/>
    <mergeCell ref="E153:F153"/>
    <mergeCell ref="G153:H153"/>
    <mergeCell ref="I153:J153"/>
    <mergeCell ref="C154:H154"/>
    <mergeCell ref="I154:J154"/>
    <mergeCell ref="C151:D151"/>
    <mergeCell ref="E151:F151"/>
    <mergeCell ref="G151:H151"/>
    <mergeCell ref="I151:J151"/>
    <mergeCell ref="C152:D152"/>
    <mergeCell ref="E152:F152"/>
    <mergeCell ref="G152:H152"/>
    <mergeCell ref="I152:J152"/>
    <mergeCell ref="C149:D149"/>
    <mergeCell ref="E149:F149"/>
    <mergeCell ref="G149:H149"/>
    <mergeCell ref="I149:J149"/>
    <mergeCell ref="C150:D150"/>
    <mergeCell ref="E150:F150"/>
    <mergeCell ref="G150:H150"/>
    <mergeCell ref="I150:J150"/>
    <mergeCell ref="E147:F147"/>
    <mergeCell ref="G147:H147"/>
    <mergeCell ref="I147:J147"/>
    <mergeCell ref="E148:F148"/>
    <mergeCell ref="G148:H148"/>
    <mergeCell ref="I148:J148"/>
    <mergeCell ref="C145:D145"/>
    <mergeCell ref="E145:F145"/>
    <mergeCell ref="G145:H145"/>
    <mergeCell ref="I145:J145"/>
    <mergeCell ref="E146:F146"/>
    <mergeCell ref="G146:H146"/>
    <mergeCell ref="I146:J146"/>
    <mergeCell ref="C146:D146"/>
    <mergeCell ref="C143:D143"/>
    <mergeCell ref="E143:F143"/>
    <mergeCell ref="G143:H143"/>
    <mergeCell ref="I143:J143"/>
    <mergeCell ref="C144:D144"/>
    <mergeCell ref="E144:F144"/>
    <mergeCell ref="G144:H144"/>
    <mergeCell ref="I144:J144"/>
    <mergeCell ref="C141:D141"/>
    <mergeCell ref="E141:F141"/>
    <mergeCell ref="G141:H141"/>
    <mergeCell ref="I141:J141"/>
    <mergeCell ref="C142:D142"/>
    <mergeCell ref="E142:F142"/>
    <mergeCell ref="G142:H142"/>
    <mergeCell ref="I142:J142"/>
    <mergeCell ref="C139:D139"/>
    <mergeCell ref="E139:F139"/>
    <mergeCell ref="G139:H139"/>
    <mergeCell ref="I139:J139"/>
    <mergeCell ref="C140:D140"/>
    <mergeCell ref="E140:F140"/>
    <mergeCell ref="G140:H140"/>
    <mergeCell ref="I140:J140"/>
    <mergeCell ref="C137:D137"/>
    <mergeCell ref="E137:F137"/>
    <mergeCell ref="G137:H137"/>
    <mergeCell ref="I137:J137"/>
    <mergeCell ref="C138:D138"/>
    <mergeCell ref="E138:F138"/>
    <mergeCell ref="G138:H138"/>
    <mergeCell ref="I138:J138"/>
    <mergeCell ref="C135:D135"/>
    <mergeCell ref="E135:F135"/>
    <mergeCell ref="G135:H135"/>
    <mergeCell ref="I135:J135"/>
    <mergeCell ref="C136:D136"/>
    <mergeCell ref="E136:F136"/>
    <mergeCell ref="G136:H136"/>
    <mergeCell ref="I136:J136"/>
    <mergeCell ref="H131:K132"/>
    <mergeCell ref="L131:M132"/>
    <mergeCell ref="N131:O132"/>
    <mergeCell ref="P131:P132"/>
    <mergeCell ref="C134:D134"/>
    <mergeCell ref="E134:F134"/>
    <mergeCell ref="G134:H134"/>
    <mergeCell ref="I134:J134"/>
    <mergeCell ref="L134:N134"/>
    <mergeCell ref="D120:K120"/>
    <mergeCell ref="M120:O120"/>
    <mergeCell ref="M121:O121"/>
    <mergeCell ref="B128:D128"/>
    <mergeCell ref="E130:P130"/>
    <mergeCell ref="E129:P129"/>
    <mergeCell ref="M118:O118"/>
    <mergeCell ref="E119:F119"/>
    <mergeCell ref="G119:H119"/>
    <mergeCell ref="M119:O119"/>
    <mergeCell ref="M114:N114"/>
    <mergeCell ref="D116:I116"/>
    <mergeCell ref="M116:P116"/>
    <mergeCell ref="E117:F117"/>
    <mergeCell ref="G117:H117"/>
    <mergeCell ref="M117:O117"/>
    <mergeCell ref="E112:F112"/>
    <mergeCell ref="G112:H112"/>
    <mergeCell ref="E113:F113"/>
    <mergeCell ref="G113:H113"/>
    <mergeCell ref="E114:F114"/>
    <mergeCell ref="G114:H114"/>
    <mergeCell ref="D105:E105"/>
    <mergeCell ref="I105:I114"/>
    <mergeCell ref="E118:F118"/>
    <mergeCell ref="G118:H118"/>
    <mergeCell ref="L105:P105"/>
    <mergeCell ref="E108:F108"/>
    <mergeCell ref="G108:H108"/>
    <mergeCell ref="E109:F109"/>
    <mergeCell ref="G109:H109"/>
    <mergeCell ref="E110:F110"/>
    <mergeCell ref="G110:H110"/>
    <mergeCell ref="E111:F111"/>
    <mergeCell ref="D97:K97"/>
    <mergeCell ref="M97:O97"/>
    <mergeCell ref="M98:O98"/>
    <mergeCell ref="J104:K104"/>
    <mergeCell ref="L104:P104"/>
    <mergeCell ref="A100:I100"/>
    <mergeCell ref="G111:H111"/>
    <mergeCell ref="O106:P106"/>
    <mergeCell ref="M95:O95"/>
    <mergeCell ref="E96:F96"/>
    <mergeCell ref="G96:H96"/>
    <mergeCell ref="M96:O96"/>
    <mergeCell ref="M91:N91"/>
    <mergeCell ref="D93:I93"/>
    <mergeCell ref="M93:P93"/>
    <mergeCell ref="E94:F94"/>
    <mergeCell ref="G94:H94"/>
    <mergeCell ref="M94:O94"/>
    <mergeCell ref="E89:F89"/>
    <mergeCell ref="G89:H89"/>
    <mergeCell ref="E90:F90"/>
    <mergeCell ref="G90:H90"/>
    <mergeCell ref="E91:F91"/>
    <mergeCell ref="G91:H91"/>
    <mergeCell ref="D82:E82"/>
    <mergeCell ref="I82:I91"/>
    <mergeCell ref="E95:F95"/>
    <mergeCell ref="G95:H95"/>
    <mergeCell ref="L82:P82"/>
    <mergeCell ref="E85:F85"/>
    <mergeCell ref="G85:H85"/>
    <mergeCell ref="E86:F86"/>
    <mergeCell ref="G86:H86"/>
    <mergeCell ref="E87:F87"/>
    <mergeCell ref="G87:H87"/>
    <mergeCell ref="E88:F88"/>
    <mergeCell ref="D74:K74"/>
    <mergeCell ref="M74:O74"/>
    <mergeCell ref="M75:O75"/>
    <mergeCell ref="J81:K81"/>
    <mergeCell ref="L81:P81"/>
    <mergeCell ref="A77:I77"/>
    <mergeCell ref="G88:H88"/>
    <mergeCell ref="O83:P83"/>
    <mergeCell ref="E72:F72"/>
    <mergeCell ref="G72:H72"/>
    <mergeCell ref="M72:O72"/>
    <mergeCell ref="E73:F73"/>
    <mergeCell ref="G73:H73"/>
    <mergeCell ref="M73:O73"/>
    <mergeCell ref="E68:F68"/>
    <mergeCell ref="G68:H68"/>
    <mergeCell ref="M68:N68"/>
    <mergeCell ref="D70:I70"/>
    <mergeCell ref="M70:P70"/>
    <mergeCell ref="E71:F71"/>
    <mergeCell ref="G71:H71"/>
    <mergeCell ref="M71:O71"/>
    <mergeCell ref="L58:P58"/>
    <mergeCell ref="D59:E59"/>
    <mergeCell ref="I59:I68"/>
    <mergeCell ref="L59:P59"/>
    <mergeCell ref="E62:F62"/>
    <mergeCell ref="G62:H62"/>
    <mergeCell ref="E63:F63"/>
    <mergeCell ref="G63:H63"/>
    <mergeCell ref="E64:F64"/>
    <mergeCell ref="J59:K59"/>
    <mergeCell ref="O60:P60"/>
    <mergeCell ref="A54:I54"/>
    <mergeCell ref="G64:H64"/>
    <mergeCell ref="E65:F65"/>
    <mergeCell ref="G65:H65"/>
    <mergeCell ref="E66:F66"/>
    <mergeCell ref="G66:H66"/>
    <mergeCell ref="E67:F67"/>
    <mergeCell ref="G67:H67"/>
    <mergeCell ref="J58:K58"/>
    <mergeCell ref="E50:F50"/>
    <mergeCell ref="G50:H50"/>
    <mergeCell ref="M50:O50"/>
    <mergeCell ref="D51:K51"/>
    <mergeCell ref="M51:O51"/>
    <mergeCell ref="M52:O52"/>
    <mergeCell ref="E48:F48"/>
    <mergeCell ref="G48:H48"/>
    <mergeCell ref="M48:O48"/>
    <mergeCell ref="E49:F49"/>
    <mergeCell ref="G49:H49"/>
    <mergeCell ref="M49:O49"/>
    <mergeCell ref="D47:I47"/>
    <mergeCell ref="M47:P47"/>
    <mergeCell ref="G40:H40"/>
    <mergeCell ref="E41:F41"/>
    <mergeCell ref="G41:H41"/>
    <mergeCell ref="E42:F42"/>
    <mergeCell ref="G42:H42"/>
    <mergeCell ref="E43:F43"/>
    <mergeCell ref="G43:H43"/>
    <mergeCell ref="L26:M26"/>
    <mergeCell ref="D34:H34"/>
    <mergeCell ref="J35:K35"/>
    <mergeCell ref="L35:P35"/>
    <mergeCell ref="D36:E36"/>
    <mergeCell ref="I36:I45"/>
    <mergeCell ref="L36:P36"/>
    <mergeCell ref="E39:F39"/>
    <mergeCell ref="G39:H39"/>
    <mergeCell ref="E40:F40"/>
    <mergeCell ref="E44:F44"/>
    <mergeCell ref="G44:H44"/>
    <mergeCell ref="E45:F45"/>
    <mergeCell ref="G45:H45"/>
    <mergeCell ref="M45:N45"/>
    <mergeCell ref="O37:P37"/>
    <mergeCell ref="A24:B24"/>
    <mergeCell ref="D24:H24"/>
    <mergeCell ref="I24:K24"/>
    <mergeCell ref="L24:M24"/>
    <mergeCell ref="A25:B25"/>
    <mergeCell ref="D25:H25"/>
    <mergeCell ref="I25:K25"/>
    <mergeCell ref="L25:M25"/>
    <mergeCell ref="A22:B22"/>
    <mergeCell ref="D22:H22"/>
    <mergeCell ref="I22:K22"/>
    <mergeCell ref="L22:M22"/>
    <mergeCell ref="A23:B23"/>
    <mergeCell ref="D23:H23"/>
    <mergeCell ref="I23:K23"/>
    <mergeCell ref="L23:M23"/>
    <mergeCell ref="D14:F14"/>
    <mergeCell ref="H14:L14"/>
    <mergeCell ref="D21:H21"/>
    <mergeCell ref="I21:K21"/>
    <mergeCell ref="L21:M21"/>
    <mergeCell ref="U21:W21"/>
    <mergeCell ref="A1:P1"/>
    <mergeCell ref="D8:F8"/>
    <mergeCell ref="H8:J8"/>
    <mergeCell ref="D9:F9"/>
    <mergeCell ref="H9:J9"/>
    <mergeCell ref="D13:F13"/>
    <mergeCell ref="H13:L13"/>
    <mergeCell ref="S11:V11"/>
    <mergeCell ref="S3:U3"/>
    <mergeCell ref="S4:U4"/>
    <mergeCell ref="S5:U5"/>
    <mergeCell ref="S6:U6"/>
    <mergeCell ref="S7:U7"/>
    <mergeCell ref="S8:U8"/>
    <mergeCell ref="S9:U9"/>
    <mergeCell ref="A2:C2"/>
  </mergeCells>
  <phoneticPr fontId="2"/>
  <conditionalFormatting sqref="H9:J9">
    <cfRule type="expression" dxfId="55" priority="16">
      <formula>AND($D$14="その他",$H$9&lt;&gt;"その他の地域")</formula>
    </cfRule>
    <cfRule type="expression" dxfId="54" priority="17">
      <formula>AND($D$14="その他",$H$9="")</formula>
    </cfRule>
  </conditionalFormatting>
  <conditionalFormatting sqref="C134:J145 C147:J154 C146 E146:J146">
    <cfRule type="expression" dxfId="53" priority="15">
      <formula>$H$131="令和２年度介護事業経営実態調査結果"</formula>
    </cfRule>
  </conditionalFormatting>
  <conditionalFormatting sqref="C162:J186 C161:J161">
    <cfRule type="expression" dxfId="52" priority="14" stopIfTrue="1">
      <formula>$H$158="令和２年度介護事業経営実態調査結果"</formula>
    </cfRule>
  </conditionalFormatting>
  <conditionalFormatting sqref="J35:K45">
    <cfRule type="expression" dxfId="51" priority="13">
      <formula>NOT($E$37="")</formula>
    </cfRule>
  </conditionalFormatting>
  <conditionalFormatting sqref="D35:H45">
    <cfRule type="expression" dxfId="50" priority="12">
      <formula>NOT($K$45="-")</formula>
    </cfRule>
  </conditionalFormatting>
  <conditionalFormatting sqref="J60:K68 J59">
    <cfRule type="expression" dxfId="49" priority="11">
      <formula>NOT($E$60="")</formula>
    </cfRule>
  </conditionalFormatting>
  <conditionalFormatting sqref="D58:H68">
    <cfRule type="expression" dxfId="48" priority="10">
      <formula>NOT($K$68="-")</formula>
    </cfRule>
  </conditionalFormatting>
  <conditionalFormatting sqref="D81:H91">
    <cfRule type="expression" dxfId="47" priority="9">
      <formula>NOT($K$91="-")</formula>
    </cfRule>
  </conditionalFormatting>
  <conditionalFormatting sqref="J82:K91">
    <cfRule type="expression" dxfId="46" priority="8">
      <formula>NOT($E$83="")</formula>
    </cfRule>
  </conditionalFormatting>
  <conditionalFormatting sqref="J105:K114">
    <cfRule type="expression" dxfId="45" priority="7">
      <formula>NOT($E$106="")</formula>
    </cfRule>
  </conditionalFormatting>
  <conditionalFormatting sqref="D104:H114">
    <cfRule type="expression" dxfId="44" priority="6">
      <formula>NOT($K$114="-")</formula>
    </cfRule>
  </conditionalFormatting>
  <conditionalFormatting sqref="J58:K58">
    <cfRule type="expression" dxfId="43" priority="4">
      <formula>NOT($E$37="")</formula>
    </cfRule>
  </conditionalFormatting>
  <conditionalFormatting sqref="J81:K81">
    <cfRule type="expression" dxfId="42" priority="3">
      <formula>NOT($E$37="")</formula>
    </cfRule>
  </conditionalFormatting>
  <conditionalFormatting sqref="J104:K104">
    <cfRule type="expression" dxfId="41" priority="2">
      <formula>NOT($E$37="")</formula>
    </cfRule>
  </conditionalFormatting>
  <dataValidations count="20">
    <dataValidation type="decimal" allowBlank="1" showInputMessage="1" showErrorMessage="1" error="数字で入力してください" sqref="E162:H185" xr:uid="{00000000-0002-0000-0100-000000000000}">
      <formula1>0</formula1>
      <formula2>9999999999</formula2>
    </dataValidation>
    <dataValidation type="decimal" allowBlank="1" showInputMessage="1" showErrorMessage="1" error="数字で入力してください" sqref="E135:H151" xr:uid="{00000000-0002-0000-0100-000001000000}">
      <formula1>0</formula1>
      <formula2>999999999</formula2>
    </dataValidation>
    <dataValidation type="whole" allowBlank="1" showErrorMessage="1" error="0円～9,999円で入力してください" sqref="G50:H50 G48:H48 G119:H119 G73:H73 G71:H71 G96:H96 G94:H94 G117:H117" xr:uid="{00000000-0002-0000-0100-000002000000}">
      <formula1>0</formula1>
      <formula2>9999</formula2>
    </dataValidation>
    <dataValidation type="list" allowBlank="1" showInputMessage="1" showErrorMessage="1" sqref="I25:K25" xr:uid="{00000000-0002-0000-0100-000003000000}">
      <formula1>INDIRECT($S$25)</formula1>
    </dataValidation>
    <dataValidation type="list" allowBlank="1" showInputMessage="1" showErrorMessage="1" sqref="I24:K24" xr:uid="{00000000-0002-0000-0100-000004000000}">
      <formula1>INDIRECT($S$24)</formula1>
    </dataValidation>
    <dataValidation type="list" allowBlank="1" showInputMessage="1" showErrorMessage="1" sqref="I23:K23" xr:uid="{00000000-0002-0000-0100-000005000000}">
      <formula1>INDIRECT($S$23)</formula1>
    </dataValidation>
    <dataValidation type="list" allowBlank="1" showInputMessage="1" showErrorMessage="1" sqref="I22:K22" xr:uid="{00000000-0002-0000-0100-000006000000}">
      <formula1>INDIRECT($S$22)</formula1>
    </dataValidation>
    <dataValidation type="whole" allowBlank="1" showInputMessage="1" showErrorMessage="1" sqref="E109:F112" xr:uid="{00000000-0002-0000-0100-000007000000}">
      <formula1>0</formula1>
      <formula2>100</formula2>
    </dataValidation>
    <dataValidation type="decimal" allowBlank="1" showInputMessage="1" showErrorMessage="1" promptTitle="数字の入力方法" prompt="%は不要。0から100までの値を入力してください" sqref="E37" xr:uid="{00000000-0002-0000-0100-000008000000}">
      <formula1>0</formula1>
      <formula2>100</formula2>
    </dataValidation>
    <dataValidation type="decimal" allowBlank="1" showInputMessage="1" showErrorMessage="1" errorTitle="数値の範囲エラー" error="0～100の数値で入力してください" promptTitle="数字の入力方法" prompt="%は不要。0から100までの値を入力してください" sqref="E40:F43" xr:uid="{00000000-0002-0000-0100-000009000000}">
      <formula1>0</formula1>
      <formula2>100</formula2>
    </dataValidation>
    <dataValidation type="list" allowBlank="1" showInputMessage="1" showErrorMessage="1" sqref="D22:H25" xr:uid="{00000000-0002-0000-0100-00000A000000}">
      <formula1>施設種類</formula1>
    </dataValidation>
    <dataValidation type="list" allowBlank="1" showInputMessage="1" showErrorMessage="1" sqref="H158:K159 H131:K132" xr:uid="{00000000-0002-0000-0100-00000B000000}">
      <formula1>"令和２年度介護事業経営実態調査結果,個別に入力"</formula1>
    </dataValidation>
    <dataValidation allowBlank="1" showInputMessage="1" showErrorMessage="1" promptTitle="数字の入力方法" prompt="%は不要で、0から100までの値を入力してください" sqref="E113 E67 E90" xr:uid="{00000000-0002-0000-0100-00000C000000}"/>
    <dataValidation type="whole" allowBlank="1" showInputMessage="1" showErrorMessage="1" sqref="K109:K113 K86:K90 K63:K67 K40:K44" xr:uid="{00000000-0002-0000-0100-00000D000000}">
      <formula1>0</formula1>
      <formula2>999999</formula2>
    </dataValidation>
    <dataValidation type="decimal" allowBlank="1" showInputMessage="1" showErrorMessage="1" promptTitle="数字の入力方法" prompt="%は不要で、0から100までの値を入力してください" sqref="F36 F105 D60:E61 D37:D38 F82 D83:E84 F59 D106:E107" xr:uid="{00000000-0002-0000-0100-00000E000000}">
      <formula1>0</formula1>
      <formula2>100</formula2>
    </dataValidation>
    <dataValidation type="whole" allowBlank="1" showInputMessage="1" showErrorMessage="1" promptTitle="数値直接入力" prompt="定員数を半角数字で入力してください。" sqref="L22:M25" xr:uid="{00000000-0002-0000-0100-00000F000000}">
      <formula1>0</formula1>
      <formula2>999</formula2>
    </dataValidation>
    <dataValidation type="list" allowBlank="1" showInputMessage="1" showErrorMessage="1" promptTitle="プルダウンメニュー" prompt="プルダウンメニューから区市町村を選択してください_x000a_グレーアウトの場合は入力不要です_x000a_" sqref="H9:J9" xr:uid="{00000000-0002-0000-0100-000010000000}">
      <formula1>INDIRECT(D9)</formula1>
    </dataValidation>
    <dataValidation type="list" allowBlank="1" showInputMessage="1" showErrorMessage="1" promptTitle="プルダウンメニュー" prompt="プルダウンメニューから「都道府県名」を選択してください" sqref="D9:F9" xr:uid="{00000000-0002-0000-0100-000011000000}">
      <formula1>LIST_PREF</formula1>
    </dataValidation>
    <dataValidation type="whole" errorStyle="warning" allowBlank="1" showInputMessage="1" showErrorMessage="1" errorTitle="入力できるのは1から12までです" sqref="F2" xr:uid="{F61D5B3A-8BDB-4471-8901-1FBAE46C3901}">
      <formula1>1</formula1>
      <formula2>12</formula2>
    </dataValidation>
    <dataValidation type="whole" errorStyle="warning" allowBlank="1" showInputMessage="1" showErrorMessage="1" errorTitle="入力できるのは1から31までです" sqref="H2" xr:uid="{8DCD22B2-38BF-412B-BA7A-9E6F1905109D}">
      <formula1>1</formula1>
      <formula2>31</formula2>
    </dataValidation>
  </dataValidations>
  <pageMargins left="0.7" right="0.7" top="0.75" bottom="0.75" header="0.3" footer="0.3"/>
  <pageSetup paperSize="9" scale="48" orientation="portrait" r:id="rId1"/>
  <rowBreaks count="2" manualBreakCount="2">
    <brk id="75" max="16383" man="1"/>
    <brk id="155"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
  <sheetViews>
    <sheetView topLeftCell="A10" workbookViewId="0">
      <selection activeCell="L26" sqref="L26"/>
    </sheetView>
  </sheetViews>
  <sheetFormatPr defaultRowHeight="13.5"/>
  <sheetData/>
  <phoneticPr fontId="2"/>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B1:I32"/>
  <sheetViews>
    <sheetView topLeftCell="A7" workbookViewId="0">
      <selection activeCell="K15" sqref="K15"/>
    </sheetView>
  </sheetViews>
  <sheetFormatPr defaultRowHeight="13.5"/>
  <cols>
    <col min="1" max="1" width="1.875" customWidth="1"/>
    <col min="2" max="2" width="22.125" customWidth="1"/>
    <col min="9" max="9" width="18.375" customWidth="1"/>
  </cols>
  <sheetData>
    <row r="1" spans="2:9" ht="14.25" thickBot="1"/>
    <row r="2" spans="2:9" ht="13.7" customHeight="1">
      <c r="B2" s="10" t="s">
        <v>67</v>
      </c>
      <c r="C2" s="1015" t="s">
        <v>76</v>
      </c>
      <c r="D2" s="1015"/>
      <c r="E2" s="1015"/>
      <c r="F2" s="1015"/>
      <c r="G2" s="1015"/>
      <c r="H2" s="1015"/>
      <c r="I2" s="1016"/>
    </row>
    <row r="3" spans="2:9" ht="13.7" customHeight="1">
      <c r="B3" s="11" t="s">
        <v>73</v>
      </c>
      <c r="C3" s="1017" t="s">
        <v>77</v>
      </c>
      <c r="D3" s="1017"/>
      <c r="E3" s="1017"/>
      <c r="F3" s="1017"/>
      <c r="G3" s="1017"/>
      <c r="H3" s="1017"/>
      <c r="I3" s="1018"/>
    </row>
    <row r="4" spans="2:9" ht="13.7" customHeight="1">
      <c r="B4" s="11" t="s">
        <v>74</v>
      </c>
      <c r="C4" s="1017" t="s">
        <v>78</v>
      </c>
      <c r="D4" s="1017"/>
      <c r="E4" s="1017"/>
      <c r="F4" s="1017"/>
      <c r="G4" s="1017"/>
      <c r="H4" s="1017"/>
      <c r="I4" s="1018"/>
    </row>
    <row r="5" spans="2:9" ht="13.7" customHeight="1">
      <c r="B5" s="11" t="s">
        <v>75</v>
      </c>
      <c r="C5" s="1017" t="s">
        <v>79</v>
      </c>
      <c r="D5" s="1017"/>
      <c r="E5" s="1017"/>
      <c r="F5" s="1017"/>
      <c r="G5" s="1017"/>
      <c r="H5" s="1017"/>
      <c r="I5" s="1018"/>
    </row>
    <row r="6" spans="2:9" ht="13.7" customHeight="1" thickBot="1">
      <c r="B6" s="12" t="s">
        <v>80</v>
      </c>
      <c r="C6" s="1019" t="s">
        <v>81</v>
      </c>
      <c r="D6" s="1019"/>
      <c r="E6" s="1019"/>
      <c r="F6" s="1019"/>
      <c r="G6" s="1019"/>
      <c r="H6" s="1019"/>
      <c r="I6" s="1020"/>
    </row>
    <row r="8" spans="2:9" ht="14.25" thickBot="1"/>
    <row r="9" spans="2:9">
      <c r="B9" s="88" t="s">
        <v>67</v>
      </c>
      <c r="C9" s="90" t="s">
        <v>68</v>
      </c>
      <c r="D9" s="1013" t="s">
        <v>69</v>
      </c>
      <c r="E9" s="1013"/>
      <c r="F9" s="1013"/>
      <c r="G9" s="1014"/>
    </row>
    <row r="10" spans="2:9" ht="34.5" customHeight="1">
      <c r="B10" s="89"/>
      <c r="C10" s="91"/>
      <c r="D10" s="9" t="s">
        <v>70</v>
      </c>
      <c r="E10" s="9" t="s">
        <v>59</v>
      </c>
      <c r="F10" s="9" t="s">
        <v>71</v>
      </c>
      <c r="G10" s="13" t="s">
        <v>72</v>
      </c>
    </row>
    <row r="11" spans="2:9">
      <c r="B11" s="11" t="s">
        <v>944</v>
      </c>
      <c r="C11" s="20">
        <v>300</v>
      </c>
      <c r="D11" s="20">
        <v>0</v>
      </c>
      <c r="E11" s="20">
        <v>490</v>
      </c>
      <c r="F11" s="20">
        <v>490</v>
      </c>
      <c r="G11" s="22">
        <v>820</v>
      </c>
    </row>
    <row r="12" spans="2:9">
      <c r="B12" s="11" t="s">
        <v>943</v>
      </c>
      <c r="C12" s="557">
        <v>390</v>
      </c>
      <c r="D12" s="20">
        <v>370</v>
      </c>
      <c r="E12" s="20">
        <v>490</v>
      </c>
      <c r="F12" s="20">
        <v>490</v>
      </c>
      <c r="G12" s="22">
        <v>820</v>
      </c>
    </row>
    <row r="13" spans="2:9">
      <c r="B13" s="11" t="s">
        <v>1066</v>
      </c>
      <c r="C13" s="557">
        <v>650</v>
      </c>
      <c r="D13" s="20">
        <v>370</v>
      </c>
      <c r="E13" s="20">
        <v>1310</v>
      </c>
      <c r="F13" s="20">
        <v>1310</v>
      </c>
      <c r="G13" s="22">
        <v>1310</v>
      </c>
    </row>
    <row r="14" spans="2:9">
      <c r="B14" s="89" t="s">
        <v>1067</v>
      </c>
      <c r="C14" s="462">
        <v>1360</v>
      </c>
      <c r="D14" s="20">
        <v>370</v>
      </c>
      <c r="E14" s="20">
        <v>1310</v>
      </c>
      <c r="F14" s="20">
        <v>1310</v>
      </c>
      <c r="G14" s="22">
        <v>1310</v>
      </c>
    </row>
    <row r="15" spans="2:9" ht="14.25" thickBot="1">
      <c r="B15" s="12" t="s">
        <v>942</v>
      </c>
      <c r="C15" s="461">
        <v>1445</v>
      </c>
      <c r="D15" s="21">
        <v>377</v>
      </c>
      <c r="E15" s="21">
        <v>1668</v>
      </c>
      <c r="F15" s="21">
        <v>1668</v>
      </c>
      <c r="G15" s="23">
        <v>2006</v>
      </c>
    </row>
    <row r="17" spans="2:3" ht="14.25" thickBot="1">
      <c r="B17" s="16" t="s">
        <v>83</v>
      </c>
    </row>
    <row r="18" spans="2:3">
      <c r="B18" s="14" t="s">
        <v>59</v>
      </c>
      <c r="C18" s="17">
        <v>1668</v>
      </c>
    </row>
    <row r="19" spans="2:3">
      <c r="B19" s="26" t="s">
        <v>95</v>
      </c>
      <c r="C19" s="18">
        <v>377</v>
      </c>
    </row>
    <row r="20" spans="2:3">
      <c r="B20" s="27" t="s">
        <v>128</v>
      </c>
      <c r="C20" s="29">
        <v>1668</v>
      </c>
    </row>
    <row r="21" spans="2:3" ht="14.25" thickBot="1">
      <c r="B21" s="28" t="s">
        <v>103</v>
      </c>
      <c r="C21" s="19">
        <v>2006</v>
      </c>
    </row>
    <row r="23" spans="2:3" ht="14.25" thickBot="1"/>
    <row r="24" spans="2:3">
      <c r="B24" s="92" t="s">
        <v>939</v>
      </c>
      <c r="C24" s="93">
        <v>15000</v>
      </c>
    </row>
    <row r="25" spans="2:3">
      <c r="B25" s="94" t="s">
        <v>940</v>
      </c>
      <c r="C25" s="95">
        <v>15000</v>
      </c>
    </row>
    <row r="26" spans="2:3">
      <c r="B26" s="469" t="s">
        <v>1066</v>
      </c>
      <c r="C26" s="466">
        <v>24600</v>
      </c>
    </row>
    <row r="27" spans="2:3">
      <c r="B27" s="469" t="s">
        <v>1067</v>
      </c>
      <c r="C27" s="466">
        <v>24600</v>
      </c>
    </row>
    <row r="28" spans="2:3" ht="14.25" thickBot="1">
      <c r="B28" s="96" t="s">
        <v>941</v>
      </c>
      <c r="C28" s="97">
        <v>44400</v>
      </c>
    </row>
    <row r="29" spans="2:3" ht="14.25" thickBot="1"/>
    <row r="30" spans="2:3">
      <c r="B30" s="463" t="s">
        <v>1062</v>
      </c>
      <c r="C30" s="464">
        <v>44400</v>
      </c>
    </row>
    <row r="31" spans="2:3">
      <c r="B31" s="465" t="s">
        <v>1063</v>
      </c>
      <c r="C31" s="466">
        <v>93000</v>
      </c>
    </row>
    <row r="32" spans="2:3" ht="14.25" thickBot="1">
      <c r="B32" s="467" t="s">
        <v>1064</v>
      </c>
      <c r="C32" s="468">
        <v>140100</v>
      </c>
    </row>
  </sheetData>
  <mergeCells count="6">
    <mergeCell ref="D9:G9"/>
    <mergeCell ref="C2:I2"/>
    <mergeCell ref="C3:I3"/>
    <mergeCell ref="C4:I4"/>
    <mergeCell ref="C5:I5"/>
    <mergeCell ref="C6:I6"/>
  </mergeCells>
  <phoneticPr fontId="2"/>
  <pageMargins left="0.7" right="0.7" top="0.75" bottom="0.75" header="0.3" footer="0.3"/>
  <pageSetup paperSize="9" orientation="landscape" horizontalDpi="240" verticalDpi="24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K450"/>
  <sheetViews>
    <sheetView topLeftCell="A37" zoomScale="115" zoomScaleNormal="115" workbookViewId="0">
      <selection activeCell="J45" sqref="J45"/>
    </sheetView>
  </sheetViews>
  <sheetFormatPr defaultRowHeight="13.5"/>
  <cols>
    <col min="1" max="1" width="6.5" bestFit="1" customWidth="1"/>
    <col min="2" max="2" width="11.625" bestFit="1" customWidth="1"/>
    <col min="3" max="4" width="10.375" customWidth="1"/>
    <col min="5" max="5" width="24.875" bestFit="1" customWidth="1"/>
    <col min="6" max="6" width="11.625" bestFit="1" customWidth="1"/>
    <col min="7" max="7" width="16.125" style="30" bestFit="1" customWidth="1"/>
    <col min="8" max="8" width="10.375" style="30" customWidth="1"/>
    <col min="9" max="9" width="3.125" customWidth="1"/>
    <col min="10" max="10" width="15" style="30" customWidth="1"/>
    <col min="11" max="11" width="13.375" customWidth="1"/>
    <col min="12" max="12" width="1.625" customWidth="1"/>
  </cols>
  <sheetData>
    <row r="1" spans="1:11">
      <c r="A1" s="38" t="s">
        <v>321</v>
      </c>
      <c r="B1" s="38" t="s">
        <v>320</v>
      </c>
      <c r="C1" s="38" t="s">
        <v>319</v>
      </c>
      <c r="D1" s="38"/>
      <c r="E1" s="38" t="s">
        <v>324</v>
      </c>
      <c r="F1" s="38" t="s">
        <v>320</v>
      </c>
      <c r="G1" s="39" t="s">
        <v>322</v>
      </c>
      <c r="H1" s="39" t="s">
        <v>323</v>
      </c>
      <c r="J1" s="1021" t="s">
        <v>84</v>
      </c>
      <c r="K1" s="1022"/>
    </row>
    <row r="2" spans="1:11">
      <c r="A2" s="38" t="s">
        <v>259</v>
      </c>
      <c r="B2" s="38" t="s">
        <v>34</v>
      </c>
      <c r="C2" s="38">
        <v>1</v>
      </c>
      <c r="D2" s="38"/>
      <c r="E2" s="38" t="str">
        <f t="shared" ref="E2:E65" si="0">F2&amp;G2</f>
        <v>北海道札幌市</v>
      </c>
      <c r="F2" s="38" t="s">
        <v>34</v>
      </c>
      <c r="G2" s="39" t="s">
        <v>35</v>
      </c>
      <c r="H2" s="39" t="s">
        <v>85</v>
      </c>
      <c r="J2" s="35"/>
      <c r="K2" s="36"/>
    </row>
    <row r="3" spans="1:11">
      <c r="A3" s="38" t="s">
        <v>299</v>
      </c>
      <c r="B3" s="38" t="s">
        <v>300</v>
      </c>
      <c r="C3" s="38">
        <v>0</v>
      </c>
      <c r="D3" s="38"/>
      <c r="E3" s="38" t="str">
        <f t="shared" si="0"/>
        <v>北海道その他の地域</v>
      </c>
      <c r="F3" s="38" t="s">
        <v>34</v>
      </c>
      <c r="G3" s="39" t="s">
        <v>741</v>
      </c>
      <c r="H3" s="39" t="s">
        <v>53</v>
      </c>
      <c r="I3" s="5"/>
      <c r="J3" s="443" t="s">
        <v>9</v>
      </c>
      <c r="K3" s="24">
        <v>10.9</v>
      </c>
    </row>
    <row r="4" spans="1:11">
      <c r="A4" s="38" t="s">
        <v>303</v>
      </c>
      <c r="B4" s="38" t="s">
        <v>304</v>
      </c>
      <c r="C4" s="38">
        <v>0</v>
      </c>
      <c r="D4" s="38"/>
      <c r="E4" s="38" t="str">
        <f t="shared" si="0"/>
        <v>東京都23区</v>
      </c>
      <c r="F4" s="38" t="s">
        <v>7</v>
      </c>
      <c r="G4" s="39" t="s">
        <v>8</v>
      </c>
      <c r="H4" s="39" t="s">
        <v>9</v>
      </c>
      <c r="I4" s="5"/>
      <c r="J4" s="443" t="s">
        <v>10</v>
      </c>
      <c r="K4" s="24">
        <v>10.72</v>
      </c>
    </row>
    <row r="5" spans="1:11">
      <c r="A5" s="38" t="s">
        <v>254</v>
      </c>
      <c r="B5" s="38" t="s">
        <v>26</v>
      </c>
      <c r="C5" s="38">
        <v>1</v>
      </c>
      <c r="D5" s="38"/>
      <c r="E5" s="38" t="str">
        <f t="shared" si="0"/>
        <v>東京都狛江市</v>
      </c>
      <c r="F5" s="38" t="s">
        <v>7</v>
      </c>
      <c r="G5" s="39" t="s">
        <v>330</v>
      </c>
      <c r="H5" s="39" t="s">
        <v>10</v>
      </c>
      <c r="I5" s="5"/>
      <c r="J5" s="443" t="s">
        <v>14</v>
      </c>
      <c r="K5" s="24">
        <v>10.68</v>
      </c>
    </row>
    <row r="6" spans="1:11">
      <c r="A6" s="38" t="s">
        <v>282</v>
      </c>
      <c r="B6" s="38" t="s">
        <v>283</v>
      </c>
      <c r="C6" s="38">
        <v>0</v>
      </c>
      <c r="D6" s="38"/>
      <c r="E6" s="38" t="str">
        <f t="shared" si="0"/>
        <v>東京都多摩市</v>
      </c>
      <c r="F6" s="38" t="s">
        <v>7</v>
      </c>
      <c r="G6" s="39" t="s">
        <v>331</v>
      </c>
      <c r="H6" s="39" t="s">
        <v>10</v>
      </c>
      <c r="I6" s="5"/>
      <c r="J6" s="443" t="s">
        <v>17</v>
      </c>
      <c r="K6" s="24">
        <v>10.54</v>
      </c>
    </row>
    <row r="7" spans="1:11">
      <c r="A7" s="38" t="s">
        <v>294</v>
      </c>
      <c r="B7" s="38" t="s">
        <v>295</v>
      </c>
      <c r="C7" s="38">
        <v>0</v>
      </c>
      <c r="D7" s="38"/>
      <c r="E7" s="38" t="str">
        <f t="shared" si="0"/>
        <v>東京都町田市</v>
      </c>
      <c r="F7" s="38" t="s">
        <v>7</v>
      </c>
      <c r="G7" s="39" t="s">
        <v>332</v>
      </c>
      <c r="H7" s="39" t="s">
        <v>10</v>
      </c>
      <c r="I7" s="5"/>
      <c r="J7" s="443" t="s">
        <v>25</v>
      </c>
      <c r="K7" s="24">
        <v>10.45</v>
      </c>
    </row>
    <row r="8" spans="1:11">
      <c r="A8" s="38" t="s">
        <v>274</v>
      </c>
      <c r="B8" s="38" t="s">
        <v>275</v>
      </c>
      <c r="C8" s="38">
        <v>0</v>
      </c>
      <c r="D8" s="38"/>
      <c r="E8" s="38" t="str">
        <f t="shared" si="0"/>
        <v>東京都八王子市</v>
      </c>
      <c r="F8" s="38" t="s">
        <v>7</v>
      </c>
      <c r="G8" s="39" t="s">
        <v>333</v>
      </c>
      <c r="H8" s="39" t="s">
        <v>14</v>
      </c>
      <c r="I8" s="5"/>
      <c r="J8" s="443" t="s">
        <v>33</v>
      </c>
      <c r="K8" s="24">
        <v>10.27</v>
      </c>
    </row>
    <row r="9" spans="1:11">
      <c r="A9" s="38" t="s">
        <v>290</v>
      </c>
      <c r="B9" s="38" t="s">
        <v>36</v>
      </c>
      <c r="C9" s="38">
        <v>1</v>
      </c>
      <c r="D9" s="38"/>
      <c r="E9" s="38" t="str">
        <f t="shared" si="0"/>
        <v>東京都武蔵野市</v>
      </c>
      <c r="F9" s="38" t="s">
        <v>7</v>
      </c>
      <c r="G9" s="39" t="s">
        <v>334</v>
      </c>
      <c r="H9" s="39" t="s">
        <v>14</v>
      </c>
      <c r="I9" s="5"/>
      <c r="J9" s="443" t="s">
        <v>85</v>
      </c>
      <c r="K9" s="24">
        <v>10.14</v>
      </c>
    </row>
    <row r="10" spans="1:11">
      <c r="A10" s="38" t="s">
        <v>267</v>
      </c>
      <c r="B10" s="38" t="s">
        <v>37</v>
      </c>
      <c r="C10" s="38">
        <v>1</v>
      </c>
      <c r="D10" s="38"/>
      <c r="E10" s="38" t="str">
        <f t="shared" si="0"/>
        <v>東京都府中市</v>
      </c>
      <c r="F10" s="38" t="s">
        <v>7</v>
      </c>
      <c r="G10" s="39" t="s">
        <v>335</v>
      </c>
      <c r="H10" s="39" t="s">
        <v>14</v>
      </c>
      <c r="I10" s="5"/>
      <c r="J10" s="443" t="s">
        <v>53</v>
      </c>
      <c r="K10" s="24">
        <v>10</v>
      </c>
    </row>
    <row r="11" spans="1:11">
      <c r="A11" s="38" t="s">
        <v>278</v>
      </c>
      <c r="B11" s="38" t="s">
        <v>38</v>
      </c>
      <c r="C11" s="38">
        <v>1</v>
      </c>
      <c r="D11" s="38"/>
      <c r="E11" s="38" t="str">
        <f t="shared" si="0"/>
        <v>東京都調布市</v>
      </c>
      <c r="F11" s="38" t="s">
        <v>7</v>
      </c>
      <c r="G11" s="39" t="s">
        <v>336</v>
      </c>
      <c r="H11" s="39" t="s">
        <v>14</v>
      </c>
      <c r="I11" s="5"/>
      <c r="J11" s="31"/>
      <c r="K11" s="5"/>
    </row>
    <row r="12" spans="1:11">
      <c r="A12" s="38" t="s">
        <v>262</v>
      </c>
      <c r="B12" s="38" t="s">
        <v>18</v>
      </c>
      <c r="C12" s="38">
        <v>1</v>
      </c>
      <c r="D12" s="38"/>
      <c r="E12" s="38" t="str">
        <f t="shared" si="0"/>
        <v>東京都小金井市</v>
      </c>
      <c r="F12" s="38" t="s">
        <v>7</v>
      </c>
      <c r="G12" s="39" t="s">
        <v>337</v>
      </c>
      <c r="H12" s="39" t="s">
        <v>14</v>
      </c>
      <c r="I12" s="5"/>
      <c r="J12" s="31"/>
      <c r="K12" s="5"/>
    </row>
    <row r="13" spans="1:11">
      <c r="A13" s="38" t="s">
        <v>263</v>
      </c>
      <c r="B13" s="38" t="s">
        <v>19</v>
      </c>
      <c r="C13" s="38">
        <v>1</v>
      </c>
      <c r="D13" s="38"/>
      <c r="E13" s="38" t="str">
        <f t="shared" si="0"/>
        <v>東京都小平市</v>
      </c>
      <c r="F13" s="38" t="s">
        <v>7</v>
      </c>
      <c r="G13" s="39" t="s">
        <v>338</v>
      </c>
      <c r="H13" s="39" t="s">
        <v>14</v>
      </c>
      <c r="I13" s="5"/>
      <c r="J13" s="31"/>
      <c r="K13" s="5"/>
    </row>
    <row r="14" spans="1:11">
      <c r="A14" s="38" t="s">
        <v>268</v>
      </c>
      <c r="B14" s="38" t="s">
        <v>7</v>
      </c>
      <c r="C14" s="38">
        <v>1</v>
      </c>
      <c r="D14" s="38"/>
      <c r="E14" s="38" t="str">
        <f t="shared" si="0"/>
        <v>東京都日野市</v>
      </c>
      <c r="F14" s="38" t="s">
        <v>7</v>
      </c>
      <c r="G14" s="39" t="s">
        <v>339</v>
      </c>
      <c r="H14" s="39" t="s">
        <v>14</v>
      </c>
      <c r="I14" s="5"/>
      <c r="J14" s="31"/>
      <c r="K14" s="5"/>
    </row>
    <row r="15" spans="1:11">
      <c r="A15" s="38" t="s">
        <v>264</v>
      </c>
      <c r="B15" s="38" t="s">
        <v>11</v>
      </c>
      <c r="C15" s="38">
        <v>1</v>
      </c>
      <c r="D15" s="38"/>
      <c r="E15" s="442" t="str">
        <f t="shared" si="0"/>
        <v>東京都東村山市</v>
      </c>
      <c r="F15" s="442" t="s">
        <v>1028</v>
      </c>
      <c r="G15" s="442" t="s">
        <v>1029</v>
      </c>
      <c r="H15" s="442" t="s">
        <v>14</v>
      </c>
      <c r="I15" s="5"/>
      <c r="J15" s="31"/>
      <c r="K15" s="5"/>
    </row>
    <row r="16" spans="1:11">
      <c r="A16" s="38" t="s">
        <v>252</v>
      </c>
      <c r="B16" s="38" t="s">
        <v>253</v>
      </c>
      <c r="C16" s="38">
        <v>1</v>
      </c>
      <c r="D16" s="38"/>
      <c r="E16" s="38" t="str">
        <f t="shared" si="0"/>
        <v>東京都国分寺市</v>
      </c>
      <c r="F16" s="38" t="s">
        <v>7</v>
      </c>
      <c r="G16" s="39" t="s">
        <v>340</v>
      </c>
      <c r="H16" s="39" t="s">
        <v>14</v>
      </c>
      <c r="I16" s="5"/>
      <c r="J16" s="31"/>
      <c r="K16" s="5"/>
    </row>
    <row r="17" spans="1:11">
      <c r="A17" s="38" t="s">
        <v>276</v>
      </c>
      <c r="B17" s="38" t="s">
        <v>277</v>
      </c>
      <c r="C17" s="38">
        <v>1</v>
      </c>
      <c r="D17" s="38"/>
      <c r="E17" s="38" t="str">
        <f t="shared" si="0"/>
        <v>東京都稲城市</v>
      </c>
      <c r="F17" s="38" t="s">
        <v>7</v>
      </c>
      <c r="G17" s="39" t="s">
        <v>341</v>
      </c>
      <c r="H17" s="39" t="s">
        <v>14</v>
      </c>
      <c r="I17" s="5"/>
      <c r="J17" s="31"/>
      <c r="K17" s="5"/>
    </row>
    <row r="18" spans="1:11">
      <c r="A18" s="38" t="s">
        <v>284</v>
      </c>
      <c r="B18" s="38" t="s">
        <v>39</v>
      </c>
      <c r="C18" s="38">
        <v>1</v>
      </c>
      <c r="D18" s="38"/>
      <c r="E18" s="38" t="str">
        <f t="shared" si="0"/>
        <v>東京都西東京市</v>
      </c>
      <c r="F18" s="38" t="s">
        <v>7</v>
      </c>
      <c r="G18" s="39" t="s">
        <v>342</v>
      </c>
      <c r="H18" s="39" t="s">
        <v>14</v>
      </c>
      <c r="I18" s="5"/>
      <c r="J18" s="31"/>
      <c r="K18" s="5"/>
    </row>
    <row r="19" spans="1:11">
      <c r="A19" s="38" t="s">
        <v>307</v>
      </c>
      <c r="B19" s="38" t="s">
        <v>40</v>
      </c>
      <c r="C19" s="38">
        <v>1</v>
      </c>
      <c r="D19" s="38"/>
      <c r="E19" s="38" t="str">
        <f t="shared" si="0"/>
        <v>東京都三鷹市</v>
      </c>
      <c r="F19" s="38" t="s">
        <v>7</v>
      </c>
      <c r="G19" s="39" t="s">
        <v>343</v>
      </c>
      <c r="H19" s="39" t="s">
        <v>14</v>
      </c>
      <c r="I19" s="5"/>
      <c r="J19" s="31"/>
      <c r="K19" s="5"/>
    </row>
    <row r="20" spans="1:11">
      <c r="A20" s="38" t="s">
        <v>316</v>
      </c>
      <c r="B20" s="38" t="s">
        <v>42</v>
      </c>
      <c r="C20" s="38">
        <v>1</v>
      </c>
      <c r="D20" s="38"/>
      <c r="E20" s="38" t="str">
        <f t="shared" si="0"/>
        <v>東京都青梅市</v>
      </c>
      <c r="F20" s="38" t="s">
        <v>7</v>
      </c>
      <c r="G20" s="39" t="s">
        <v>344</v>
      </c>
      <c r="H20" s="39" t="s">
        <v>14</v>
      </c>
      <c r="I20" s="5"/>
      <c r="J20" s="31"/>
      <c r="K20" s="5"/>
    </row>
    <row r="21" spans="1:11">
      <c r="A21" s="38" t="s">
        <v>289</v>
      </c>
      <c r="B21" s="38" t="s">
        <v>44</v>
      </c>
      <c r="C21" s="38">
        <v>1</v>
      </c>
      <c r="D21" s="38"/>
      <c r="E21" s="38" t="str">
        <f t="shared" si="0"/>
        <v>東京都国立市</v>
      </c>
      <c r="F21" s="38" t="s">
        <v>7</v>
      </c>
      <c r="G21" s="39" t="s">
        <v>345</v>
      </c>
      <c r="H21" s="39" t="s">
        <v>14</v>
      </c>
      <c r="I21" s="5"/>
      <c r="J21" s="31"/>
      <c r="K21" s="5"/>
    </row>
    <row r="22" spans="1:11">
      <c r="A22" s="38" t="s">
        <v>311</v>
      </c>
      <c r="B22" s="38" t="s">
        <v>312</v>
      </c>
      <c r="C22" s="38">
        <v>1</v>
      </c>
      <c r="D22" s="38"/>
      <c r="E22" s="442" t="str">
        <f>F22&amp;G22</f>
        <v>東京都清瀬市</v>
      </c>
      <c r="F22" s="442" t="s">
        <v>7</v>
      </c>
      <c r="G22" s="442" t="s">
        <v>1114</v>
      </c>
      <c r="H22" s="39" t="s">
        <v>14</v>
      </c>
      <c r="I22" s="5"/>
      <c r="J22" s="31"/>
      <c r="K22" s="5"/>
    </row>
    <row r="23" spans="1:11">
      <c r="A23" s="38" t="s">
        <v>281</v>
      </c>
      <c r="B23" s="38" t="s">
        <v>28</v>
      </c>
      <c r="C23" s="38">
        <v>1</v>
      </c>
      <c r="D23" s="38"/>
      <c r="E23" s="442" t="str">
        <f t="shared" si="0"/>
        <v>東京都東久留米市</v>
      </c>
      <c r="F23" s="442" t="s">
        <v>7</v>
      </c>
      <c r="G23" s="442" t="s">
        <v>1030</v>
      </c>
      <c r="H23" s="39" t="s">
        <v>14</v>
      </c>
      <c r="I23" s="5"/>
      <c r="J23" s="31"/>
      <c r="K23" s="5"/>
    </row>
    <row r="24" spans="1:11">
      <c r="A24" s="38" t="s">
        <v>258</v>
      </c>
      <c r="B24" s="38" t="s">
        <v>15</v>
      </c>
      <c r="C24" s="38">
        <v>1</v>
      </c>
      <c r="D24" s="38"/>
      <c r="E24" s="38" t="str">
        <f t="shared" si="0"/>
        <v>東京都立川市</v>
      </c>
      <c r="F24" s="38" t="s">
        <v>7</v>
      </c>
      <c r="G24" s="39" t="s">
        <v>346</v>
      </c>
      <c r="H24" s="39" t="s">
        <v>17</v>
      </c>
      <c r="I24" s="5"/>
      <c r="J24" s="31"/>
      <c r="K24" s="5"/>
    </row>
    <row r="25" spans="1:11">
      <c r="A25" s="38" t="s">
        <v>271</v>
      </c>
      <c r="B25" s="38" t="s">
        <v>45</v>
      </c>
      <c r="C25" s="38">
        <v>1</v>
      </c>
      <c r="D25" s="38"/>
      <c r="E25" s="38" t="str">
        <f t="shared" si="0"/>
        <v>東京都昭島市</v>
      </c>
      <c r="F25" s="38" t="s">
        <v>7</v>
      </c>
      <c r="G25" s="39" t="s">
        <v>347</v>
      </c>
      <c r="H25" s="39" t="s">
        <v>17</v>
      </c>
      <c r="I25" s="5"/>
      <c r="J25" s="31"/>
      <c r="K25" s="5"/>
    </row>
    <row r="26" spans="1:11">
      <c r="A26" s="38" t="s">
        <v>315</v>
      </c>
      <c r="B26" s="38" t="s">
        <v>30</v>
      </c>
      <c r="C26" s="38">
        <v>1</v>
      </c>
      <c r="D26" s="38"/>
      <c r="E26" s="38" t="str">
        <f t="shared" si="0"/>
        <v>東京都東大和市</v>
      </c>
      <c r="F26" s="38" t="s">
        <v>7</v>
      </c>
      <c r="G26" s="39" t="s">
        <v>348</v>
      </c>
      <c r="H26" s="39" t="s">
        <v>17</v>
      </c>
      <c r="I26" s="5"/>
      <c r="J26" s="31"/>
      <c r="K26" s="5"/>
    </row>
    <row r="27" spans="1:11">
      <c r="A27" s="38" t="s">
        <v>255</v>
      </c>
      <c r="B27" s="38" t="s">
        <v>21</v>
      </c>
      <c r="C27" s="38">
        <v>1</v>
      </c>
      <c r="D27" s="38"/>
      <c r="E27" s="38" t="str">
        <f t="shared" si="0"/>
        <v>東京都あきる野市</v>
      </c>
      <c r="F27" s="38" t="s">
        <v>7</v>
      </c>
      <c r="G27" s="39" t="s">
        <v>349</v>
      </c>
      <c r="H27" s="39" t="s">
        <v>25</v>
      </c>
      <c r="I27" s="5"/>
      <c r="J27" s="31"/>
      <c r="K27" s="5"/>
    </row>
    <row r="28" spans="1:11">
      <c r="A28" s="38" t="s">
        <v>261</v>
      </c>
      <c r="B28" s="38" t="s">
        <v>12</v>
      </c>
      <c r="C28" s="38">
        <v>1</v>
      </c>
      <c r="D28" s="38"/>
      <c r="E28" s="38" t="str">
        <f t="shared" si="0"/>
        <v>東京都日の出町</v>
      </c>
      <c r="F28" s="38" t="s">
        <v>7</v>
      </c>
      <c r="G28" s="39" t="s">
        <v>350</v>
      </c>
      <c r="H28" s="39" t="s">
        <v>25</v>
      </c>
      <c r="I28" s="5"/>
      <c r="J28" s="31"/>
      <c r="K28" s="5"/>
    </row>
    <row r="29" spans="1:11">
      <c r="A29" s="38" t="s">
        <v>260</v>
      </c>
      <c r="B29" s="38" t="s">
        <v>16</v>
      </c>
      <c r="C29" s="38">
        <v>1</v>
      </c>
      <c r="D29" s="38"/>
      <c r="E29" s="442" t="str">
        <f t="shared" si="0"/>
        <v>東京都福生市</v>
      </c>
      <c r="F29" s="442" t="s">
        <v>7</v>
      </c>
      <c r="G29" s="442" t="s">
        <v>351</v>
      </c>
      <c r="H29" s="442" t="s">
        <v>1032</v>
      </c>
      <c r="I29" s="5"/>
      <c r="J29" s="31"/>
      <c r="K29" s="5"/>
    </row>
    <row r="30" spans="1:11">
      <c r="A30" s="38" t="s">
        <v>291</v>
      </c>
      <c r="B30" s="38" t="s">
        <v>31</v>
      </c>
      <c r="C30" s="38">
        <v>1</v>
      </c>
      <c r="D30" s="38"/>
      <c r="E30" s="38" t="str">
        <f t="shared" si="0"/>
        <v>東京都武蔵村山市</v>
      </c>
      <c r="F30" s="38" t="s">
        <v>7</v>
      </c>
      <c r="G30" s="39" t="s">
        <v>352</v>
      </c>
      <c r="H30" s="39" t="s">
        <v>33</v>
      </c>
      <c r="I30" s="5"/>
      <c r="J30" s="31"/>
      <c r="K30" s="5"/>
    </row>
    <row r="31" spans="1:11">
      <c r="A31" s="38" t="s">
        <v>272</v>
      </c>
      <c r="B31" s="38" t="s">
        <v>46</v>
      </c>
      <c r="C31" s="38">
        <v>1</v>
      </c>
      <c r="D31" s="38"/>
      <c r="E31" s="38" t="str">
        <f t="shared" si="0"/>
        <v>東京都羽村市</v>
      </c>
      <c r="F31" s="38" t="s">
        <v>7</v>
      </c>
      <c r="G31" s="39" t="s">
        <v>353</v>
      </c>
      <c r="H31" s="39" t="s">
        <v>33</v>
      </c>
      <c r="I31" s="5"/>
      <c r="J31" s="31"/>
      <c r="K31" s="5"/>
    </row>
    <row r="32" spans="1:11">
      <c r="A32" s="38" t="s">
        <v>279</v>
      </c>
      <c r="B32" s="38" t="s">
        <v>280</v>
      </c>
      <c r="C32" s="38">
        <v>0</v>
      </c>
      <c r="D32" s="38"/>
      <c r="E32" s="442" t="str">
        <f t="shared" si="0"/>
        <v>東京都瑞穂町</v>
      </c>
      <c r="F32" s="442" t="s">
        <v>7</v>
      </c>
      <c r="G32" s="442" t="s">
        <v>355</v>
      </c>
      <c r="H32" s="442" t="s">
        <v>1035</v>
      </c>
      <c r="I32" s="6"/>
      <c r="J32" s="32"/>
      <c r="K32" s="6"/>
    </row>
    <row r="33" spans="1:11">
      <c r="A33" s="38" t="s">
        <v>287</v>
      </c>
      <c r="B33" s="38" t="s">
        <v>288</v>
      </c>
      <c r="C33" s="38">
        <v>0</v>
      </c>
      <c r="D33" s="38"/>
      <c r="E33" s="38" t="str">
        <f t="shared" si="0"/>
        <v>東京都奥多摩町</v>
      </c>
      <c r="F33" s="38" t="s">
        <v>7</v>
      </c>
      <c r="G33" s="39" t="s">
        <v>354</v>
      </c>
      <c r="H33" s="39" t="s">
        <v>33</v>
      </c>
    </row>
    <row r="34" spans="1:11">
      <c r="A34" s="38" t="s">
        <v>266</v>
      </c>
      <c r="B34" s="38" t="s">
        <v>47</v>
      </c>
      <c r="C34" s="38">
        <v>1</v>
      </c>
      <c r="D34" s="38"/>
      <c r="E34" s="442" t="str">
        <f t="shared" si="0"/>
        <v>東京都檜原村</v>
      </c>
      <c r="F34" s="442" t="s">
        <v>7</v>
      </c>
      <c r="G34" s="442" t="s">
        <v>356</v>
      </c>
      <c r="H34" s="442" t="s">
        <v>1035</v>
      </c>
    </row>
    <row r="35" spans="1:11">
      <c r="A35" s="38" t="s">
        <v>265</v>
      </c>
      <c r="B35" s="38" t="s">
        <v>32</v>
      </c>
      <c r="C35" s="38">
        <v>1</v>
      </c>
      <c r="D35" s="38"/>
      <c r="E35" s="38" t="str">
        <f t="shared" si="0"/>
        <v>東京都その他の地域</v>
      </c>
      <c r="F35" s="38" t="s">
        <v>7</v>
      </c>
      <c r="G35" s="39" t="s">
        <v>742</v>
      </c>
      <c r="H35" s="39" t="s">
        <v>53</v>
      </c>
    </row>
    <row r="36" spans="1:11" s="25" customFormat="1">
      <c r="A36" s="38" t="s">
        <v>273</v>
      </c>
      <c r="B36" s="38" t="s">
        <v>49</v>
      </c>
      <c r="C36" s="38">
        <v>1</v>
      </c>
      <c r="D36" s="38"/>
      <c r="E36" s="38" t="str">
        <f t="shared" si="0"/>
        <v>神奈川県横浜市</v>
      </c>
      <c r="F36" s="38" t="s">
        <v>11</v>
      </c>
      <c r="G36" s="39" t="s">
        <v>357</v>
      </c>
      <c r="H36" s="39" t="s">
        <v>10</v>
      </c>
      <c r="J36" s="33"/>
    </row>
    <row r="37" spans="1:11" s="25" customFormat="1">
      <c r="A37" s="38" t="s">
        <v>269</v>
      </c>
      <c r="B37" s="38" t="s">
        <v>270</v>
      </c>
      <c r="C37" s="38">
        <v>1</v>
      </c>
      <c r="D37" s="38"/>
      <c r="E37" s="38" t="str">
        <f t="shared" si="0"/>
        <v>神奈川県川崎市</v>
      </c>
      <c r="F37" s="38" t="s">
        <v>11</v>
      </c>
      <c r="G37" s="39" t="s">
        <v>358</v>
      </c>
      <c r="H37" s="39" t="s">
        <v>10</v>
      </c>
      <c r="J37" s="33"/>
    </row>
    <row r="38" spans="1:11" s="25" customFormat="1">
      <c r="A38" s="38" t="s">
        <v>313</v>
      </c>
      <c r="B38" s="38" t="s">
        <v>314</v>
      </c>
      <c r="C38" s="38">
        <v>1</v>
      </c>
      <c r="D38" s="38"/>
      <c r="E38" s="38" t="str">
        <f t="shared" si="0"/>
        <v>神奈川県鎌倉市</v>
      </c>
      <c r="F38" s="38" t="s">
        <v>11</v>
      </c>
      <c r="G38" s="39" t="s">
        <v>325</v>
      </c>
      <c r="H38" s="39" t="s">
        <v>14</v>
      </c>
      <c r="J38" s="33"/>
    </row>
    <row r="39" spans="1:11" s="25" customFormat="1">
      <c r="A39" s="38" t="s">
        <v>305</v>
      </c>
      <c r="B39" s="38" t="s">
        <v>306</v>
      </c>
      <c r="C39" s="38">
        <v>0</v>
      </c>
      <c r="D39" s="38"/>
      <c r="E39" s="38" t="str">
        <f t="shared" si="0"/>
        <v>神奈川県相模原市</v>
      </c>
      <c r="F39" s="38" t="s">
        <v>11</v>
      </c>
      <c r="G39" s="39" t="s">
        <v>359</v>
      </c>
      <c r="H39" s="39" t="s">
        <v>17</v>
      </c>
      <c r="J39" s="33"/>
    </row>
    <row r="40" spans="1:11">
      <c r="A40" s="38" t="s">
        <v>297</v>
      </c>
      <c r="B40" s="38" t="s">
        <v>298</v>
      </c>
      <c r="C40" s="38">
        <v>0</v>
      </c>
      <c r="D40" s="38"/>
      <c r="E40" s="38" t="str">
        <f t="shared" si="0"/>
        <v>神奈川県藤沢市</v>
      </c>
      <c r="F40" s="38" t="s">
        <v>11</v>
      </c>
      <c r="G40" s="39" t="s">
        <v>360</v>
      </c>
      <c r="H40" s="39" t="s">
        <v>17</v>
      </c>
    </row>
    <row r="41" spans="1:11">
      <c r="A41" s="38" t="s">
        <v>296</v>
      </c>
      <c r="B41" s="38" t="s">
        <v>23</v>
      </c>
      <c r="C41" s="38">
        <v>1</v>
      </c>
      <c r="D41" s="38"/>
      <c r="E41" s="38" t="str">
        <f t="shared" si="0"/>
        <v>神奈川県逗子市</v>
      </c>
      <c r="F41" s="38" t="s">
        <v>11</v>
      </c>
      <c r="G41" s="39" t="s">
        <v>361</v>
      </c>
      <c r="H41" s="39" t="s">
        <v>17</v>
      </c>
      <c r="I41" s="4"/>
      <c r="J41" s="34"/>
      <c r="K41" s="4"/>
    </row>
    <row r="42" spans="1:11">
      <c r="A42" s="38" t="s">
        <v>301</v>
      </c>
      <c r="B42" s="38" t="s">
        <v>302</v>
      </c>
      <c r="C42" s="38">
        <v>0</v>
      </c>
      <c r="D42" s="38"/>
      <c r="E42" s="38" t="str">
        <f t="shared" si="0"/>
        <v>神奈川県厚木市</v>
      </c>
      <c r="F42" s="38" t="s">
        <v>11</v>
      </c>
      <c r="G42" s="39" t="s">
        <v>362</v>
      </c>
      <c r="H42" s="39" t="s">
        <v>17</v>
      </c>
    </row>
    <row r="43" spans="1:11">
      <c r="A43" s="38" t="s">
        <v>308</v>
      </c>
      <c r="B43" s="38" t="s">
        <v>51</v>
      </c>
      <c r="C43" s="38">
        <v>1</v>
      </c>
      <c r="D43" s="38"/>
      <c r="E43" s="38" t="str">
        <f>F43&amp;G43</f>
        <v>神奈川県海老名市</v>
      </c>
      <c r="F43" s="38" t="s">
        <v>11</v>
      </c>
      <c r="G43" s="39" t="s">
        <v>369</v>
      </c>
      <c r="H43" s="39" t="s">
        <v>17</v>
      </c>
    </row>
    <row r="44" spans="1:11">
      <c r="A44" s="38" t="s">
        <v>256</v>
      </c>
      <c r="B44" s="38" t="s">
        <v>257</v>
      </c>
      <c r="C44" s="38">
        <v>0</v>
      </c>
      <c r="D44" s="38"/>
      <c r="E44" s="38" t="str">
        <f t="shared" si="0"/>
        <v>神奈川県横須賀市</v>
      </c>
      <c r="F44" s="38" t="s">
        <v>11</v>
      </c>
      <c r="G44" s="39" t="s">
        <v>363</v>
      </c>
      <c r="H44" s="39" t="s">
        <v>25</v>
      </c>
      <c r="I44" s="4"/>
      <c r="J44" s="34"/>
      <c r="K44" s="4"/>
    </row>
    <row r="45" spans="1:11">
      <c r="A45" s="38" t="s">
        <v>285</v>
      </c>
      <c r="B45" s="38" t="s">
        <v>286</v>
      </c>
      <c r="C45" s="38">
        <v>0</v>
      </c>
      <c r="D45" s="38"/>
      <c r="E45" s="38" t="str">
        <f t="shared" si="0"/>
        <v>神奈川県平塚市</v>
      </c>
      <c r="F45" s="38" t="s">
        <v>11</v>
      </c>
      <c r="G45" s="39" t="s">
        <v>364</v>
      </c>
      <c r="H45" s="39" t="s">
        <v>25</v>
      </c>
    </row>
    <row r="46" spans="1:11">
      <c r="A46" s="38" t="s">
        <v>317</v>
      </c>
      <c r="B46" s="38" t="s">
        <v>318</v>
      </c>
      <c r="C46" s="38">
        <v>0</v>
      </c>
      <c r="D46" s="38"/>
      <c r="E46" s="38" t="str">
        <f t="shared" si="0"/>
        <v>神奈川県小田原市</v>
      </c>
      <c r="F46" s="38" t="s">
        <v>11</v>
      </c>
      <c r="G46" s="39" t="s">
        <v>365</v>
      </c>
      <c r="H46" s="39" t="s">
        <v>25</v>
      </c>
      <c r="I46" s="4"/>
      <c r="J46" s="34"/>
      <c r="K46" s="4"/>
    </row>
    <row r="47" spans="1:11">
      <c r="A47" s="38" t="s">
        <v>309</v>
      </c>
      <c r="B47" s="38" t="s">
        <v>310</v>
      </c>
      <c r="C47" s="38">
        <v>0</v>
      </c>
      <c r="D47" s="38"/>
      <c r="E47" s="38" t="str">
        <f t="shared" si="0"/>
        <v>神奈川県茅ヶ崎市</v>
      </c>
      <c r="F47" s="38" t="s">
        <v>11</v>
      </c>
      <c r="G47" s="39" t="s">
        <v>366</v>
      </c>
      <c r="H47" s="39" t="s">
        <v>25</v>
      </c>
      <c r="I47" s="4"/>
      <c r="J47" s="34"/>
      <c r="K47" s="4"/>
    </row>
    <row r="48" spans="1:11">
      <c r="A48" s="38" t="s">
        <v>292</v>
      </c>
      <c r="B48" s="38" t="s">
        <v>293</v>
      </c>
      <c r="C48" s="38">
        <v>0</v>
      </c>
      <c r="D48" s="38"/>
      <c r="E48" s="38" t="str">
        <f t="shared" si="0"/>
        <v>神奈川県大和市</v>
      </c>
      <c r="F48" s="38" t="s">
        <v>11</v>
      </c>
      <c r="G48" s="39" t="s">
        <v>367</v>
      </c>
      <c r="H48" s="39" t="s">
        <v>25</v>
      </c>
      <c r="I48" s="4"/>
      <c r="J48" s="34"/>
      <c r="K48" s="4"/>
    </row>
    <row r="49" spans="2:11">
      <c r="B49" s="34"/>
      <c r="C49" s="34"/>
      <c r="D49" s="34"/>
      <c r="E49" s="38" t="str">
        <f t="shared" si="0"/>
        <v>神奈川県伊勢原市</v>
      </c>
      <c r="F49" s="38" t="s">
        <v>11</v>
      </c>
      <c r="G49" s="39" t="s">
        <v>368</v>
      </c>
      <c r="H49" s="39" t="s">
        <v>25</v>
      </c>
      <c r="I49" s="4"/>
      <c r="J49" s="34"/>
      <c r="K49" s="4"/>
    </row>
    <row r="50" spans="2:11">
      <c r="B50" s="34"/>
      <c r="C50" s="34"/>
      <c r="D50" s="34"/>
      <c r="E50" s="38" t="str">
        <f t="shared" si="0"/>
        <v>神奈川県座間市</v>
      </c>
      <c r="F50" s="38" t="s">
        <v>11</v>
      </c>
      <c r="G50" s="39" t="s">
        <v>370</v>
      </c>
      <c r="H50" s="39" t="s">
        <v>25</v>
      </c>
      <c r="I50" s="4"/>
      <c r="J50" s="34"/>
      <c r="K50" s="4"/>
    </row>
    <row r="51" spans="2:11">
      <c r="B51" s="34"/>
      <c r="C51" s="34"/>
      <c r="D51" s="34"/>
      <c r="E51" s="38" t="str">
        <f t="shared" si="0"/>
        <v>神奈川県綾瀬市</v>
      </c>
      <c r="F51" s="38" t="s">
        <v>11</v>
      </c>
      <c r="G51" s="39" t="s">
        <v>371</v>
      </c>
      <c r="H51" s="39" t="s">
        <v>25</v>
      </c>
    </row>
    <row r="52" spans="2:11">
      <c r="B52" s="34"/>
      <c r="C52" s="34"/>
      <c r="D52" s="34"/>
      <c r="E52" s="38" t="str">
        <f t="shared" si="0"/>
        <v>神奈川県寒川町</v>
      </c>
      <c r="F52" s="38" t="s">
        <v>11</v>
      </c>
      <c r="G52" s="39" t="s">
        <v>372</v>
      </c>
      <c r="H52" s="39" t="s">
        <v>25</v>
      </c>
    </row>
    <row r="53" spans="2:11">
      <c r="E53" s="38" t="str">
        <f t="shared" si="0"/>
        <v>神奈川県愛川町</v>
      </c>
      <c r="F53" s="38" t="s">
        <v>11</v>
      </c>
      <c r="G53" s="39" t="s">
        <v>373</v>
      </c>
      <c r="H53" s="39" t="s">
        <v>25</v>
      </c>
    </row>
    <row r="54" spans="2:11">
      <c r="E54" s="38" t="str">
        <f t="shared" si="0"/>
        <v>神奈川県三浦市</v>
      </c>
      <c r="F54" s="38" t="s">
        <v>11</v>
      </c>
      <c r="G54" s="39" t="s">
        <v>374</v>
      </c>
      <c r="H54" s="39" t="s">
        <v>33</v>
      </c>
    </row>
    <row r="55" spans="2:11">
      <c r="E55" s="38" t="str">
        <f t="shared" si="0"/>
        <v>神奈川県秦野市</v>
      </c>
      <c r="F55" s="38" t="s">
        <v>11</v>
      </c>
      <c r="G55" s="39" t="s">
        <v>375</v>
      </c>
      <c r="H55" s="39" t="s">
        <v>33</v>
      </c>
    </row>
    <row r="56" spans="2:11">
      <c r="E56" s="38" t="str">
        <f t="shared" si="0"/>
        <v>神奈川県葉山町</v>
      </c>
      <c r="F56" s="38" t="s">
        <v>11</v>
      </c>
      <c r="G56" s="39" t="s">
        <v>376</v>
      </c>
      <c r="H56" s="39" t="s">
        <v>33</v>
      </c>
    </row>
    <row r="57" spans="2:11">
      <c r="E57" s="38" t="str">
        <f t="shared" si="0"/>
        <v>神奈川県大磯町</v>
      </c>
      <c r="F57" s="38" t="s">
        <v>11</v>
      </c>
      <c r="G57" s="39" t="s">
        <v>377</v>
      </c>
      <c r="H57" s="39" t="s">
        <v>33</v>
      </c>
    </row>
    <row r="58" spans="2:11">
      <c r="B58" s="25"/>
      <c r="C58" s="25"/>
      <c r="D58" s="25"/>
      <c r="E58" s="38" t="str">
        <f t="shared" si="0"/>
        <v>神奈川県二宮町</v>
      </c>
      <c r="F58" s="38" t="s">
        <v>11</v>
      </c>
      <c r="G58" s="39" t="s">
        <v>378</v>
      </c>
      <c r="H58" s="39" t="s">
        <v>33</v>
      </c>
    </row>
    <row r="59" spans="2:11">
      <c r="B59" s="25"/>
      <c r="C59" s="25"/>
      <c r="D59" s="25"/>
      <c r="E59" s="38" t="str">
        <f t="shared" si="0"/>
        <v>神奈川県清川村</v>
      </c>
      <c r="F59" s="38" t="s">
        <v>11</v>
      </c>
      <c r="G59" s="39" t="s">
        <v>379</v>
      </c>
      <c r="H59" s="39" t="s">
        <v>33</v>
      </c>
    </row>
    <row r="60" spans="2:11">
      <c r="B60" s="25"/>
      <c r="C60" s="25"/>
      <c r="D60" s="25"/>
      <c r="E60" s="442" t="str">
        <f t="shared" si="0"/>
        <v>神奈川県山北町</v>
      </c>
      <c r="F60" s="442" t="s">
        <v>1037</v>
      </c>
      <c r="G60" s="442" t="s">
        <v>1038</v>
      </c>
      <c r="H60" s="442" t="s">
        <v>85</v>
      </c>
    </row>
    <row r="61" spans="2:11">
      <c r="B61" s="25"/>
      <c r="C61" s="25"/>
      <c r="D61" s="25"/>
      <c r="E61" s="38" t="str">
        <f t="shared" si="0"/>
        <v>神奈川県箱根町</v>
      </c>
      <c r="F61" s="38" t="s">
        <v>11</v>
      </c>
      <c r="G61" s="39" t="s">
        <v>326</v>
      </c>
      <c r="H61" s="39" t="s">
        <v>85</v>
      </c>
    </row>
    <row r="62" spans="2:11">
      <c r="E62" s="38" t="str">
        <f t="shared" si="0"/>
        <v>神奈川県その他の地域</v>
      </c>
      <c r="F62" s="38" t="s">
        <v>11</v>
      </c>
      <c r="G62" s="39" t="s">
        <v>743</v>
      </c>
      <c r="H62" s="39" t="s">
        <v>53</v>
      </c>
    </row>
    <row r="63" spans="2:11">
      <c r="B63" s="4"/>
      <c r="C63" s="4"/>
      <c r="D63" s="4"/>
      <c r="E63" s="38" t="str">
        <f t="shared" si="0"/>
        <v>埼玉県さいたま市</v>
      </c>
      <c r="F63" s="38" t="s">
        <v>599</v>
      </c>
      <c r="G63" s="30" t="s">
        <v>327</v>
      </c>
      <c r="H63" s="39" t="s">
        <v>14</v>
      </c>
    </row>
    <row r="64" spans="2:11">
      <c r="E64" s="38" t="str">
        <f t="shared" si="0"/>
        <v>埼玉県朝霞市</v>
      </c>
      <c r="F64" s="38" t="s">
        <v>599</v>
      </c>
      <c r="G64" s="30" t="s">
        <v>380</v>
      </c>
      <c r="H64" s="39" t="s">
        <v>17</v>
      </c>
    </row>
    <row r="65" spans="2:8">
      <c r="E65" s="442" t="str">
        <f t="shared" si="0"/>
        <v>埼玉県志木市</v>
      </c>
      <c r="F65" s="442" t="s">
        <v>599</v>
      </c>
      <c r="G65" s="444" t="s">
        <v>381</v>
      </c>
      <c r="H65" s="444" t="s">
        <v>1031</v>
      </c>
    </row>
    <row r="66" spans="2:8">
      <c r="B66" s="4"/>
      <c r="C66" s="4"/>
      <c r="D66" s="4"/>
      <c r="E66" s="442" t="str">
        <f t="shared" ref="E66:E129" si="1">F66&amp;G66</f>
        <v>埼玉県和光市</v>
      </c>
      <c r="F66" s="442" t="s">
        <v>599</v>
      </c>
      <c r="G66" s="444" t="s">
        <v>382</v>
      </c>
      <c r="H66" s="444" t="s">
        <v>1031</v>
      </c>
    </row>
    <row r="67" spans="2:8">
      <c r="E67" s="38" t="str">
        <f t="shared" si="1"/>
        <v>埼玉県新座市</v>
      </c>
      <c r="F67" s="38" t="s">
        <v>599</v>
      </c>
      <c r="G67" s="30" t="s">
        <v>383</v>
      </c>
      <c r="H67" s="30" t="s">
        <v>25</v>
      </c>
    </row>
    <row r="68" spans="2:8">
      <c r="B68" s="4"/>
      <c r="C68" s="4"/>
      <c r="D68" s="4"/>
      <c r="E68" s="38" t="str">
        <f t="shared" si="1"/>
        <v>埼玉県ふじみ野市</v>
      </c>
      <c r="F68" s="38" t="s">
        <v>599</v>
      </c>
      <c r="G68" s="30" t="s">
        <v>384</v>
      </c>
      <c r="H68" s="30" t="s">
        <v>25</v>
      </c>
    </row>
    <row r="69" spans="2:8">
      <c r="B69" s="4"/>
      <c r="C69" s="4"/>
      <c r="D69" s="4"/>
      <c r="E69" s="38" t="str">
        <f t="shared" si="1"/>
        <v>埼玉県川越市</v>
      </c>
      <c r="F69" s="38" t="s">
        <v>599</v>
      </c>
      <c r="G69" s="30" t="s">
        <v>385</v>
      </c>
      <c r="H69" s="39" t="s">
        <v>33</v>
      </c>
    </row>
    <row r="70" spans="2:8">
      <c r="B70" s="4"/>
      <c r="C70" s="4"/>
      <c r="D70" s="4"/>
      <c r="E70" s="38" t="str">
        <f t="shared" si="1"/>
        <v>埼玉県川口市</v>
      </c>
      <c r="F70" s="38" t="s">
        <v>599</v>
      </c>
      <c r="G70" s="30" t="s">
        <v>386</v>
      </c>
      <c r="H70" s="39" t="s">
        <v>33</v>
      </c>
    </row>
    <row r="71" spans="2:8">
      <c r="B71" s="4"/>
      <c r="C71" s="4"/>
      <c r="D71" s="4"/>
      <c r="E71" s="38" t="str">
        <f t="shared" si="1"/>
        <v>埼玉県行田市</v>
      </c>
      <c r="F71" s="38" t="s">
        <v>599</v>
      </c>
      <c r="G71" s="30" t="s">
        <v>387</v>
      </c>
      <c r="H71" s="39" t="s">
        <v>33</v>
      </c>
    </row>
    <row r="72" spans="2:8">
      <c r="B72" s="4"/>
      <c r="C72" s="4"/>
      <c r="D72" s="4"/>
      <c r="E72" s="38" t="str">
        <f t="shared" si="1"/>
        <v>埼玉県所沢市</v>
      </c>
      <c r="F72" s="38" t="s">
        <v>599</v>
      </c>
      <c r="G72" s="30" t="s">
        <v>388</v>
      </c>
      <c r="H72" s="39" t="s">
        <v>33</v>
      </c>
    </row>
    <row r="73" spans="2:8">
      <c r="E73" s="442" t="str">
        <f t="shared" si="1"/>
        <v>埼玉県飯能市</v>
      </c>
      <c r="F73" s="442" t="s">
        <v>599</v>
      </c>
      <c r="G73" s="444" t="s">
        <v>419</v>
      </c>
      <c r="H73" s="442" t="s">
        <v>1035</v>
      </c>
    </row>
    <row r="74" spans="2:8">
      <c r="E74" s="38" t="str">
        <f t="shared" si="1"/>
        <v>埼玉県加須市</v>
      </c>
      <c r="F74" s="38" t="s">
        <v>599</v>
      </c>
      <c r="G74" s="30" t="s">
        <v>389</v>
      </c>
      <c r="H74" s="39" t="s">
        <v>33</v>
      </c>
    </row>
    <row r="75" spans="2:8">
      <c r="E75" s="38" t="str">
        <f t="shared" si="1"/>
        <v>埼玉県東松山市</v>
      </c>
      <c r="F75" s="38" t="s">
        <v>599</v>
      </c>
      <c r="G75" s="30" t="s">
        <v>390</v>
      </c>
      <c r="H75" s="39" t="s">
        <v>33</v>
      </c>
    </row>
    <row r="76" spans="2:8">
      <c r="E76" s="38" t="str">
        <f t="shared" si="1"/>
        <v>埼玉県春日部市</v>
      </c>
      <c r="F76" s="38" t="s">
        <v>599</v>
      </c>
      <c r="G76" s="30" t="s">
        <v>391</v>
      </c>
      <c r="H76" s="39" t="s">
        <v>33</v>
      </c>
    </row>
    <row r="77" spans="2:8">
      <c r="E77" s="38" t="str">
        <f t="shared" si="1"/>
        <v>埼玉県狭山市</v>
      </c>
      <c r="F77" s="38" t="s">
        <v>599</v>
      </c>
      <c r="G77" s="30" t="s">
        <v>392</v>
      </c>
      <c r="H77" s="39" t="s">
        <v>33</v>
      </c>
    </row>
    <row r="78" spans="2:8">
      <c r="E78" s="38" t="str">
        <f t="shared" si="1"/>
        <v>埼玉県羽生市</v>
      </c>
      <c r="F78" s="38" t="s">
        <v>599</v>
      </c>
      <c r="G78" s="30" t="s">
        <v>393</v>
      </c>
      <c r="H78" s="39" t="s">
        <v>33</v>
      </c>
    </row>
    <row r="79" spans="2:8">
      <c r="E79" s="38" t="str">
        <f t="shared" si="1"/>
        <v>埼玉県鴻巣市</v>
      </c>
      <c r="F79" s="38" t="s">
        <v>599</v>
      </c>
      <c r="G79" s="30" t="s">
        <v>394</v>
      </c>
      <c r="H79" s="39" t="s">
        <v>33</v>
      </c>
    </row>
    <row r="80" spans="2:8">
      <c r="E80" s="38" t="str">
        <f t="shared" si="1"/>
        <v>埼玉県上尾市</v>
      </c>
      <c r="F80" s="38" t="s">
        <v>599</v>
      </c>
      <c r="G80" s="30" t="s">
        <v>395</v>
      </c>
      <c r="H80" s="39" t="s">
        <v>33</v>
      </c>
    </row>
    <row r="81" spans="5:8">
      <c r="E81" s="38" t="str">
        <f t="shared" si="1"/>
        <v>埼玉県草加市</v>
      </c>
      <c r="F81" s="38" t="s">
        <v>599</v>
      </c>
      <c r="G81" s="30" t="s">
        <v>396</v>
      </c>
      <c r="H81" s="39" t="s">
        <v>33</v>
      </c>
    </row>
    <row r="82" spans="5:8">
      <c r="E82" s="38" t="str">
        <f t="shared" si="1"/>
        <v>埼玉県越谷市</v>
      </c>
      <c r="F82" s="38" t="s">
        <v>599</v>
      </c>
      <c r="G82" s="30" t="s">
        <v>397</v>
      </c>
      <c r="H82" s="39" t="s">
        <v>33</v>
      </c>
    </row>
    <row r="83" spans="5:8">
      <c r="E83" s="38" t="str">
        <f t="shared" si="1"/>
        <v>埼玉県蕨市</v>
      </c>
      <c r="F83" s="38" t="s">
        <v>599</v>
      </c>
      <c r="G83" s="30" t="s">
        <v>398</v>
      </c>
      <c r="H83" s="39" t="s">
        <v>33</v>
      </c>
    </row>
    <row r="84" spans="5:8">
      <c r="E84" s="38" t="str">
        <f t="shared" si="1"/>
        <v>埼玉県戸田市</v>
      </c>
      <c r="F84" s="38" t="s">
        <v>599</v>
      </c>
      <c r="G84" s="30" t="s">
        <v>399</v>
      </c>
      <c r="H84" s="39" t="s">
        <v>33</v>
      </c>
    </row>
    <row r="85" spans="5:8">
      <c r="E85" s="38" t="str">
        <f t="shared" si="1"/>
        <v>埼玉県入間市</v>
      </c>
      <c r="F85" s="38" t="s">
        <v>599</v>
      </c>
      <c r="G85" s="30" t="s">
        <v>400</v>
      </c>
      <c r="H85" s="39" t="s">
        <v>33</v>
      </c>
    </row>
    <row r="86" spans="5:8">
      <c r="E86" s="38" t="str">
        <f t="shared" si="1"/>
        <v>埼玉県桶川市</v>
      </c>
      <c r="F86" s="38" t="s">
        <v>599</v>
      </c>
      <c r="G86" s="30" t="s">
        <v>401</v>
      </c>
      <c r="H86" s="39" t="s">
        <v>33</v>
      </c>
    </row>
    <row r="87" spans="5:8">
      <c r="E87" s="38" t="str">
        <f t="shared" si="1"/>
        <v>埼玉県久喜市</v>
      </c>
      <c r="F87" s="38" t="s">
        <v>599</v>
      </c>
      <c r="G87" s="30" t="s">
        <v>402</v>
      </c>
      <c r="H87" s="39" t="s">
        <v>33</v>
      </c>
    </row>
    <row r="88" spans="5:8">
      <c r="E88" s="38" t="str">
        <f t="shared" si="1"/>
        <v>埼玉県北本市</v>
      </c>
      <c r="F88" s="38" t="s">
        <v>599</v>
      </c>
      <c r="G88" s="30" t="s">
        <v>403</v>
      </c>
      <c r="H88" s="39" t="s">
        <v>33</v>
      </c>
    </row>
    <row r="89" spans="5:8">
      <c r="E89" s="38" t="str">
        <f t="shared" si="1"/>
        <v>埼玉県八潮市</v>
      </c>
      <c r="F89" s="38" t="s">
        <v>599</v>
      </c>
      <c r="G89" s="30" t="s">
        <v>404</v>
      </c>
      <c r="H89" s="39" t="s">
        <v>33</v>
      </c>
    </row>
    <row r="90" spans="5:8">
      <c r="E90" s="38" t="str">
        <f t="shared" si="1"/>
        <v>埼玉県富士見市</v>
      </c>
      <c r="F90" s="38" t="s">
        <v>599</v>
      </c>
      <c r="G90" s="30" t="s">
        <v>405</v>
      </c>
      <c r="H90" s="39" t="s">
        <v>33</v>
      </c>
    </row>
    <row r="91" spans="5:8">
      <c r="E91" s="38" t="str">
        <f t="shared" si="1"/>
        <v>埼玉県三郷市</v>
      </c>
      <c r="F91" s="38" t="s">
        <v>599</v>
      </c>
      <c r="G91" s="30" t="s">
        <v>406</v>
      </c>
      <c r="H91" s="39" t="s">
        <v>33</v>
      </c>
    </row>
    <row r="92" spans="5:8">
      <c r="E92" s="38" t="str">
        <f t="shared" si="1"/>
        <v>埼玉県蓮田市</v>
      </c>
      <c r="F92" s="38" t="s">
        <v>599</v>
      </c>
      <c r="G92" s="30" t="s">
        <v>407</v>
      </c>
      <c r="H92" s="39" t="s">
        <v>33</v>
      </c>
    </row>
    <row r="93" spans="5:8">
      <c r="E93" s="38" t="str">
        <f t="shared" si="1"/>
        <v>埼玉県坂戸市</v>
      </c>
      <c r="F93" s="38" t="s">
        <v>599</v>
      </c>
      <c r="G93" s="30" t="s">
        <v>408</v>
      </c>
      <c r="H93" s="39" t="s">
        <v>33</v>
      </c>
    </row>
    <row r="94" spans="5:8">
      <c r="E94" s="38" t="str">
        <f t="shared" si="1"/>
        <v>埼玉県幸手市</v>
      </c>
      <c r="F94" s="38" t="s">
        <v>599</v>
      </c>
      <c r="G94" s="30" t="s">
        <v>409</v>
      </c>
      <c r="H94" s="39" t="s">
        <v>33</v>
      </c>
    </row>
    <row r="95" spans="5:8">
      <c r="E95" s="38" t="str">
        <f t="shared" si="1"/>
        <v>埼玉県鶴ヶ島市</v>
      </c>
      <c r="F95" s="38" t="s">
        <v>599</v>
      </c>
      <c r="G95" s="30" t="s">
        <v>410</v>
      </c>
      <c r="H95" s="39" t="s">
        <v>33</v>
      </c>
    </row>
    <row r="96" spans="5:8">
      <c r="E96" s="38" t="str">
        <f t="shared" si="1"/>
        <v>埼玉県吉川市</v>
      </c>
      <c r="F96" s="38" t="s">
        <v>599</v>
      </c>
      <c r="G96" s="30" t="s">
        <v>411</v>
      </c>
      <c r="H96" s="39" t="s">
        <v>33</v>
      </c>
    </row>
    <row r="97" spans="5:8">
      <c r="E97" s="38" t="str">
        <f t="shared" si="1"/>
        <v>埼玉県白岡市</v>
      </c>
      <c r="F97" s="38" t="s">
        <v>599</v>
      </c>
      <c r="G97" s="30" t="s">
        <v>412</v>
      </c>
      <c r="H97" s="39" t="s">
        <v>33</v>
      </c>
    </row>
    <row r="98" spans="5:8">
      <c r="E98" s="38" t="str">
        <f t="shared" si="1"/>
        <v>埼玉県伊奈町</v>
      </c>
      <c r="F98" s="38" t="s">
        <v>599</v>
      </c>
      <c r="G98" s="30" t="s">
        <v>413</v>
      </c>
      <c r="H98" s="39" t="s">
        <v>33</v>
      </c>
    </row>
    <row r="99" spans="5:8">
      <c r="E99" s="38" t="str">
        <f t="shared" si="1"/>
        <v>埼玉県三芳町</v>
      </c>
      <c r="F99" s="38" t="s">
        <v>599</v>
      </c>
      <c r="G99" s="30" t="s">
        <v>414</v>
      </c>
      <c r="H99" s="39" t="s">
        <v>33</v>
      </c>
    </row>
    <row r="100" spans="5:8">
      <c r="E100" s="38" t="str">
        <f t="shared" si="1"/>
        <v>埼玉県宮代町</v>
      </c>
      <c r="F100" s="38" t="s">
        <v>599</v>
      </c>
      <c r="G100" s="30" t="s">
        <v>415</v>
      </c>
      <c r="H100" s="39" t="s">
        <v>33</v>
      </c>
    </row>
    <row r="101" spans="5:8">
      <c r="E101" s="38" t="str">
        <f t="shared" si="1"/>
        <v>埼玉県杉戸町</v>
      </c>
      <c r="F101" s="38" t="s">
        <v>599</v>
      </c>
      <c r="G101" s="30" t="s">
        <v>416</v>
      </c>
      <c r="H101" s="39" t="s">
        <v>33</v>
      </c>
    </row>
    <row r="102" spans="5:8">
      <c r="E102" s="38" t="str">
        <f t="shared" si="1"/>
        <v>埼玉県松伏町</v>
      </c>
      <c r="F102" s="38" t="s">
        <v>599</v>
      </c>
      <c r="G102" s="30" t="s">
        <v>417</v>
      </c>
      <c r="H102" s="39" t="s">
        <v>33</v>
      </c>
    </row>
    <row r="103" spans="5:8">
      <c r="E103" s="38" t="str">
        <f t="shared" si="1"/>
        <v>埼玉県熊谷市</v>
      </c>
      <c r="F103" s="38" t="s">
        <v>599</v>
      </c>
      <c r="G103" s="30" t="s">
        <v>418</v>
      </c>
      <c r="H103" s="39" t="s">
        <v>85</v>
      </c>
    </row>
    <row r="104" spans="5:8">
      <c r="E104" s="38" t="str">
        <f t="shared" si="1"/>
        <v>埼玉県深谷市</v>
      </c>
      <c r="F104" s="38" t="s">
        <v>599</v>
      </c>
      <c r="G104" s="30" t="s">
        <v>420</v>
      </c>
      <c r="H104" s="39" t="s">
        <v>85</v>
      </c>
    </row>
    <row r="105" spans="5:8">
      <c r="E105" s="38" t="str">
        <f t="shared" si="1"/>
        <v>埼玉県日高市</v>
      </c>
      <c r="F105" s="38" t="s">
        <v>599</v>
      </c>
      <c r="G105" s="30" t="s">
        <v>421</v>
      </c>
      <c r="H105" s="39" t="s">
        <v>85</v>
      </c>
    </row>
    <row r="106" spans="5:8">
      <c r="E106" s="38" t="str">
        <f t="shared" si="1"/>
        <v>埼玉県毛呂山町</v>
      </c>
      <c r="F106" s="38" t="s">
        <v>599</v>
      </c>
      <c r="G106" s="30" t="s">
        <v>422</v>
      </c>
      <c r="H106" s="39" t="s">
        <v>85</v>
      </c>
    </row>
    <row r="107" spans="5:8">
      <c r="E107" s="38" t="str">
        <f t="shared" si="1"/>
        <v>埼玉県越生町</v>
      </c>
      <c r="F107" s="38" t="s">
        <v>599</v>
      </c>
      <c r="G107" s="30" t="s">
        <v>423</v>
      </c>
      <c r="H107" s="39" t="s">
        <v>85</v>
      </c>
    </row>
    <row r="108" spans="5:8">
      <c r="E108" s="38" t="str">
        <f t="shared" si="1"/>
        <v>埼玉県滑川町</v>
      </c>
      <c r="F108" s="38" t="s">
        <v>599</v>
      </c>
      <c r="G108" s="30" t="s">
        <v>424</v>
      </c>
      <c r="H108" s="39" t="s">
        <v>85</v>
      </c>
    </row>
    <row r="109" spans="5:8">
      <c r="E109" s="38" t="str">
        <f t="shared" si="1"/>
        <v>埼玉県川島町</v>
      </c>
      <c r="F109" s="38" t="s">
        <v>599</v>
      </c>
      <c r="G109" s="30" t="s">
        <v>425</v>
      </c>
      <c r="H109" s="39" t="s">
        <v>85</v>
      </c>
    </row>
    <row r="110" spans="5:8">
      <c r="E110" s="38" t="str">
        <f t="shared" si="1"/>
        <v>埼玉県吉見町</v>
      </c>
      <c r="F110" s="38" t="s">
        <v>599</v>
      </c>
      <c r="G110" s="30" t="s">
        <v>426</v>
      </c>
      <c r="H110" s="39" t="s">
        <v>85</v>
      </c>
    </row>
    <row r="111" spans="5:8">
      <c r="E111" s="38" t="str">
        <f t="shared" si="1"/>
        <v>埼玉県鳩山町</v>
      </c>
      <c r="F111" s="38" t="s">
        <v>599</v>
      </c>
      <c r="G111" s="30" t="s">
        <v>427</v>
      </c>
      <c r="H111" s="39" t="s">
        <v>85</v>
      </c>
    </row>
    <row r="112" spans="5:8">
      <c r="E112" s="38" t="str">
        <f t="shared" si="1"/>
        <v>埼玉県寄居町</v>
      </c>
      <c r="F112" s="38" t="s">
        <v>599</v>
      </c>
      <c r="G112" s="30" t="s">
        <v>428</v>
      </c>
      <c r="H112" s="39" t="s">
        <v>85</v>
      </c>
    </row>
    <row r="113" spans="5:8">
      <c r="E113" s="38" t="str">
        <f t="shared" si="1"/>
        <v>埼玉県その他の地域</v>
      </c>
      <c r="F113" s="38" t="s">
        <v>599</v>
      </c>
      <c r="G113" s="39" t="s">
        <v>743</v>
      </c>
      <c r="H113" s="39" t="s">
        <v>53</v>
      </c>
    </row>
    <row r="114" spans="5:8">
      <c r="E114" s="38" t="str">
        <f t="shared" si="1"/>
        <v>千葉県千葉市</v>
      </c>
      <c r="F114" s="38" t="s">
        <v>617</v>
      </c>
      <c r="G114" s="30" t="s">
        <v>20</v>
      </c>
      <c r="H114" s="39" t="s">
        <v>14</v>
      </c>
    </row>
    <row r="115" spans="5:8">
      <c r="E115" s="38" t="str">
        <f t="shared" si="1"/>
        <v>千葉県船橋市</v>
      </c>
      <c r="F115" s="38" t="s">
        <v>617</v>
      </c>
      <c r="G115" s="30" t="s">
        <v>429</v>
      </c>
      <c r="H115" s="30" t="s">
        <v>17</v>
      </c>
    </row>
    <row r="116" spans="5:8">
      <c r="E116" s="38" t="str">
        <f t="shared" si="1"/>
        <v>千葉県成田市</v>
      </c>
      <c r="F116" s="38" t="s">
        <v>617</v>
      </c>
      <c r="G116" s="30" t="s">
        <v>430</v>
      </c>
      <c r="H116" s="30" t="s">
        <v>17</v>
      </c>
    </row>
    <row r="117" spans="5:8">
      <c r="E117" s="38" t="str">
        <f t="shared" si="1"/>
        <v>千葉県習志野市</v>
      </c>
      <c r="F117" s="38" t="s">
        <v>617</v>
      </c>
      <c r="G117" s="30" t="s">
        <v>431</v>
      </c>
      <c r="H117" s="30" t="s">
        <v>17</v>
      </c>
    </row>
    <row r="118" spans="5:8">
      <c r="E118" s="38" t="str">
        <f t="shared" si="1"/>
        <v>千葉県浦安市</v>
      </c>
      <c r="F118" s="38" t="s">
        <v>617</v>
      </c>
      <c r="G118" s="30" t="s">
        <v>432</v>
      </c>
      <c r="H118" s="30" t="s">
        <v>17</v>
      </c>
    </row>
    <row r="119" spans="5:8">
      <c r="E119" s="38" t="str">
        <f t="shared" si="1"/>
        <v>千葉県市川市</v>
      </c>
      <c r="F119" s="38" t="s">
        <v>617</v>
      </c>
      <c r="G119" s="30" t="s">
        <v>433</v>
      </c>
      <c r="H119" s="30" t="s">
        <v>25</v>
      </c>
    </row>
    <row r="120" spans="5:8">
      <c r="E120" s="38" t="str">
        <f t="shared" si="1"/>
        <v>千葉県松戸市</v>
      </c>
      <c r="F120" s="38" t="s">
        <v>617</v>
      </c>
      <c r="G120" s="30" t="s">
        <v>434</v>
      </c>
      <c r="H120" s="30" t="s">
        <v>25</v>
      </c>
    </row>
    <row r="121" spans="5:8">
      <c r="E121" s="38" t="str">
        <f t="shared" si="1"/>
        <v>千葉県佐倉市</v>
      </c>
      <c r="F121" s="38" t="s">
        <v>617</v>
      </c>
      <c r="G121" s="30" t="s">
        <v>435</v>
      </c>
      <c r="H121" s="30" t="s">
        <v>25</v>
      </c>
    </row>
    <row r="122" spans="5:8">
      <c r="E122" s="38" t="str">
        <f t="shared" si="1"/>
        <v>千葉県市原市</v>
      </c>
      <c r="F122" s="38" t="s">
        <v>617</v>
      </c>
      <c r="G122" s="30" t="s">
        <v>436</v>
      </c>
      <c r="H122" s="30" t="s">
        <v>25</v>
      </c>
    </row>
    <row r="123" spans="5:8">
      <c r="E123" s="38" t="str">
        <f t="shared" si="1"/>
        <v>千葉県八千代市</v>
      </c>
      <c r="F123" s="38" t="s">
        <v>617</v>
      </c>
      <c r="G123" s="30" t="s">
        <v>437</v>
      </c>
      <c r="H123" s="30" t="s">
        <v>25</v>
      </c>
    </row>
    <row r="124" spans="5:8">
      <c r="E124" s="38" t="str">
        <f t="shared" si="1"/>
        <v>千葉県四街道市</v>
      </c>
      <c r="F124" s="38" t="s">
        <v>617</v>
      </c>
      <c r="G124" s="30" t="s">
        <v>438</v>
      </c>
      <c r="H124" s="30" t="s">
        <v>25</v>
      </c>
    </row>
    <row r="125" spans="5:8">
      <c r="E125" s="38" t="str">
        <f t="shared" si="1"/>
        <v>千葉県印西市</v>
      </c>
      <c r="F125" s="38" t="s">
        <v>617</v>
      </c>
      <c r="G125" s="30" t="s">
        <v>439</v>
      </c>
      <c r="H125" s="30" t="s">
        <v>25</v>
      </c>
    </row>
    <row r="126" spans="5:8">
      <c r="E126" s="442" t="str">
        <f t="shared" si="1"/>
        <v>千葉県栄町</v>
      </c>
      <c r="F126" s="442" t="s">
        <v>617</v>
      </c>
      <c r="G126" s="444" t="s">
        <v>446</v>
      </c>
      <c r="H126" s="444" t="s">
        <v>1032</v>
      </c>
    </row>
    <row r="127" spans="5:8">
      <c r="E127" s="38" t="str">
        <f t="shared" si="1"/>
        <v>千葉県野田市</v>
      </c>
      <c r="F127" s="38" t="s">
        <v>617</v>
      </c>
      <c r="G127" s="30" t="s">
        <v>440</v>
      </c>
      <c r="H127" s="30" t="s">
        <v>33</v>
      </c>
    </row>
    <row r="128" spans="5:8">
      <c r="E128" s="38" t="str">
        <f t="shared" si="1"/>
        <v>千葉県茂原市</v>
      </c>
      <c r="F128" s="38" t="s">
        <v>617</v>
      </c>
      <c r="G128" s="30" t="s">
        <v>441</v>
      </c>
      <c r="H128" s="30" t="s">
        <v>33</v>
      </c>
    </row>
    <row r="129" spans="2:10" s="25" customFormat="1">
      <c r="B129"/>
      <c r="C129"/>
      <c r="D129"/>
      <c r="E129" s="38" t="str">
        <f t="shared" si="1"/>
        <v>千葉県柏市</v>
      </c>
      <c r="F129" s="38" t="s">
        <v>617</v>
      </c>
      <c r="G129" s="30" t="s">
        <v>668</v>
      </c>
      <c r="H129" s="30" t="s">
        <v>33</v>
      </c>
      <c r="J129" s="33"/>
    </row>
    <row r="130" spans="2:10" s="25" customFormat="1">
      <c r="B130"/>
      <c r="C130"/>
      <c r="D130"/>
      <c r="E130" s="38" t="str">
        <f t="shared" ref="E130:E193" si="2">F130&amp;G130</f>
        <v>千葉県流山市</v>
      </c>
      <c r="F130" s="38" t="s">
        <v>617</v>
      </c>
      <c r="G130" s="30" t="s">
        <v>693</v>
      </c>
      <c r="H130" s="30" t="s">
        <v>33</v>
      </c>
      <c r="J130" s="33"/>
    </row>
    <row r="131" spans="2:10" s="25" customFormat="1">
      <c r="B131"/>
      <c r="C131"/>
      <c r="D131"/>
      <c r="E131" s="38" t="str">
        <f t="shared" si="2"/>
        <v>千葉県我孫子市</v>
      </c>
      <c r="F131" s="38" t="s">
        <v>617</v>
      </c>
      <c r="G131" s="30" t="s">
        <v>442</v>
      </c>
      <c r="H131" s="30" t="s">
        <v>33</v>
      </c>
      <c r="J131" s="33"/>
    </row>
    <row r="132" spans="2:10">
      <c r="E132" s="38" t="str">
        <f t="shared" si="2"/>
        <v>千葉県鎌ヶ谷市</v>
      </c>
      <c r="F132" s="38" t="s">
        <v>617</v>
      </c>
      <c r="G132" s="30" t="s">
        <v>443</v>
      </c>
      <c r="H132" s="30" t="s">
        <v>33</v>
      </c>
    </row>
    <row r="133" spans="2:10">
      <c r="E133" s="38" t="str">
        <f t="shared" si="2"/>
        <v>千葉県袖ヶ浦市</v>
      </c>
      <c r="F133" s="38" t="s">
        <v>617</v>
      </c>
      <c r="G133" s="30" t="s">
        <v>444</v>
      </c>
      <c r="H133" s="30" t="s">
        <v>33</v>
      </c>
    </row>
    <row r="134" spans="2:10">
      <c r="E134" s="38" t="str">
        <f t="shared" si="2"/>
        <v>千葉県白井市</v>
      </c>
      <c r="F134" s="38" t="s">
        <v>617</v>
      </c>
      <c r="G134" s="30" t="s">
        <v>445</v>
      </c>
      <c r="H134" s="30" t="s">
        <v>33</v>
      </c>
    </row>
    <row r="135" spans="2:10">
      <c r="E135" s="38" t="str">
        <f t="shared" si="2"/>
        <v>千葉県酒々井町</v>
      </c>
      <c r="F135" s="38" t="s">
        <v>617</v>
      </c>
      <c r="G135" s="30" t="s">
        <v>626</v>
      </c>
      <c r="H135" s="30" t="s">
        <v>33</v>
      </c>
    </row>
    <row r="136" spans="2:10">
      <c r="E136" s="38" t="str">
        <f t="shared" si="2"/>
        <v>千葉県木更津市</v>
      </c>
      <c r="F136" s="38" t="s">
        <v>617</v>
      </c>
      <c r="G136" s="30" t="s">
        <v>694</v>
      </c>
      <c r="H136" s="30" t="s">
        <v>85</v>
      </c>
    </row>
    <row r="137" spans="2:10">
      <c r="E137" s="38" t="str">
        <f t="shared" si="2"/>
        <v>千葉県東金市</v>
      </c>
      <c r="F137" s="38" t="s">
        <v>617</v>
      </c>
      <c r="G137" s="30" t="s">
        <v>447</v>
      </c>
      <c r="H137" s="30" t="s">
        <v>85</v>
      </c>
    </row>
    <row r="138" spans="2:10">
      <c r="E138" s="38" t="str">
        <f t="shared" si="2"/>
        <v>千葉県君津市</v>
      </c>
      <c r="F138" s="38" t="s">
        <v>617</v>
      </c>
      <c r="G138" s="30" t="s">
        <v>627</v>
      </c>
      <c r="H138" s="30" t="s">
        <v>85</v>
      </c>
    </row>
    <row r="139" spans="2:10">
      <c r="E139" s="38" t="str">
        <f t="shared" si="2"/>
        <v>千葉県富津市</v>
      </c>
      <c r="F139" s="38" t="s">
        <v>617</v>
      </c>
      <c r="G139" s="30" t="s">
        <v>448</v>
      </c>
      <c r="H139" s="30" t="s">
        <v>85</v>
      </c>
    </row>
    <row r="140" spans="2:10">
      <c r="E140" s="38" t="str">
        <f t="shared" si="2"/>
        <v>千葉県八街市</v>
      </c>
      <c r="F140" s="38" t="s">
        <v>617</v>
      </c>
      <c r="G140" s="30" t="s">
        <v>449</v>
      </c>
      <c r="H140" s="30" t="s">
        <v>85</v>
      </c>
    </row>
    <row r="141" spans="2:10">
      <c r="E141" s="442" t="str">
        <f t="shared" si="2"/>
        <v>千葉県富里市</v>
      </c>
      <c r="F141" s="442" t="s">
        <v>617</v>
      </c>
      <c r="G141" s="444" t="s">
        <v>1036</v>
      </c>
      <c r="H141" s="444" t="s">
        <v>85</v>
      </c>
    </row>
    <row r="142" spans="2:10">
      <c r="E142" s="38" t="str">
        <f t="shared" si="2"/>
        <v>千葉県山武市</v>
      </c>
      <c r="F142" s="38" t="s">
        <v>617</v>
      </c>
      <c r="G142" s="30" t="s">
        <v>450</v>
      </c>
      <c r="H142" s="30" t="s">
        <v>85</v>
      </c>
    </row>
    <row r="143" spans="2:10">
      <c r="E143" s="38" t="str">
        <f t="shared" si="2"/>
        <v>千葉県大網白里町</v>
      </c>
      <c r="F143" s="38" t="s">
        <v>617</v>
      </c>
      <c r="G143" s="30" t="s">
        <v>451</v>
      </c>
      <c r="H143" s="30" t="s">
        <v>85</v>
      </c>
    </row>
    <row r="144" spans="2:10">
      <c r="E144" s="38" t="str">
        <f t="shared" si="2"/>
        <v>千葉県長柄町</v>
      </c>
      <c r="F144" s="38" t="s">
        <v>617</v>
      </c>
      <c r="G144" s="30" t="s">
        <v>452</v>
      </c>
      <c r="H144" s="30" t="s">
        <v>85</v>
      </c>
    </row>
    <row r="145" spans="2:8">
      <c r="E145" s="38" t="str">
        <f t="shared" si="2"/>
        <v>千葉県長南町</v>
      </c>
      <c r="F145" s="38" t="s">
        <v>617</v>
      </c>
      <c r="G145" s="30" t="s">
        <v>453</v>
      </c>
      <c r="H145" s="30" t="s">
        <v>85</v>
      </c>
    </row>
    <row r="146" spans="2:8">
      <c r="E146" s="38" t="str">
        <f t="shared" si="2"/>
        <v>千葉県その他の地域</v>
      </c>
      <c r="F146" s="38" t="s">
        <v>617</v>
      </c>
      <c r="G146" s="39" t="s">
        <v>742</v>
      </c>
      <c r="H146" s="39" t="s">
        <v>53</v>
      </c>
    </row>
    <row r="147" spans="2:8">
      <c r="E147" s="38" t="str">
        <f t="shared" si="2"/>
        <v>岐阜県岐阜市</v>
      </c>
      <c r="F147" t="s">
        <v>87</v>
      </c>
      <c r="G147" s="30" t="s">
        <v>86</v>
      </c>
      <c r="H147" s="30" t="s">
        <v>33</v>
      </c>
    </row>
    <row r="148" spans="2:8">
      <c r="E148" s="38" t="str">
        <f t="shared" si="2"/>
        <v>岐阜県大垣市</v>
      </c>
      <c r="F148" t="s">
        <v>87</v>
      </c>
      <c r="G148" s="33" t="s">
        <v>454</v>
      </c>
      <c r="H148" s="30" t="s">
        <v>85</v>
      </c>
    </row>
    <row r="149" spans="2:8">
      <c r="E149" s="38" t="str">
        <f t="shared" si="2"/>
        <v>岐阜県多治見市</v>
      </c>
      <c r="F149" t="s">
        <v>87</v>
      </c>
      <c r="G149" s="33" t="s">
        <v>455</v>
      </c>
      <c r="H149" s="30" t="s">
        <v>85</v>
      </c>
    </row>
    <row r="150" spans="2:8">
      <c r="E150" s="38" t="str">
        <f t="shared" si="2"/>
        <v>岐阜県各務原市</v>
      </c>
      <c r="F150" t="s">
        <v>87</v>
      </c>
      <c r="G150" s="33" t="s">
        <v>456</v>
      </c>
      <c r="H150" s="30" t="s">
        <v>85</v>
      </c>
    </row>
    <row r="151" spans="2:8">
      <c r="B151" s="25"/>
      <c r="C151" s="25"/>
      <c r="D151" s="25"/>
      <c r="E151" s="38" t="str">
        <f t="shared" si="2"/>
        <v>岐阜県可児市</v>
      </c>
      <c r="F151" t="s">
        <v>87</v>
      </c>
      <c r="G151" s="33" t="s">
        <v>457</v>
      </c>
      <c r="H151" s="30" t="s">
        <v>85</v>
      </c>
    </row>
    <row r="152" spans="2:8">
      <c r="B152" s="25"/>
      <c r="C152" s="25"/>
      <c r="D152" s="25"/>
      <c r="E152" s="38" t="str">
        <f t="shared" si="2"/>
        <v>岐阜県その他の地域</v>
      </c>
      <c r="F152" t="s">
        <v>87</v>
      </c>
      <c r="G152" s="39" t="s">
        <v>743</v>
      </c>
      <c r="H152" s="39" t="s">
        <v>53</v>
      </c>
    </row>
    <row r="153" spans="2:8">
      <c r="B153" s="25"/>
      <c r="C153" s="25"/>
      <c r="D153" s="25"/>
      <c r="E153" s="38" t="str">
        <f t="shared" si="2"/>
        <v>静岡県静岡市</v>
      </c>
      <c r="F153" t="s">
        <v>28</v>
      </c>
      <c r="G153" s="30" t="s">
        <v>29</v>
      </c>
      <c r="H153" s="33" t="s">
        <v>33</v>
      </c>
    </row>
    <row r="154" spans="2:8">
      <c r="E154" s="38" t="str">
        <f t="shared" si="2"/>
        <v>静岡県浜松市</v>
      </c>
      <c r="F154" t="s">
        <v>28</v>
      </c>
      <c r="G154" s="30" t="s">
        <v>458</v>
      </c>
      <c r="H154" s="33" t="s">
        <v>85</v>
      </c>
    </row>
    <row r="155" spans="2:8">
      <c r="E155" s="38" t="str">
        <f t="shared" si="2"/>
        <v>静岡県沼津市</v>
      </c>
      <c r="F155" t="s">
        <v>28</v>
      </c>
      <c r="G155" s="30" t="s">
        <v>459</v>
      </c>
      <c r="H155" s="33" t="s">
        <v>85</v>
      </c>
    </row>
    <row r="156" spans="2:8">
      <c r="E156" s="38" t="str">
        <f t="shared" si="2"/>
        <v>静岡県三島市</v>
      </c>
      <c r="F156" t="s">
        <v>28</v>
      </c>
      <c r="G156" s="30" t="s">
        <v>460</v>
      </c>
      <c r="H156" s="30" t="s">
        <v>85</v>
      </c>
    </row>
    <row r="157" spans="2:8">
      <c r="E157" s="38" t="str">
        <f t="shared" si="2"/>
        <v>静岡県富士宮市</v>
      </c>
      <c r="F157" t="s">
        <v>28</v>
      </c>
      <c r="G157" s="30" t="s">
        <v>461</v>
      </c>
      <c r="H157" s="30" t="s">
        <v>85</v>
      </c>
    </row>
    <row r="158" spans="2:8">
      <c r="E158" s="38" t="str">
        <f t="shared" si="2"/>
        <v>静岡県島田市</v>
      </c>
      <c r="F158" t="s">
        <v>28</v>
      </c>
      <c r="G158" s="30" t="s">
        <v>462</v>
      </c>
      <c r="H158" s="30" t="s">
        <v>85</v>
      </c>
    </row>
    <row r="159" spans="2:8">
      <c r="E159" s="38" t="str">
        <f t="shared" si="2"/>
        <v>静岡県富士市</v>
      </c>
      <c r="F159" t="s">
        <v>28</v>
      </c>
      <c r="G159" s="30" t="s">
        <v>463</v>
      </c>
      <c r="H159" s="30" t="s">
        <v>85</v>
      </c>
    </row>
    <row r="160" spans="2:8">
      <c r="E160" s="38" t="str">
        <f t="shared" si="2"/>
        <v>静岡県磐田市</v>
      </c>
      <c r="F160" t="s">
        <v>28</v>
      </c>
      <c r="G160" s="30" t="s">
        <v>464</v>
      </c>
      <c r="H160" s="30" t="s">
        <v>85</v>
      </c>
    </row>
    <row r="161" spans="5:8">
      <c r="E161" s="38" t="str">
        <f t="shared" si="2"/>
        <v>静岡県焼津市</v>
      </c>
      <c r="F161" t="s">
        <v>28</v>
      </c>
      <c r="G161" s="30" t="s">
        <v>465</v>
      </c>
      <c r="H161" s="30" t="s">
        <v>85</v>
      </c>
    </row>
    <row r="162" spans="5:8">
      <c r="E162" s="38" t="str">
        <f t="shared" si="2"/>
        <v>静岡県掛川市</v>
      </c>
      <c r="F162" t="s">
        <v>28</v>
      </c>
      <c r="G162" s="30" t="s">
        <v>466</v>
      </c>
      <c r="H162" s="30" t="s">
        <v>85</v>
      </c>
    </row>
    <row r="163" spans="5:8">
      <c r="E163" s="38" t="str">
        <f t="shared" si="2"/>
        <v>静岡県藤枝市</v>
      </c>
      <c r="F163" t="s">
        <v>28</v>
      </c>
      <c r="G163" s="30" t="s">
        <v>467</v>
      </c>
      <c r="H163" s="30" t="s">
        <v>85</v>
      </c>
    </row>
    <row r="164" spans="5:8">
      <c r="E164" s="38" t="str">
        <f t="shared" si="2"/>
        <v>静岡県御殿場市</v>
      </c>
      <c r="F164" t="s">
        <v>28</v>
      </c>
      <c r="G164" s="30" t="s">
        <v>468</v>
      </c>
      <c r="H164" s="30" t="s">
        <v>85</v>
      </c>
    </row>
    <row r="165" spans="5:8">
      <c r="E165" s="38" t="str">
        <f t="shared" si="2"/>
        <v>静岡県袋井市</v>
      </c>
      <c r="F165" t="s">
        <v>28</v>
      </c>
      <c r="G165" s="30" t="s">
        <v>469</v>
      </c>
      <c r="H165" s="30" t="s">
        <v>85</v>
      </c>
    </row>
    <row r="166" spans="5:8">
      <c r="E166" s="38" t="str">
        <f t="shared" si="2"/>
        <v>静岡県裾野市</v>
      </c>
      <c r="F166" t="s">
        <v>28</v>
      </c>
      <c r="G166" s="30" t="s">
        <v>470</v>
      </c>
      <c r="H166" s="30" t="s">
        <v>85</v>
      </c>
    </row>
    <row r="167" spans="5:8">
      <c r="E167" s="38" t="str">
        <f t="shared" si="2"/>
        <v>静岡県函南町</v>
      </c>
      <c r="F167" t="s">
        <v>28</v>
      </c>
      <c r="G167" s="30" t="s">
        <v>471</v>
      </c>
      <c r="H167" s="30" t="s">
        <v>85</v>
      </c>
    </row>
    <row r="168" spans="5:8">
      <c r="E168" s="38" t="str">
        <f t="shared" si="2"/>
        <v>静岡県清水町</v>
      </c>
      <c r="F168" t="s">
        <v>28</v>
      </c>
      <c r="G168" s="30" t="s">
        <v>472</v>
      </c>
      <c r="H168" s="30" t="s">
        <v>85</v>
      </c>
    </row>
    <row r="169" spans="5:8">
      <c r="E169" s="38" t="str">
        <f t="shared" si="2"/>
        <v>静岡県長泉町</v>
      </c>
      <c r="F169" t="s">
        <v>28</v>
      </c>
      <c r="G169" s="30" t="s">
        <v>473</v>
      </c>
      <c r="H169" s="30" t="s">
        <v>85</v>
      </c>
    </row>
    <row r="170" spans="5:8">
      <c r="E170" s="38" t="str">
        <f t="shared" si="2"/>
        <v>静岡県小山町</v>
      </c>
      <c r="F170" t="s">
        <v>28</v>
      </c>
      <c r="G170" s="30" t="s">
        <v>474</v>
      </c>
      <c r="H170" s="30" t="s">
        <v>85</v>
      </c>
    </row>
    <row r="171" spans="5:8">
      <c r="E171" s="38" t="str">
        <f t="shared" si="2"/>
        <v>静岡県川根本町</v>
      </c>
      <c r="F171" t="s">
        <v>28</v>
      </c>
      <c r="G171" s="30" t="s">
        <v>475</v>
      </c>
      <c r="H171" s="30" t="s">
        <v>85</v>
      </c>
    </row>
    <row r="172" spans="5:8">
      <c r="E172" s="38" t="str">
        <f t="shared" si="2"/>
        <v>静岡県森町</v>
      </c>
      <c r="F172" t="s">
        <v>28</v>
      </c>
      <c r="G172" s="30" t="s">
        <v>476</v>
      </c>
      <c r="H172" s="30" t="s">
        <v>85</v>
      </c>
    </row>
    <row r="173" spans="5:8">
      <c r="E173" s="38" t="str">
        <f t="shared" si="2"/>
        <v>静岡県その他の地域</v>
      </c>
      <c r="F173" t="s">
        <v>28</v>
      </c>
      <c r="G173" s="39" t="s">
        <v>743</v>
      </c>
      <c r="H173" t="s">
        <v>55</v>
      </c>
    </row>
    <row r="174" spans="5:8">
      <c r="E174" s="38" t="str">
        <f t="shared" si="2"/>
        <v>宮城県仙台市</v>
      </c>
      <c r="F174" t="s">
        <v>26</v>
      </c>
      <c r="G174" s="30" t="s">
        <v>27</v>
      </c>
      <c r="H174" s="30" t="s">
        <v>33</v>
      </c>
    </row>
    <row r="175" spans="5:8">
      <c r="E175" s="442" t="str">
        <f t="shared" si="2"/>
        <v>宮城県多賀城市</v>
      </c>
      <c r="F175" s="444" t="s">
        <v>1033</v>
      </c>
      <c r="G175" s="444" t="s">
        <v>1034</v>
      </c>
      <c r="H175" s="444" t="s">
        <v>33</v>
      </c>
    </row>
    <row r="176" spans="5:8">
      <c r="E176" s="38" t="str">
        <f t="shared" si="2"/>
        <v>宮城県その他の地域</v>
      </c>
      <c r="F176" t="s">
        <v>26</v>
      </c>
      <c r="G176" s="39" t="s">
        <v>742</v>
      </c>
      <c r="H176" t="s">
        <v>55</v>
      </c>
    </row>
    <row r="177" spans="5:8">
      <c r="E177" s="38" t="str">
        <f t="shared" si="2"/>
        <v>茨城県牛久市</v>
      </c>
      <c r="F177" t="s">
        <v>36</v>
      </c>
      <c r="G177" s="30" t="s">
        <v>328</v>
      </c>
      <c r="H177" s="30" t="s">
        <v>17</v>
      </c>
    </row>
    <row r="178" spans="5:8">
      <c r="E178" s="38" t="str">
        <f t="shared" si="2"/>
        <v>茨城県水戸市</v>
      </c>
      <c r="F178" t="s">
        <v>36</v>
      </c>
      <c r="G178" s="30" t="s">
        <v>477</v>
      </c>
      <c r="H178" s="30" t="s">
        <v>25</v>
      </c>
    </row>
    <row r="179" spans="5:8">
      <c r="E179" s="38" t="str">
        <f t="shared" si="2"/>
        <v>茨城県日立市</v>
      </c>
      <c r="F179" t="s">
        <v>36</v>
      </c>
      <c r="G179" s="30" t="s">
        <v>478</v>
      </c>
      <c r="H179" s="30" t="s">
        <v>25</v>
      </c>
    </row>
    <row r="180" spans="5:8">
      <c r="E180" s="38" t="str">
        <f t="shared" si="2"/>
        <v>茨城県龍ケ崎市</v>
      </c>
      <c r="F180" t="s">
        <v>36</v>
      </c>
      <c r="G180" s="30" t="s">
        <v>479</v>
      </c>
      <c r="H180" s="30" t="s">
        <v>25</v>
      </c>
    </row>
    <row r="181" spans="5:8">
      <c r="E181" s="38" t="str">
        <f t="shared" si="2"/>
        <v>茨城県取手市</v>
      </c>
      <c r="F181" t="s">
        <v>36</v>
      </c>
      <c r="G181" s="30" t="s">
        <v>480</v>
      </c>
      <c r="H181" s="30" t="s">
        <v>25</v>
      </c>
    </row>
    <row r="182" spans="5:8">
      <c r="E182" s="38" t="str">
        <f t="shared" si="2"/>
        <v>茨城県つくば市</v>
      </c>
      <c r="F182" t="s">
        <v>36</v>
      </c>
      <c r="G182" s="30" t="s">
        <v>481</v>
      </c>
      <c r="H182" s="30" t="s">
        <v>25</v>
      </c>
    </row>
    <row r="183" spans="5:8">
      <c r="E183" s="38" t="str">
        <f t="shared" si="2"/>
        <v>茨城県守谷市</v>
      </c>
      <c r="F183" t="s">
        <v>36</v>
      </c>
      <c r="G183" s="30" t="s">
        <v>482</v>
      </c>
      <c r="H183" s="30" t="s">
        <v>25</v>
      </c>
    </row>
    <row r="184" spans="5:8">
      <c r="E184" s="38" t="str">
        <f t="shared" si="2"/>
        <v>茨城県土浦市</v>
      </c>
      <c r="F184" t="s">
        <v>36</v>
      </c>
      <c r="G184" s="30" t="s">
        <v>695</v>
      </c>
      <c r="H184" s="30" t="s">
        <v>33</v>
      </c>
    </row>
    <row r="185" spans="5:8">
      <c r="E185" s="38" t="str">
        <f t="shared" si="2"/>
        <v>茨城県古河市</v>
      </c>
      <c r="F185" t="s">
        <v>36</v>
      </c>
      <c r="G185" s="30" t="s">
        <v>483</v>
      </c>
      <c r="H185" s="30" t="s">
        <v>33</v>
      </c>
    </row>
    <row r="186" spans="5:8">
      <c r="E186" s="38" t="str">
        <f t="shared" si="2"/>
        <v>茨城県利根町</v>
      </c>
      <c r="F186" t="s">
        <v>36</v>
      </c>
      <c r="G186" s="30" t="s">
        <v>484</v>
      </c>
      <c r="H186" s="30" t="s">
        <v>33</v>
      </c>
    </row>
    <row r="187" spans="5:8">
      <c r="E187" s="38" t="str">
        <f t="shared" si="2"/>
        <v>茨城県結城市</v>
      </c>
      <c r="F187" t="s">
        <v>36</v>
      </c>
      <c r="G187" s="30" t="s">
        <v>669</v>
      </c>
      <c r="H187" s="30" t="s">
        <v>953</v>
      </c>
    </row>
    <row r="188" spans="5:8">
      <c r="E188" s="38" t="str">
        <f t="shared" si="2"/>
        <v>茨城県下妻市</v>
      </c>
      <c r="F188" t="s">
        <v>36</v>
      </c>
      <c r="G188" s="30" t="s">
        <v>628</v>
      </c>
      <c r="H188" s="30" t="s">
        <v>85</v>
      </c>
    </row>
    <row r="189" spans="5:8">
      <c r="E189" s="38" t="str">
        <f t="shared" si="2"/>
        <v>茨城県常総市</v>
      </c>
      <c r="F189" t="s">
        <v>36</v>
      </c>
      <c r="G189" s="30" t="s">
        <v>696</v>
      </c>
      <c r="H189" s="30" t="s">
        <v>85</v>
      </c>
    </row>
    <row r="190" spans="5:8">
      <c r="E190" s="38" t="str">
        <f t="shared" si="2"/>
        <v>茨城県笠間市</v>
      </c>
      <c r="F190" t="s">
        <v>36</v>
      </c>
      <c r="G190" s="30" t="s">
        <v>485</v>
      </c>
      <c r="H190" s="30" t="s">
        <v>85</v>
      </c>
    </row>
    <row r="191" spans="5:8">
      <c r="E191" s="38" t="str">
        <f t="shared" si="2"/>
        <v>茨城県ひたちなか市</v>
      </c>
      <c r="F191" t="s">
        <v>36</v>
      </c>
      <c r="G191" s="30" t="s">
        <v>486</v>
      </c>
      <c r="H191" s="30" t="s">
        <v>85</v>
      </c>
    </row>
    <row r="192" spans="5:8">
      <c r="E192" s="38" t="str">
        <f t="shared" si="2"/>
        <v>茨城県那珂市</v>
      </c>
      <c r="F192" t="s">
        <v>36</v>
      </c>
      <c r="G192" s="30" t="s">
        <v>697</v>
      </c>
      <c r="H192" s="30" t="s">
        <v>85</v>
      </c>
    </row>
    <row r="193" spans="5:8">
      <c r="E193" s="38" t="str">
        <f t="shared" si="2"/>
        <v>茨城県筑西市</v>
      </c>
      <c r="F193" t="s">
        <v>36</v>
      </c>
      <c r="G193" s="30" t="s">
        <v>698</v>
      </c>
      <c r="H193" s="30" t="s">
        <v>85</v>
      </c>
    </row>
    <row r="194" spans="5:8">
      <c r="E194" s="38" t="str">
        <f t="shared" ref="E194:E257" si="3">F194&amp;G194</f>
        <v>茨城県坂東市</v>
      </c>
      <c r="F194" t="s">
        <v>36</v>
      </c>
      <c r="G194" s="30" t="s">
        <v>699</v>
      </c>
      <c r="H194" s="30" t="s">
        <v>85</v>
      </c>
    </row>
    <row r="195" spans="5:8">
      <c r="E195" s="38" t="str">
        <f t="shared" si="3"/>
        <v>茨城県稲敷市</v>
      </c>
      <c r="F195" t="s">
        <v>36</v>
      </c>
      <c r="G195" s="30" t="s">
        <v>700</v>
      </c>
      <c r="H195" s="30" t="s">
        <v>85</v>
      </c>
    </row>
    <row r="196" spans="5:8">
      <c r="E196" s="38" t="str">
        <f t="shared" si="3"/>
        <v>茨城県つくばみらい市</v>
      </c>
      <c r="F196" t="s">
        <v>36</v>
      </c>
      <c r="G196" s="30" t="s">
        <v>629</v>
      </c>
      <c r="H196" s="30" t="s">
        <v>85</v>
      </c>
    </row>
    <row r="197" spans="5:8">
      <c r="E197" s="38" t="str">
        <f t="shared" si="3"/>
        <v>茨城県大洗町</v>
      </c>
      <c r="F197" t="s">
        <v>36</v>
      </c>
      <c r="G197" s="30" t="s">
        <v>487</v>
      </c>
      <c r="H197" s="30" t="s">
        <v>85</v>
      </c>
    </row>
    <row r="198" spans="5:8">
      <c r="E198" s="38" t="str">
        <f t="shared" si="3"/>
        <v>茨城県阿見町</v>
      </c>
      <c r="F198" t="s">
        <v>36</v>
      </c>
      <c r="G198" s="30" t="s">
        <v>701</v>
      </c>
      <c r="H198" s="30" t="s">
        <v>85</v>
      </c>
    </row>
    <row r="199" spans="5:8">
      <c r="E199" s="38" t="str">
        <f t="shared" si="3"/>
        <v>茨城県河内町</v>
      </c>
      <c r="F199" t="s">
        <v>36</v>
      </c>
      <c r="G199" s="30" t="s">
        <v>670</v>
      </c>
      <c r="H199" s="30" t="s">
        <v>85</v>
      </c>
    </row>
    <row r="200" spans="5:8">
      <c r="E200" s="38" t="str">
        <f t="shared" si="3"/>
        <v>茨城県八千代町</v>
      </c>
      <c r="F200" t="s">
        <v>36</v>
      </c>
      <c r="G200" s="30" t="s">
        <v>702</v>
      </c>
      <c r="H200" s="30" t="s">
        <v>85</v>
      </c>
    </row>
    <row r="201" spans="5:8">
      <c r="E201" s="38" t="str">
        <f t="shared" si="3"/>
        <v>茨城県五霞町</v>
      </c>
      <c r="F201" t="s">
        <v>36</v>
      </c>
      <c r="G201" s="30" t="s">
        <v>703</v>
      </c>
      <c r="H201" s="30" t="s">
        <v>85</v>
      </c>
    </row>
    <row r="202" spans="5:8">
      <c r="E202" s="38" t="str">
        <f t="shared" si="3"/>
        <v>茨城県境町</v>
      </c>
      <c r="F202" t="s">
        <v>36</v>
      </c>
      <c r="G202" s="30" t="s">
        <v>704</v>
      </c>
      <c r="H202" s="30" t="s">
        <v>85</v>
      </c>
    </row>
    <row r="203" spans="5:8">
      <c r="E203" s="38" t="str">
        <f t="shared" si="3"/>
        <v>茨城県その他の地域</v>
      </c>
      <c r="F203" t="s">
        <v>36</v>
      </c>
      <c r="G203" s="39" t="s">
        <v>743</v>
      </c>
      <c r="H203" t="s">
        <v>55</v>
      </c>
    </row>
    <row r="204" spans="5:8">
      <c r="E204" s="38" t="str">
        <f t="shared" si="3"/>
        <v>栃木県宇都宮市</v>
      </c>
      <c r="F204" t="s">
        <v>37</v>
      </c>
      <c r="G204" s="30" t="s">
        <v>488</v>
      </c>
      <c r="H204" s="30" t="s">
        <v>33</v>
      </c>
    </row>
    <row r="205" spans="5:8">
      <c r="E205" s="38" t="str">
        <f t="shared" si="3"/>
        <v>栃木県下野市</v>
      </c>
      <c r="F205" t="s">
        <v>37</v>
      </c>
      <c r="G205" s="30" t="s">
        <v>489</v>
      </c>
      <c r="H205" s="30" t="s">
        <v>33</v>
      </c>
    </row>
    <row r="206" spans="5:8">
      <c r="E206" s="38" t="str">
        <f t="shared" si="3"/>
        <v>栃木県野木町</v>
      </c>
      <c r="F206" t="s">
        <v>37</v>
      </c>
      <c r="G206" s="30" t="s">
        <v>490</v>
      </c>
      <c r="H206" s="30" t="s">
        <v>33</v>
      </c>
    </row>
    <row r="207" spans="5:8">
      <c r="E207" s="38" t="str">
        <f t="shared" si="3"/>
        <v>栃木県栃木市</v>
      </c>
      <c r="F207" t="s">
        <v>37</v>
      </c>
      <c r="G207" s="30" t="s">
        <v>491</v>
      </c>
      <c r="H207" s="30" t="s">
        <v>85</v>
      </c>
    </row>
    <row r="208" spans="5:8">
      <c r="E208" s="38" t="str">
        <f t="shared" si="3"/>
        <v>栃木県鹿沼市</v>
      </c>
      <c r="F208" t="s">
        <v>37</v>
      </c>
      <c r="G208" s="30" t="s">
        <v>492</v>
      </c>
      <c r="H208" s="30" t="s">
        <v>85</v>
      </c>
    </row>
    <row r="209" spans="5:8">
      <c r="E209" s="38" t="str">
        <f t="shared" si="3"/>
        <v>栃木県日光市</v>
      </c>
      <c r="F209" t="s">
        <v>37</v>
      </c>
      <c r="G209" s="30" t="s">
        <v>493</v>
      </c>
      <c r="H209" s="30" t="s">
        <v>85</v>
      </c>
    </row>
    <row r="210" spans="5:8">
      <c r="E210" s="38" t="str">
        <f t="shared" si="3"/>
        <v>栃木県小山市</v>
      </c>
      <c r="F210" t="s">
        <v>37</v>
      </c>
      <c r="G210" s="30" t="s">
        <v>494</v>
      </c>
      <c r="H210" s="30" t="s">
        <v>85</v>
      </c>
    </row>
    <row r="211" spans="5:8">
      <c r="E211" s="38" t="str">
        <f t="shared" si="3"/>
        <v>栃木県真岡市</v>
      </c>
      <c r="F211" t="s">
        <v>37</v>
      </c>
      <c r="G211" s="30" t="s">
        <v>495</v>
      </c>
      <c r="H211" s="30" t="s">
        <v>85</v>
      </c>
    </row>
    <row r="212" spans="5:8">
      <c r="E212" s="38" t="str">
        <f t="shared" si="3"/>
        <v>栃木県大田原市</v>
      </c>
      <c r="F212" t="s">
        <v>37</v>
      </c>
      <c r="G212" s="30" t="s">
        <v>496</v>
      </c>
      <c r="H212" s="30" t="s">
        <v>85</v>
      </c>
    </row>
    <row r="213" spans="5:8">
      <c r="E213" s="38" t="str">
        <f t="shared" si="3"/>
        <v>栃木県さくら市</v>
      </c>
      <c r="F213" t="s">
        <v>37</v>
      </c>
      <c r="G213" s="30" t="s">
        <v>497</v>
      </c>
      <c r="H213" s="30" t="s">
        <v>85</v>
      </c>
    </row>
    <row r="214" spans="5:8">
      <c r="E214" s="38" t="str">
        <f t="shared" si="3"/>
        <v>栃木県壬生町</v>
      </c>
      <c r="F214" t="s">
        <v>37</v>
      </c>
      <c r="G214" s="30" t="s">
        <v>498</v>
      </c>
      <c r="H214" s="30" t="s">
        <v>85</v>
      </c>
    </row>
    <row r="215" spans="5:8">
      <c r="E215" s="38" t="str">
        <f t="shared" si="3"/>
        <v>栃木県その他の地域</v>
      </c>
      <c r="F215" t="s">
        <v>37</v>
      </c>
      <c r="G215" s="39" t="s">
        <v>743</v>
      </c>
      <c r="H215" t="s">
        <v>55</v>
      </c>
    </row>
    <row r="216" spans="5:8">
      <c r="E216" s="38" t="str">
        <f t="shared" si="3"/>
        <v>群馬県高崎市</v>
      </c>
      <c r="F216" t="s">
        <v>38</v>
      </c>
      <c r="G216" s="30" t="s">
        <v>499</v>
      </c>
      <c r="H216" s="30" t="s">
        <v>33</v>
      </c>
    </row>
    <row r="217" spans="5:8">
      <c r="E217" s="38" t="str">
        <f t="shared" si="3"/>
        <v>群馬県前橋市</v>
      </c>
      <c r="F217" t="s">
        <v>38</v>
      </c>
      <c r="G217" s="30" t="s">
        <v>500</v>
      </c>
      <c r="H217" s="30" t="s">
        <v>85</v>
      </c>
    </row>
    <row r="218" spans="5:8">
      <c r="E218" s="38" t="str">
        <f t="shared" si="3"/>
        <v>群馬県伊勢崎市</v>
      </c>
      <c r="F218" t="s">
        <v>38</v>
      </c>
      <c r="G218" s="30" t="s">
        <v>501</v>
      </c>
      <c r="H218" s="30" t="s">
        <v>85</v>
      </c>
    </row>
    <row r="219" spans="5:8">
      <c r="E219" s="38" t="str">
        <f t="shared" si="3"/>
        <v>群馬県太田市</v>
      </c>
      <c r="F219" t="s">
        <v>38</v>
      </c>
      <c r="G219" s="30" t="s">
        <v>502</v>
      </c>
      <c r="H219" s="30" t="s">
        <v>85</v>
      </c>
    </row>
    <row r="220" spans="5:8">
      <c r="E220" s="38" t="str">
        <f t="shared" si="3"/>
        <v>群馬県渋川市</v>
      </c>
      <c r="F220" t="s">
        <v>38</v>
      </c>
      <c r="G220" s="30" t="s">
        <v>503</v>
      </c>
      <c r="H220" s="30" t="s">
        <v>85</v>
      </c>
    </row>
    <row r="221" spans="5:8">
      <c r="E221" s="38" t="str">
        <f t="shared" si="3"/>
        <v>群馬県玉村町</v>
      </c>
      <c r="F221" t="s">
        <v>38</v>
      </c>
      <c r="G221" s="30" t="s">
        <v>504</v>
      </c>
      <c r="H221" s="30" t="s">
        <v>85</v>
      </c>
    </row>
    <row r="222" spans="5:8">
      <c r="E222" s="38" t="str">
        <f t="shared" si="3"/>
        <v>群馬県その他の地域</v>
      </c>
      <c r="F222" t="s">
        <v>38</v>
      </c>
      <c r="G222" s="39" t="s">
        <v>744</v>
      </c>
      <c r="H222" s="39" t="s">
        <v>53</v>
      </c>
    </row>
    <row r="223" spans="5:8">
      <c r="E223" s="38" t="str">
        <f t="shared" si="3"/>
        <v>新潟県新潟市</v>
      </c>
      <c r="F223" t="s">
        <v>88</v>
      </c>
      <c r="G223" s="30" t="s">
        <v>89</v>
      </c>
      <c r="H223" s="30" t="s">
        <v>85</v>
      </c>
    </row>
    <row r="224" spans="5:8">
      <c r="E224" s="38" t="str">
        <f t="shared" si="3"/>
        <v>新潟県その他の地域</v>
      </c>
      <c r="F224" t="s">
        <v>88</v>
      </c>
      <c r="G224" s="39" t="s">
        <v>743</v>
      </c>
      <c r="H224" t="s">
        <v>55</v>
      </c>
    </row>
    <row r="225" spans="5:8">
      <c r="E225" s="38" t="str">
        <f t="shared" si="3"/>
        <v>富山県富山市</v>
      </c>
      <c r="F225" t="s">
        <v>90</v>
      </c>
      <c r="G225" s="30" t="s">
        <v>91</v>
      </c>
      <c r="H225" s="30" t="s">
        <v>85</v>
      </c>
    </row>
    <row r="226" spans="5:8">
      <c r="E226" s="38" t="str">
        <f t="shared" si="3"/>
        <v>富山県その他の地域</v>
      </c>
      <c r="F226" t="s">
        <v>90</v>
      </c>
      <c r="G226" s="30" t="s">
        <v>745</v>
      </c>
      <c r="H226" s="30" t="s">
        <v>55</v>
      </c>
    </row>
    <row r="227" spans="5:8">
      <c r="E227" s="38" t="str">
        <f t="shared" si="3"/>
        <v>石川県金沢市</v>
      </c>
      <c r="F227" t="s">
        <v>39</v>
      </c>
      <c r="G227" s="30" t="s">
        <v>630</v>
      </c>
      <c r="H227" s="30" t="s">
        <v>85</v>
      </c>
    </row>
    <row r="228" spans="5:8">
      <c r="E228" s="38" t="str">
        <f t="shared" si="3"/>
        <v>石川県内灘町</v>
      </c>
      <c r="F228" t="s">
        <v>39</v>
      </c>
      <c r="G228" s="30" t="s">
        <v>505</v>
      </c>
      <c r="H228" s="30" t="s">
        <v>85</v>
      </c>
    </row>
    <row r="229" spans="5:8">
      <c r="E229" s="38" t="str">
        <f t="shared" si="3"/>
        <v>石川県その他の地域</v>
      </c>
      <c r="F229" t="s">
        <v>39</v>
      </c>
      <c r="G229" s="39" t="s">
        <v>746</v>
      </c>
      <c r="H229" s="39" t="s">
        <v>53</v>
      </c>
    </row>
    <row r="230" spans="5:8">
      <c r="E230" s="38" t="str">
        <f t="shared" si="3"/>
        <v>山梨県甲府市</v>
      </c>
      <c r="F230" t="s">
        <v>42</v>
      </c>
      <c r="G230" s="30" t="s">
        <v>43</v>
      </c>
      <c r="H230" s="30" t="s">
        <v>85</v>
      </c>
    </row>
    <row r="231" spans="5:8">
      <c r="E231" s="38" t="str">
        <f t="shared" si="3"/>
        <v>山梨県その他の地域</v>
      </c>
      <c r="F231" t="s">
        <v>42</v>
      </c>
      <c r="G231" s="39" t="s">
        <v>743</v>
      </c>
      <c r="H231" s="39" t="s">
        <v>53</v>
      </c>
    </row>
    <row r="232" spans="5:8">
      <c r="E232" s="38" t="str">
        <f t="shared" si="3"/>
        <v>長野県長野市</v>
      </c>
      <c r="F232" t="s">
        <v>44</v>
      </c>
      <c r="G232" s="30" t="s">
        <v>506</v>
      </c>
      <c r="H232" s="30" t="s">
        <v>85</v>
      </c>
    </row>
    <row r="233" spans="5:8">
      <c r="E233" s="38" t="str">
        <f t="shared" si="3"/>
        <v>長野県松本市</v>
      </c>
      <c r="F233" t="s">
        <v>44</v>
      </c>
      <c r="G233" s="30" t="s">
        <v>705</v>
      </c>
      <c r="H233" s="30" t="s">
        <v>85</v>
      </c>
    </row>
    <row r="234" spans="5:8">
      <c r="E234" s="38" t="str">
        <f t="shared" si="3"/>
        <v>長野県塩尻市</v>
      </c>
      <c r="F234" t="s">
        <v>44</v>
      </c>
      <c r="G234" s="30" t="s">
        <v>507</v>
      </c>
      <c r="H234" s="30" t="s">
        <v>85</v>
      </c>
    </row>
    <row r="235" spans="5:8">
      <c r="E235" s="38" t="str">
        <f t="shared" si="3"/>
        <v>長野県その他の地域</v>
      </c>
      <c r="F235" t="s">
        <v>44</v>
      </c>
      <c r="G235" s="39" t="s">
        <v>744</v>
      </c>
      <c r="H235" s="39" t="s">
        <v>53</v>
      </c>
    </row>
    <row r="236" spans="5:8">
      <c r="E236" s="38" t="str">
        <f t="shared" si="3"/>
        <v>愛知県名古屋市</v>
      </c>
      <c r="F236" t="s">
        <v>15</v>
      </c>
      <c r="G236" s="30" t="s">
        <v>329</v>
      </c>
      <c r="H236" s="30" t="s">
        <v>14</v>
      </c>
    </row>
    <row r="237" spans="5:8">
      <c r="E237" s="442" t="str">
        <f t="shared" si="3"/>
        <v>愛知県刈谷市</v>
      </c>
      <c r="F237" s="444" t="s">
        <v>15</v>
      </c>
      <c r="G237" s="444" t="s">
        <v>508</v>
      </c>
      <c r="H237" s="444" t="s">
        <v>1031</v>
      </c>
    </row>
    <row r="238" spans="5:8">
      <c r="E238" s="442" t="str">
        <f t="shared" si="3"/>
        <v>愛知県豊田市</v>
      </c>
      <c r="F238" s="444" t="s">
        <v>15</v>
      </c>
      <c r="G238" s="444" t="s">
        <v>509</v>
      </c>
      <c r="H238" s="444" t="s">
        <v>1031</v>
      </c>
    </row>
    <row r="239" spans="5:8">
      <c r="E239" s="442" t="str">
        <f t="shared" si="3"/>
        <v>愛知県みよし市</v>
      </c>
      <c r="F239" s="444" t="s">
        <v>15</v>
      </c>
      <c r="G239" s="444" t="s">
        <v>510</v>
      </c>
      <c r="H239" s="444" t="s">
        <v>1032</v>
      </c>
    </row>
    <row r="240" spans="5:8">
      <c r="E240" s="38" t="str">
        <f t="shared" si="3"/>
        <v>愛知県岡崎市</v>
      </c>
      <c r="F240" t="s">
        <v>15</v>
      </c>
      <c r="G240" s="30" t="s">
        <v>706</v>
      </c>
      <c r="H240" s="30" t="s">
        <v>33</v>
      </c>
    </row>
    <row r="241" spans="5:8">
      <c r="E241" s="442" t="str">
        <f t="shared" si="3"/>
        <v>愛知県瀬戸市</v>
      </c>
      <c r="F241" s="444" t="s">
        <v>15</v>
      </c>
      <c r="G241" s="444" t="s">
        <v>512</v>
      </c>
      <c r="H241" s="444" t="s">
        <v>1035</v>
      </c>
    </row>
    <row r="242" spans="5:8">
      <c r="E242" s="38" t="str">
        <f t="shared" si="3"/>
        <v>愛知県春日井市</v>
      </c>
      <c r="F242" t="s">
        <v>15</v>
      </c>
      <c r="G242" s="30" t="s">
        <v>631</v>
      </c>
      <c r="H242" s="30" t="s">
        <v>33</v>
      </c>
    </row>
    <row r="243" spans="5:8">
      <c r="E243" s="38" t="str">
        <f t="shared" si="3"/>
        <v>愛知県津島市</v>
      </c>
      <c r="F243" t="s">
        <v>15</v>
      </c>
      <c r="G243" s="30" t="s">
        <v>707</v>
      </c>
      <c r="H243" s="30" t="s">
        <v>33</v>
      </c>
    </row>
    <row r="244" spans="5:8">
      <c r="E244" s="38" t="str">
        <f t="shared" si="3"/>
        <v>愛知県碧南市</v>
      </c>
      <c r="F244" t="s">
        <v>15</v>
      </c>
      <c r="G244" s="30" t="s">
        <v>632</v>
      </c>
      <c r="H244" s="30" t="s">
        <v>33</v>
      </c>
    </row>
    <row r="245" spans="5:8">
      <c r="E245" s="38" t="str">
        <f t="shared" si="3"/>
        <v>愛知県安城市</v>
      </c>
      <c r="F245" t="s">
        <v>15</v>
      </c>
      <c r="G245" s="30" t="s">
        <v>671</v>
      </c>
      <c r="H245" s="30" t="s">
        <v>33</v>
      </c>
    </row>
    <row r="246" spans="5:8">
      <c r="E246" s="38" t="str">
        <f t="shared" si="3"/>
        <v>愛知県西尾市</v>
      </c>
      <c r="F246" t="s">
        <v>15</v>
      </c>
      <c r="G246" s="30" t="s">
        <v>633</v>
      </c>
      <c r="H246" s="30" t="s">
        <v>33</v>
      </c>
    </row>
    <row r="247" spans="5:8">
      <c r="E247" s="38" t="str">
        <f t="shared" si="3"/>
        <v>愛知県稲沢市</v>
      </c>
      <c r="F247" t="s">
        <v>15</v>
      </c>
      <c r="G247" s="30" t="s">
        <v>634</v>
      </c>
      <c r="H247" s="30" t="s">
        <v>33</v>
      </c>
    </row>
    <row r="248" spans="5:8">
      <c r="E248" s="38" t="str">
        <f t="shared" si="3"/>
        <v>愛知県知立市</v>
      </c>
      <c r="F248" t="s">
        <v>15</v>
      </c>
      <c r="G248" s="30" t="s">
        <v>708</v>
      </c>
      <c r="H248" s="30" t="s">
        <v>33</v>
      </c>
    </row>
    <row r="249" spans="5:8">
      <c r="E249" s="38" t="str">
        <f t="shared" si="3"/>
        <v>愛知県豊明市</v>
      </c>
      <c r="F249" t="s">
        <v>15</v>
      </c>
      <c r="G249" s="30" t="s">
        <v>709</v>
      </c>
      <c r="H249" s="30" t="s">
        <v>33</v>
      </c>
    </row>
    <row r="250" spans="5:8">
      <c r="E250" s="38" t="str">
        <f t="shared" si="3"/>
        <v>愛知県日進市</v>
      </c>
      <c r="F250" t="s">
        <v>15</v>
      </c>
      <c r="G250" s="30" t="s">
        <v>635</v>
      </c>
      <c r="H250" s="30" t="s">
        <v>33</v>
      </c>
    </row>
    <row r="251" spans="5:8">
      <c r="E251" s="38" t="str">
        <f t="shared" si="3"/>
        <v>愛知県愛西市</v>
      </c>
      <c r="F251" t="s">
        <v>15</v>
      </c>
      <c r="G251" s="30" t="s">
        <v>672</v>
      </c>
      <c r="H251" s="30" t="s">
        <v>33</v>
      </c>
    </row>
    <row r="252" spans="5:8">
      <c r="E252" s="442" t="str">
        <f t="shared" si="3"/>
        <v>愛知県清須市</v>
      </c>
      <c r="F252" s="444" t="s">
        <v>15</v>
      </c>
      <c r="G252" s="444" t="s">
        <v>719</v>
      </c>
      <c r="H252" s="444" t="s">
        <v>1035</v>
      </c>
    </row>
    <row r="253" spans="5:8">
      <c r="E253" s="38" t="str">
        <f t="shared" si="3"/>
        <v>愛知県北名古屋市</v>
      </c>
      <c r="F253" t="s">
        <v>15</v>
      </c>
      <c r="G253" s="30" t="s">
        <v>710</v>
      </c>
      <c r="H253" s="30" t="s">
        <v>33</v>
      </c>
    </row>
    <row r="254" spans="5:8">
      <c r="E254" s="38" t="str">
        <f t="shared" si="3"/>
        <v>愛知県弥富市</v>
      </c>
      <c r="F254" t="s">
        <v>15</v>
      </c>
      <c r="G254" s="30" t="s">
        <v>711</v>
      </c>
      <c r="H254" s="30" t="s">
        <v>33</v>
      </c>
    </row>
    <row r="255" spans="5:8">
      <c r="E255" s="38" t="str">
        <f t="shared" si="3"/>
        <v>愛知県あま市</v>
      </c>
      <c r="F255" t="s">
        <v>15</v>
      </c>
      <c r="G255" s="30" t="s">
        <v>673</v>
      </c>
      <c r="H255" s="30" t="s">
        <v>33</v>
      </c>
    </row>
    <row r="256" spans="5:8">
      <c r="E256" s="38" t="str">
        <f t="shared" si="3"/>
        <v>愛知県長久手市</v>
      </c>
      <c r="F256" t="s">
        <v>15</v>
      </c>
      <c r="G256" s="30" t="s">
        <v>636</v>
      </c>
      <c r="H256" s="30" t="s">
        <v>33</v>
      </c>
    </row>
    <row r="257" spans="5:8">
      <c r="E257" s="38" t="str">
        <f t="shared" si="3"/>
        <v>愛知県東郷町</v>
      </c>
      <c r="F257" t="s">
        <v>15</v>
      </c>
      <c r="G257" s="30" t="s">
        <v>637</v>
      </c>
      <c r="H257" s="30" t="s">
        <v>33</v>
      </c>
    </row>
    <row r="258" spans="5:8">
      <c r="E258" s="38" t="str">
        <f t="shared" ref="E258:E321" si="4">F258&amp;G258</f>
        <v>愛知県大治町</v>
      </c>
      <c r="F258" t="s">
        <v>15</v>
      </c>
      <c r="G258" s="30" t="s">
        <v>511</v>
      </c>
      <c r="H258" s="30" t="s">
        <v>33</v>
      </c>
    </row>
    <row r="259" spans="5:8">
      <c r="E259" s="38" t="str">
        <f t="shared" si="4"/>
        <v>愛知県蟹江町</v>
      </c>
      <c r="F259" t="s">
        <v>15</v>
      </c>
      <c r="G259" s="30" t="s">
        <v>638</v>
      </c>
      <c r="H259" s="30" t="s">
        <v>33</v>
      </c>
    </row>
    <row r="260" spans="5:8">
      <c r="E260" s="442" t="str">
        <f t="shared" si="4"/>
        <v>愛知県豊山町</v>
      </c>
      <c r="F260" s="444" t="s">
        <v>15</v>
      </c>
      <c r="G260" s="444" t="s">
        <v>515</v>
      </c>
      <c r="H260" s="444" t="s">
        <v>1035</v>
      </c>
    </row>
    <row r="261" spans="5:8">
      <c r="E261" s="442" t="str">
        <f t="shared" si="4"/>
        <v>愛知県飛島村</v>
      </c>
      <c r="F261" s="444" t="s">
        <v>15</v>
      </c>
      <c r="G261" s="444" t="s">
        <v>646</v>
      </c>
      <c r="H261" s="444" t="s">
        <v>1035</v>
      </c>
    </row>
    <row r="262" spans="5:8">
      <c r="E262" s="38" t="str">
        <f t="shared" si="4"/>
        <v>愛知県豊橋市</v>
      </c>
      <c r="F262" t="s">
        <v>15</v>
      </c>
      <c r="G262" s="30" t="s">
        <v>712</v>
      </c>
      <c r="H262" s="30" t="s">
        <v>85</v>
      </c>
    </row>
    <row r="263" spans="5:8">
      <c r="E263" s="38" t="str">
        <f t="shared" si="4"/>
        <v>愛知県一宮市</v>
      </c>
      <c r="F263" t="s">
        <v>15</v>
      </c>
      <c r="G263" s="30" t="s">
        <v>713</v>
      </c>
      <c r="H263" s="30" t="s">
        <v>85</v>
      </c>
    </row>
    <row r="264" spans="5:8">
      <c r="E264" s="38" t="str">
        <f t="shared" si="4"/>
        <v>愛知県半田市</v>
      </c>
      <c r="F264" t="s">
        <v>15</v>
      </c>
      <c r="G264" s="30" t="s">
        <v>674</v>
      </c>
      <c r="H264" s="30" t="s">
        <v>85</v>
      </c>
    </row>
    <row r="265" spans="5:8">
      <c r="E265" s="38" t="str">
        <f t="shared" si="4"/>
        <v>愛知県豊川市</v>
      </c>
      <c r="F265" t="s">
        <v>15</v>
      </c>
      <c r="G265" s="30" t="s">
        <v>714</v>
      </c>
      <c r="H265" s="30" t="s">
        <v>85</v>
      </c>
    </row>
    <row r="266" spans="5:8">
      <c r="E266" s="38" t="str">
        <f t="shared" si="4"/>
        <v>愛知県蒲郡市</v>
      </c>
      <c r="F266" t="s">
        <v>15</v>
      </c>
      <c r="G266" s="30" t="s">
        <v>639</v>
      </c>
      <c r="H266" s="30" t="s">
        <v>85</v>
      </c>
    </row>
    <row r="267" spans="5:8">
      <c r="E267" s="38" t="str">
        <f t="shared" si="4"/>
        <v>愛知県常滑市</v>
      </c>
      <c r="F267" t="s">
        <v>15</v>
      </c>
      <c r="G267" s="30" t="s">
        <v>513</v>
      </c>
      <c r="H267" s="30" t="s">
        <v>85</v>
      </c>
    </row>
    <row r="268" spans="5:8">
      <c r="E268" s="38" t="str">
        <f t="shared" si="4"/>
        <v>愛知県犬山市</v>
      </c>
      <c r="F268" t="s">
        <v>15</v>
      </c>
      <c r="G268" s="30" t="s">
        <v>715</v>
      </c>
      <c r="H268" s="30" t="s">
        <v>85</v>
      </c>
    </row>
    <row r="269" spans="5:8">
      <c r="E269" s="38" t="str">
        <f t="shared" si="4"/>
        <v>愛知県江南市</v>
      </c>
      <c r="F269" t="s">
        <v>15</v>
      </c>
      <c r="G269" s="30" t="s">
        <v>640</v>
      </c>
      <c r="H269" s="30" t="s">
        <v>85</v>
      </c>
    </row>
    <row r="270" spans="5:8">
      <c r="E270" s="38" t="str">
        <f t="shared" si="4"/>
        <v>愛知県小牧市</v>
      </c>
      <c r="F270" t="s">
        <v>15</v>
      </c>
      <c r="G270" s="30" t="s">
        <v>641</v>
      </c>
      <c r="H270" s="30" t="s">
        <v>85</v>
      </c>
    </row>
    <row r="271" spans="5:8">
      <c r="E271" s="38" t="str">
        <f t="shared" si="4"/>
        <v>愛知県新城市</v>
      </c>
      <c r="F271" t="s">
        <v>15</v>
      </c>
      <c r="G271" s="30" t="s">
        <v>716</v>
      </c>
      <c r="H271" s="30" t="s">
        <v>85</v>
      </c>
    </row>
    <row r="272" spans="5:8">
      <c r="E272" s="38" t="str">
        <f t="shared" si="4"/>
        <v>愛知県東海市</v>
      </c>
      <c r="F272" t="s">
        <v>15</v>
      </c>
      <c r="G272" s="30" t="s">
        <v>717</v>
      </c>
      <c r="H272" s="30" t="s">
        <v>85</v>
      </c>
    </row>
    <row r="273" spans="5:8">
      <c r="E273" s="38" t="str">
        <f t="shared" si="4"/>
        <v>愛知県大府市</v>
      </c>
      <c r="F273" t="s">
        <v>15</v>
      </c>
      <c r="G273" s="30" t="s">
        <v>675</v>
      </c>
      <c r="H273" s="30" t="s">
        <v>85</v>
      </c>
    </row>
    <row r="274" spans="5:8">
      <c r="E274" s="38" t="str">
        <f t="shared" si="4"/>
        <v>愛知県知多市</v>
      </c>
      <c r="F274" t="s">
        <v>15</v>
      </c>
      <c r="G274" s="30" t="s">
        <v>718</v>
      </c>
      <c r="H274" s="30" t="s">
        <v>85</v>
      </c>
    </row>
    <row r="275" spans="5:8">
      <c r="E275" s="38" t="str">
        <f t="shared" si="4"/>
        <v>愛知県尾張旭市</v>
      </c>
      <c r="F275" t="s">
        <v>15</v>
      </c>
      <c r="G275" s="30" t="s">
        <v>676</v>
      </c>
      <c r="H275" s="30" t="s">
        <v>85</v>
      </c>
    </row>
    <row r="276" spans="5:8">
      <c r="E276" s="38" t="str">
        <f t="shared" si="4"/>
        <v>愛知県高浜市</v>
      </c>
      <c r="F276" t="s">
        <v>15</v>
      </c>
      <c r="G276" s="30" t="s">
        <v>642</v>
      </c>
      <c r="H276" s="30" t="s">
        <v>85</v>
      </c>
    </row>
    <row r="277" spans="5:8">
      <c r="E277" s="38" t="str">
        <f t="shared" si="4"/>
        <v>愛知県岩倉市</v>
      </c>
      <c r="F277" t="s">
        <v>15</v>
      </c>
      <c r="G277" s="30" t="s">
        <v>643</v>
      </c>
      <c r="H277" s="30" t="s">
        <v>85</v>
      </c>
    </row>
    <row r="278" spans="5:8">
      <c r="E278" s="38" t="str">
        <f t="shared" si="4"/>
        <v>愛知県田原市</v>
      </c>
      <c r="F278" t="s">
        <v>15</v>
      </c>
      <c r="G278" s="30" t="s">
        <v>514</v>
      </c>
      <c r="H278" s="30" t="s">
        <v>85</v>
      </c>
    </row>
    <row r="279" spans="5:8">
      <c r="E279" s="38" t="str">
        <f t="shared" si="4"/>
        <v>愛知県大口町</v>
      </c>
      <c r="F279" t="s">
        <v>15</v>
      </c>
      <c r="G279" s="30" t="s">
        <v>644</v>
      </c>
      <c r="H279" s="30" t="s">
        <v>85</v>
      </c>
    </row>
    <row r="280" spans="5:8">
      <c r="E280" s="38" t="str">
        <f t="shared" si="4"/>
        <v>愛知県扶桑町</v>
      </c>
      <c r="F280" t="s">
        <v>15</v>
      </c>
      <c r="G280" s="30" t="s">
        <v>645</v>
      </c>
      <c r="H280" s="30" t="s">
        <v>85</v>
      </c>
    </row>
    <row r="281" spans="5:8">
      <c r="E281" s="38" t="str">
        <f t="shared" si="4"/>
        <v>愛知県阿久比町</v>
      </c>
      <c r="F281" t="s">
        <v>15</v>
      </c>
      <c r="G281" s="30" t="s">
        <v>516</v>
      </c>
      <c r="H281" s="30" t="s">
        <v>85</v>
      </c>
    </row>
    <row r="282" spans="5:8">
      <c r="E282" s="38" t="str">
        <f t="shared" si="4"/>
        <v>愛知県東浦町</v>
      </c>
      <c r="F282" t="s">
        <v>15</v>
      </c>
      <c r="G282" s="30" t="s">
        <v>647</v>
      </c>
      <c r="H282" s="30" t="s">
        <v>85</v>
      </c>
    </row>
    <row r="283" spans="5:8">
      <c r="E283" s="38" t="str">
        <f t="shared" si="4"/>
        <v>愛知県幸田町</v>
      </c>
      <c r="F283" t="s">
        <v>15</v>
      </c>
      <c r="G283" s="30" t="s">
        <v>677</v>
      </c>
      <c r="H283" s="30" t="s">
        <v>85</v>
      </c>
    </row>
    <row r="284" spans="5:8">
      <c r="E284" s="38" t="str">
        <f t="shared" si="4"/>
        <v>愛知県設楽町</v>
      </c>
      <c r="F284" t="s">
        <v>15</v>
      </c>
      <c r="G284" s="30" t="s">
        <v>517</v>
      </c>
      <c r="H284" s="30" t="s">
        <v>85</v>
      </c>
    </row>
    <row r="285" spans="5:8">
      <c r="E285" s="38" t="str">
        <f t="shared" si="4"/>
        <v>愛知県東栄町</v>
      </c>
      <c r="F285" t="s">
        <v>15</v>
      </c>
      <c r="G285" s="30" t="s">
        <v>518</v>
      </c>
      <c r="H285" s="30" t="s">
        <v>85</v>
      </c>
    </row>
    <row r="286" spans="5:8">
      <c r="E286" s="38" t="str">
        <f t="shared" si="4"/>
        <v>愛知県豊根町</v>
      </c>
      <c r="F286" t="s">
        <v>15</v>
      </c>
      <c r="G286" s="30" t="s">
        <v>519</v>
      </c>
      <c r="H286" s="30" t="s">
        <v>85</v>
      </c>
    </row>
    <row r="287" spans="5:8">
      <c r="E287" s="38" t="str">
        <f t="shared" si="4"/>
        <v>愛知県その他の地域</v>
      </c>
      <c r="F287" t="s">
        <v>15</v>
      </c>
      <c r="G287" s="39" t="s">
        <v>743</v>
      </c>
      <c r="H287" s="30" t="s">
        <v>55</v>
      </c>
    </row>
    <row r="288" spans="5:8">
      <c r="E288" s="38" t="str">
        <f t="shared" si="4"/>
        <v>三重県津市</v>
      </c>
      <c r="F288" t="s">
        <v>45</v>
      </c>
      <c r="G288" s="30" t="s">
        <v>520</v>
      </c>
      <c r="H288" s="30" t="s">
        <v>33</v>
      </c>
    </row>
    <row r="289" spans="5:8">
      <c r="E289" s="38" t="str">
        <f t="shared" si="4"/>
        <v>三重県四日市市</v>
      </c>
      <c r="F289" t="s">
        <v>45</v>
      </c>
      <c r="G289" s="30" t="s">
        <v>521</v>
      </c>
      <c r="H289" s="30" t="s">
        <v>33</v>
      </c>
    </row>
    <row r="290" spans="5:8">
      <c r="E290" s="38" t="str">
        <f t="shared" si="4"/>
        <v>三重県桑名市</v>
      </c>
      <c r="F290" t="s">
        <v>45</v>
      </c>
      <c r="G290" s="30" t="s">
        <v>522</v>
      </c>
      <c r="H290" s="30" t="s">
        <v>33</v>
      </c>
    </row>
    <row r="291" spans="5:8">
      <c r="E291" s="38" t="str">
        <f t="shared" si="4"/>
        <v>三重県鈴鹿市</v>
      </c>
      <c r="F291" t="s">
        <v>45</v>
      </c>
      <c r="G291" s="30" t="s">
        <v>523</v>
      </c>
      <c r="H291" s="30" t="s">
        <v>33</v>
      </c>
    </row>
    <row r="292" spans="5:8">
      <c r="E292" s="38" t="str">
        <f t="shared" si="4"/>
        <v>三重県亀山市</v>
      </c>
      <c r="F292" t="s">
        <v>45</v>
      </c>
      <c r="G292" s="30" t="s">
        <v>524</v>
      </c>
      <c r="H292" s="30" t="s">
        <v>33</v>
      </c>
    </row>
    <row r="293" spans="5:8">
      <c r="E293" s="38" t="str">
        <f t="shared" si="4"/>
        <v>三重県名張市</v>
      </c>
      <c r="F293" t="s">
        <v>45</v>
      </c>
      <c r="G293" s="30" t="s">
        <v>525</v>
      </c>
      <c r="H293" s="30" t="s">
        <v>85</v>
      </c>
    </row>
    <row r="294" spans="5:8">
      <c r="E294" s="38" t="str">
        <f t="shared" si="4"/>
        <v>三重県いなべ市</v>
      </c>
      <c r="F294" t="s">
        <v>45</v>
      </c>
      <c r="G294" s="30" t="s">
        <v>648</v>
      </c>
      <c r="H294" s="30" t="s">
        <v>85</v>
      </c>
    </row>
    <row r="295" spans="5:8">
      <c r="E295" s="38" t="str">
        <f t="shared" si="4"/>
        <v>三重県伊賀市</v>
      </c>
      <c r="F295" t="s">
        <v>45</v>
      </c>
      <c r="G295" s="30" t="s">
        <v>649</v>
      </c>
      <c r="H295" s="30" t="s">
        <v>85</v>
      </c>
    </row>
    <row r="296" spans="5:8">
      <c r="E296" s="38" t="str">
        <f t="shared" si="4"/>
        <v>三重県木曽岬市</v>
      </c>
      <c r="F296" t="s">
        <v>45</v>
      </c>
      <c r="G296" s="30" t="s">
        <v>526</v>
      </c>
      <c r="H296" s="30" t="s">
        <v>85</v>
      </c>
    </row>
    <row r="297" spans="5:8">
      <c r="E297" s="38" t="str">
        <f t="shared" si="4"/>
        <v>三重県東員町</v>
      </c>
      <c r="F297" t="s">
        <v>45</v>
      </c>
      <c r="G297" s="30" t="s">
        <v>650</v>
      </c>
      <c r="H297" s="30" t="s">
        <v>85</v>
      </c>
    </row>
    <row r="298" spans="5:8">
      <c r="E298" s="38" t="str">
        <f t="shared" si="4"/>
        <v>三重県菰野町</v>
      </c>
      <c r="F298" t="s">
        <v>45</v>
      </c>
      <c r="G298" s="30" t="s">
        <v>527</v>
      </c>
      <c r="H298" s="30" t="s">
        <v>85</v>
      </c>
    </row>
    <row r="299" spans="5:8">
      <c r="E299" s="38" t="str">
        <f t="shared" si="4"/>
        <v>三重県朝日町</v>
      </c>
      <c r="F299" t="s">
        <v>45</v>
      </c>
      <c r="G299" s="30" t="s">
        <v>528</v>
      </c>
      <c r="H299" s="30" t="s">
        <v>85</v>
      </c>
    </row>
    <row r="300" spans="5:8">
      <c r="E300" s="38" t="str">
        <f t="shared" si="4"/>
        <v>三重県川越町</v>
      </c>
      <c r="F300" t="s">
        <v>45</v>
      </c>
      <c r="G300" s="30" t="s">
        <v>720</v>
      </c>
      <c r="H300" s="30" t="s">
        <v>85</v>
      </c>
    </row>
    <row r="301" spans="5:8">
      <c r="E301" s="38" t="str">
        <f t="shared" si="4"/>
        <v>三重県その他の地域</v>
      </c>
      <c r="F301" t="s">
        <v>45</v>
      </c>
      <c r="G301" s="39" t="s">
        <v>744</v>
      </c>
      <c r="H301" s="30" t="s">
        <v>55</v>
      </c>
    </row>
    <row r="302" spans="5:8">
      <c r="E302" s="38" t="str">
        <f t="shared" si="4"/>
        <v>福井県福井市</v>
      </c>
      <c r="F302" t="s">
        <v>40</v>
      </c>
      <c r="G302" s="30" t="s">
        <v>41</v>
      </c>
      <c r="H302" s="30" t="s">
        <v>85</v>
      </c>
    </row>
    <row r="303" spans="5:8">
      <c r="E303" s="38" t="str">
        <f t="shared" si="4"/>
        <v>福井県その他の地域</v>
      </c>
      <c r="F303" t="s">
        <v>40</v>
      </c>
      <c r="G303" s="39" t="s">
        <v>742</v>
      </c>
      <c r="H303" s="30" t="s">
        <v>55</v>
      </c>
    </row>
    <row r="304" spans="5:8">
      <c r="E304" s="38" t="str">
        <f t="shared" si="4"/>
        <v>大阪府大阪市</v>
      </c>
      <c r="F304" t="s">
        <v>12</v>
      </c>
      <c r="G304" s="30" t="s">
        <v>13</v>
      </c>
      <c r="H304" s="30" t="s">
        <v>10</v>
      </c>
    </row>
    <row r="305" spans="5:8">
      <c r="E305" s="38" t="str">
        <f t="shared" si="4"/>
        <v>大阪府守口市</v>
      </c>
      <c r="F305" t="s">
        <v>12</v>
      </c>
      <c r="G305" s="30" t="s">
        <v>529</v>
      </c>
      <c r="H305" s="30" t="s">
        <v>14</v>
      </c>
    </row>
    <row r="306" spans="5:8">
      <c r="E306" s="38" t="str">
        <f t="shared" si="4"/>
        <v>大阪府大東市</v>
      </c>
      <c r="F306" t="s">
        <v>12</v>
      </c>
      <c r="G306" s="30" t="s">
        <v>530</v>
      </c>
      <c r="H306" s="30" t="s">
        <v>14</v>
      </c>
    </row>
    <row r="307" spans="5:8">
      <c r="E307" s="38" t="str">
        <f t="shared" si="4"/>
        <v>大阪府門真市</v>
      </c>
      <c r="F307" t="s">
        <v>12</v>
      </c>
      <c r="G307" s="30" t="s">
        <v>531</v>
      </c>
      <c r="H307" s="30" t="s">
        <v>14</v>
      </c>
    </row>
    <row r="308" spans="5:8">
      <c r="E308" s="38" t="str">
        <f t="shared" si="4"/>
        <v>大阪府四條畷市</v>
      </c>
      <c r="F308" t="s">
        <v>12</v>
      </c>
      <c r="G308" s="30" t="s">
        <v>532</v>
      </c>
      <c r="H308" s="30" t="s">
        <v>14</v>
      </c>
    </row>
    <row r="309" spans="5:8">
      <c r="E309" s="38" t="str">
        <f t="shared" si="4"/>
        <v>大阪府豊中市</v>
      </c>
      <c r="F309" t="s">
        <v>12</v>
      </c>
      <c r="G309" s="30" t="s">
        <v>533</v>
      </c>
      <c r="H309" s="30" t="s">
        <v>17</v>
      </c>
    </row>
    <row r="310" spans="5:8">
      <c r="E310" s="38" t="str">
        <f t="shared" si="4"/>
        <v>大阪府池田市</v>
      </c>
      <c r="F310" t="s">
        <v>12</v>
      </c>
      <c r="G310" s="30" t="s">
        <v>534</v>
      </c>
      <c r="H310" s="30" t="s">
        <v>17</v>
      </c>
    </row>
    <row r="311" spans="5:8">
      <c r="E311" s="38" t="str">
        <f t="shared" si="4"/>
        <v>大阪府吹田市</v>
      </c>
      <c r="F311" t="s">
        <v>12</v>
      </c>
      <c r="G311" s="30" t="s">
        <v>535</v>
      </c>
      <c r="H311" s="30" t="s">
        <v>17</v>
      </c>
    </row>
    <row r="312" spans="5:8">
      <c r="E312" s="38" t="str">
        <f t="shared" si="4"/>
        <v>大阪府高槻市</v>
      </c>
      <c r="F312" t="s">
        <v>12</v>
      </c>
      <c r="G312" s="30" t="s">
        <v>536</v>
      </c>
      <c r="H312" s="30" t="s">
        <v>17</v>
      </c>
    </row>
    <row r="313" spans="5:8">
      <c r="E313" s="38" t="str">
        <f t="shared" si="4"/>
        <v>大阪府寝屋川市</v>
      </c>
      <c r="F313" t="s">
        <v>12</v>
      </c>
      <c r="G313" s="30" t="s">
        <v>537</v>
      </c>
      <c r="H313" s="30" t="s">
        <v>17</v>
      </c>
    </row>
    <row r="314" spans="5:8">
      <c r="E314" s="38" t="str">
        <f t="shared" si="4"/>
        <v>大阪府箕面市</v>
      </c>
      <c r="F314" t="s">
        <v>12</v>
      </c>
      <c r="G314" s="30" t="s">
        <v>538</v>
      </c>
      <c r="H314" s="30" t="s">
        <v>17</v>
      </c>
    </row>
    <row r="315" spans="5:8">
      <c r="E315" s="38" t="str">
        <f t="shared" si="4"/>
        <v>大阪府堺市</v>
      </c>
      <c r="F315" t="s">
        <v>12</v>
      </c>
      <c r="G315" s="30" t="s">
        <v>651</v>
      </c>
      <c r="H315" s="30" t="s">
        <v>25</v>
      </c>
    </row>
    <row r="316" spans="5:8">
      <c r="E316" s="38" t="str">
        <f t="shared" si="4"/>
        <v>大阪府枚方市</v>
      </c>
      <c r="F316" t="s">
        <v>12</v>
      </c>
      <c r="G316" s="30" t="s">
        <v>652</v>
      </c>
      <c r="H316" s="30" t="s">
        <v>25</v>
      </c>
    </row>
    <row r="317" spans="5:8">
      <c r="E317" s="38" t="str">
        <f t="shared" si="4"/>
        <v>大阪府茨木市</v>
      </c>
      <c r="F317" t="s">
        <v>12</v>
      </c>
      <c r="G317" s="30" t="s">
        <v>721</v>
      </c>
      <c r="H317" s="30" t="s">
        <v>25</v>
      </c>
    </row>
    <row r="318" spans="5:8">
      <c r="E318" s="38" t="str">
        <f t="shared" si="4"/>
        <v>大阪府八尾市</v>
      </c>
      <c r="F318" t="s">
        <v>12</v>
      </c>
      <c r="G318" s="30" t="s">
        <v>653</v>
      </c>
      <c r="H318" s="30" t="s">
        <v>25</v>
      </c>
    </row>
    <row r="319" spans="5:8">
      <c r="E319" s="38" t="str">
        <f t="shared" si="4"/>
        <v>大阪府松原市</v>
      </c>
      <c r="F319" t="s">
        <v>12</v>
      </c>
      <c r="G319" s="30" t="s">
        <v>539</v>
      </c>
      <c r="H319" s="30" t="s">
        <v>25</v>
      </c>
    </row>
    <row r="320" spans="5:8">
      <c r="E320" s="38" t="str">
        <f t="shared" si="4"/>
        <v>大阪府摂津市</v>
      </c>
      <c r="F320" t="s">
        <v>12</v>
      </c>
      <c r="G320" s="30" t="s">
        <v>540</v>
      </c>
      <c r="H320" s="30" t="s">
        <v>25</v>
      </c>
    </row>
    <row r="321" spans="5:8">
      <c r="E321" s="38" t="str">
        <f t="shared" si="4"/>
        <v>大阪府高石市</v>
      </c>
      <c r="F321" t="s">
        <v>12</v>
      </c>
      <c r="G321" s="30" t="s">
        <v>541</v>
      </c>
      <c r="H321" s="30" t="s">
        <v>25</v>
      </c>
    </row>
    <row r="322" spans="5:8">
      <c r="E322" s="38" t="str">
        <f t="shared" ref="E322:E385" si="5">F322&amp;G322</f>
        <v>大阪府東大阪市</v>
      </c>
      <c r="F322" t="s">
        <v>12</v>
      </c>
      <c r="G322" s="30" t="s">
        <v>722</v>
      </c>
      <c r="H322" s="30" t="s">
        <v>25</v>
      </c>
    </row>
    <row r="323" spans="5:8">
      <c r="E323" s="38" t="str">
        <f t="shared" si="5"/>
        <v>大阪府交野市</v>
      </c>
      <c r="F323" t="s">
        <v>12</v>
      </c>
      <c r="G323" s="30" t="s">
        <v>654</v>
      </c>
      <c r="H323" s="30" t="s">
        <v>25</v>
      </c>
    </row>
    <row r="324" spans="5:8">
      <c r="E324" s="38" t="str">
        <f t="shared" si="5"/>
        <v>大阪府岸和田市</v>
      </c>
      <c r="F324" t="s">
        <v>12</v>
      </c>
      <c r="G324" s="30" t="s">
        <v>678</v>
      </c>
      <c r="H324" s="30" t="s">
        <v>33</v>
      </c>
    </row>
    <row r="325" spans="5:8">
      <c r="E325" s="38" t="str">
        <f t="shared" si="5"/>
        <v>大阪府泉大津市</v>
      </c>
      <c r="F325" t="s">
        <v>12</v>
      </c>
      <c r="G325" s="30" t="s">
        <v>723</v>
      </c>
      <c r="H325" s="30" t="s">
        <v>33</v>
      </c>
    </row>
    <row r="326" spans="5:8">
      <c r="E326" s="38" t="str">
        <f t="shared" si="5"/>
        <v>大阪府貝塚市</v>
      </c>
      <c r="F326" t="s">
        <v>12</v>
      </c>
      <c r="G326" s="30" t="s">
        <v>655</v>
      </c>
      <c r="H326" s="30" t="s">
        <v>33</v>
      </c>
    </row>
    <row r="327" spans="5:8">
      <c r="E327" s="38" t="str">
        <f t="shared" si="5"/>
        <v>大阪府泉佐野市</v>
      </c>
      <c r="F327" t="s">
        <v>12</v>
      </c>
      <c r="G327" s="30" t="s">
        <v>679</v>
      </c>
      <c r="H327" s="30" t="s">
        <v>33</v>
      </c>
    </row>
    <row r="328" spans="5:8">
      <c r="E328" s="38" t="str">
        <f t="shared" si="5"/>
        <v>大阪府富田林市</v>
      </c>
      <c r="F328" t="s">
        <v>12</v>
      </c>
      <c r="G328" s="30" t="s">
        <v>680</v>
      </c>
      <c r="H328" s="30" t="s">
        <v>33</v>
      </c>
    </row>
    <row r="329" spans="5:8">
      <c r="E329" s="38" t="str">
        <f t="shared" si="5"/>
        <v>大阪府河内長野市</v>
      </c>
      <c r="F329" t="s">
        <v>12</v>
      </c>
      <c r="G329" s="30" t="s">
        <v>656</v>
      </c>
      <c r="H329" s="30" t="s">
        <v>33</v>
      </c>
    </row>
    <row r="330" spans="5:8">
      <c r="E330" s="38" t="str">
        <f t="shared" si="5"/>
        <v>大阪府和泉市</v>
      </c>
      <c r="F330" t="s">
        <v>12</v>
      </c>
      <c r="G330" s="30" t="s">
        <v>724</v>
      </c>
      <c r="H330" s="30" t="s">
        <v>33</v>
      </c>
    </row>
    <row r="331" spans="5:8">
      <c r="E331" s="38" t="str">
        <f t="shared" si="5"/>
        <v>大阪府柏原市</v>
      </c>
      <c r="F331" t="s">
        <v>12</v>
      </c>
      <c r="G331" s="30" t="s">
        <v>657</v>
      </c>
      <c r="H331" s="30" t="s">
        <v>33</v>
      </c>
    </row>
    <row r="332" spans="5:8">
      <c r="E332" s="38" t="str">
        <f t="shared" si="5"/>
        <v>大阪府羽曳野市</v>
      </c>
      <c r="F332" t="s">
        <v>12</v>
      </c>
      <c r="G332" s="30" t="s">
        <v>725</v>
      </c>
      <c r="H332" s="30" t="s">
        <v>33</v>
      </c>
    </row>
    <row r="333" spans="5:8">
      <c r="E333" s="38" t="str">
        <f t="shared" si="5"/>
        <v>大阪府藤井寺市</v>
      </c>
      <c r="F333" t="s">
        <v>12</v>
      </c>
      <c r="G333" s="30" t="s">
        <v>658</v>
      </c>
      <c r="H333" s="30" t="s">
        <v>33</v>
      </c>
    </row>
    <row r="334" spans="5:8">
      <c r="E334" s="38" t="str">
        <f t="shared" si="5"/>
        <v>大阪府泉南市</v>
      </c>
      <c r="F334" t="s">
        <v>12</v>
      </c>
      <c r="G334" s="30" t="s">
        <v>659</v>
      </c>
      <c r="H334" s="30" t="s">
        <v>33</v>
      </c>
    </row>
    <row r="335" spans="5:8">
      <c r="E335" s="38" t="str">
        <f t="shared" si="5"/>
        <v>大阪府大阪狭山市</v>
      </c>
      <c r="F335" t="s">
        <v>12</v>
      </c>
      <c r="G335" s="30" t="s">
        <v>681</v>
      </c>
      <c r="H335" s="30" t="s">
        <v>33</v>
      </c>
    </row>
    <row r="336" spans="5:8">
      <c r="E336" s="38" t="str">
        <f t="shared" si="5"/>
        <v>大阪府阪南市</v>
      </c>
      <c r="F336" t="s">
        <v>12</v>
      </c>
      <c r="G336" s="30" t="s">
        <v>954</v>
      </c>
      <c r="H336" s="30" t="s">
        <v>33</v>
      </c>
    </row>
    <row r="337" spans="5:8">
      <c r="E337" s="38" t="str">
        <f t="shared" si="5"/>
        <v>大阪府島本町</v>
      </c>
      <c r="F337" t="s">
        <v>12</v>
      </c>
      <c r="G337" s="30" t="s">
        <v>542</v>
      </c>
      <c r="H337" s="30" t="s">
        <v>33</v>
      </c>
    </row>
    <row r="338" spans="5:8">
      <c r="E338" s="38" t="str">
        <f t="shared" si="5"/>
        <v>大阪府豊能町</v>
      </c>
      <c r="F338" t="s">
        <v>12</v>
      </c>
      <c r="G338" s="30" t="s">
        <v>660</v>
      </c>
      <c r="H338" s="30" t="s">
        <v>33</v>
      </c>
    </row>
    <row r="339" spans="5:8">
      <c r="E339" s="38" t="str">
        <f t="shared" si="5"/>
        <v>大阪府能勢町</v>
      </c>
      <c r="F339" t="s">
        <v>12</v>
      </c>
      <c r="G339" s="30" t="s">
        <v>543</v>
      </c>
      <c r="H339" s="30" t="s">
        <v>33</v>
      </c>
    </row>
    <row r="340" spans="5:8">
      <c r="E340" s="38" t="str">
        <f t="shared" si="5"/>
        <v>大阪府忠岡町</v>
      </c>
      <c r="F340" t="s">
        <v>12</v>
      </c>
      <c r="G340" s="30" t="s">
        <v>682</v>
      </c>
      <c r="H340" s="30" t="s">
        <v>33</v>
      </c>
    </row>
    <row r="341" spans="5:8">
      <c r="E341" s="38" t="str">
        <f t="shared" si="5"/>
        <v>大阪府熊取町</v>
      </c>
      <c r="F341" t="s">
        <v>12</v>
      </c>
      <c r="G341" s="30" t="s">
        <v>726</v>
      </c>
      <c r="H341" s="30" t="s">
        <v>33</v>
      </c>
    </row>
    <row r="342" spans="5:8">
      <c r="E342" s="38" t="str">
        <f t="shared" si="5"/>
        <v>大阪府田尻町</v>
      </c>
      <c r="F342" t="s">
        <v>12</v>
      </c>
      <c r="G342" s="30" t="s">
        <v>661</v>
      </c>
      <c r="H342" s="30" t="s">
        <v>33</v>
      </c>
    </row>
    <row r="343" spans="5:8">
      <c r="E343" s="38" t="str">
        <f t="shared" si="5"/>
        <v>大阪府岬町</v>
      </c>
      <c r="F343" t="s">
        <v>12</v>
      </c>
      <c r="G343" s="30" t="s">
        <v>727</v>
      </c>
      <c r="H343" s="30" t="s">
        <v>33</v>
      </c>
    </row>
    <row r="344" spans="5:8">
      <c r="E344" s="38" t="str">
        <f t="shared" si="5"/>
        <v>大阪府太子町</v>
      </c>
      <c r="F344" t="s">
        <v>12</v>
      </c>
      <c r="G344" s="30" t="s">
        <v>728</v>
      </c>
      <c r="H344" s="30" t="s">
        <v>33</v>
      </c>
    </row>
    <row r="345" spans="5:8">
      <c r="E345" s="38" t="str">
        <f t="shared" si="5"/>
        <v>大阪府河南町</v>
      </c>
      <c r="F345" t="s">
        <v>12</v>
      </c>
      <c r="G345" s="30" t="s">
        <v>729</v>
      </c>
      <c r="H345" s="30" t="s">
        <v>33</v>
      </c>
    </row>
    <row r="346" spans="5:8">
      <c r="E346" s="38" t="str">
        <f t="shared" si="5"/>
        <v>大阪府千早赤阪村</v>
      </c>
      <c r="F346" t="s">
        <v>12</v>
      </c>
      <c r="G346" s="30" t="s">
        <v>730</v>
      </c>
      <c r="H346" s="30" t="s">
        <v>33</v>
      </c>
    </row>
    <row r="347" spans="5:8">
      <c r="E347" s="38" t="str">
        <f t="shared" si="5"/>
        <v>大阪府その他の地域</v>
      </c>
      <c r="F347" t="s">
        <v>12</v>
      </c>
      <c r="G347" s="39" t="s">
        <v>747</v>
      </c>
      <c r="H347" s="30" t="s">
        <v>55</v>
      </c>
    </row>
    <row r="348" spans="5:8">
      <c r="E348" s="38" t="str">
        <f t="shared" si="5"/>
        <v>和歌山県和歌山市</v>
      </c>
      <c r="F348" t="s">
        <v>46</v>
      </c>
      <c r="G348" s="30" t="s">
        <v>544</v>
      </c>
      <c r="H348" s="30" t="s">
        <v>33</v>
      </c>
    </row>
    <row r="349" spans="5:8">
      <c r="E349" s="38" t="str">
        <f t="shared" si="5"/>
        <v>和歌山県橋本市</v>
      </c>
      <c r="F349" t="s">
        <v>46</v>
      </c>
      <c r="G349" s="30" t="s">
        <v>545</v>
      </c>
      <c r="H349" s="30" t="s">
        <v>33</v>
      </c>
    </row>
    <row r="350" spans="5:8">
      <c r="E350" s="38" t="str">
        <f t="shared" si="5"/>
        <v>和歌山県その他の地域</v>
      </c>
      <c r="F350" t="s">
        <v>46</v>
      </c>
      <c r="G350" s="39" t="s">
        <v>744</v>
      </c>
      <c r="H350" s="30" t="s">
        <v>55</v>
      </c>
    </row>
    <row r="351" spans="5:8">
      <c r="E351" s="38" t="str">
        <f t="shared" si="5"/>
        <v>滋賀県大津市</v>
      </c>
      <c r="F351" t="s">
        <v>30</v>
      </c>
      <c r="G351" s="30" t="s">
        <v>546</v>
      </c>
      <c r="H351" s="30" t="s">
        <v>25</v>
      </c>
    </row>
    <row r="352" spans="5:8">
      <c r="E352" s="38" t="str">
        <f t="shared" si="5"/>
        <v>滋賀県草津市</v>
      </c>
      <c r="F352" t="s">
        <v>30</v>
      </c>
      <c r="G352" s="30" t="s">
        <v>547</v>
      </c>
      <c r="H352" s="30" t="s">
        <v>25</v>
      </c>
    </row>
    <row r="353" spans="5:8">
      <c r="E353" s="442" t="str">
        <f t="shared" si="5"/>
        <v>滋賀県栗東市</v>
      </c>
      <c r="F353" s="444" t="s">
        <v>30</v>
      </c>
      <c r="G353" s="444" t="s">
        <v>550</v>
      </c>
      <c r="H353" s="444" t="s">
        <v>1032</v>
      </c>
    </row>
    <row r="354" spans="5:8">
      <c r="E354" s="38" t="str">
        <f t="shared" si="5"/>
        <v>滋賀県彦根市</v>
      </c>
      <c r="F354" t="s">
        <v>30</v>
      </c>
      <c r="G354" s="30" t="s">
        <v>548</v>
      </c>
      <c r="H354" s="30" t="s">
        <v>33</v>
      </c>
    </row>
    <row r="355" spans="5:8">
      <c r="E355" s="38" t="str">
        <f t="shared" si="5"/>
        <v>滋賀県守山市</v>
      </c>
      <c r="F355" t="s">
        <v>30</v>
      </c>
      <c r="G355" s="30" t="s">
        <v>549</v>
      </c>
      <c r="H355" s="30" t="s">
        <v>33</v>
      </c>
    </row>
    <row r="356" spans="5:8">
      <c r="E356" s="38" t="str">
        <f t="shared" si="5"/>
        <v>滋賀県甲賀市</v>
      </c>
      <c r="F356" t="s">
        <v>30</v>
      </c>
      <c r="G356" s="30" t="s">
        <v>551</v>
      </c>
      <c r="H356" s="30" t="s">
        <v>33</v>
      </c>
    </row>
    <row r="357" spans="5:8">
      <c r="E357" s="38" t="str">
        <f t="shared" si="5"/>
        <v>滋賀県長浜市</v>
      </c>
      <c r="F357" t="s">
        <v>30</v>
      </c>
      <c r="G357" s="30" t="s">
        <v>731</v>
      </c>
      <c r="H357" s="30" t="s">
        <v>85</v>
      </c>
    </row>
    <row r="358" spans="5:8">
      <c r="E358" s="38" t="str">
        <f t="shared" si="5"/>
        <v>滋賀県野洲市</v>
      </c>
      <c r="F358" t="s">
        <v>30</v>
      </c>
      <c r="G358" s="30" t="s">
        <v>732</v>
      </c>
      <c r="H358" s="30" t="s">
        <v>85</v>
      </c>
    </row>
    <row r="359" spans="5:8">
      <c r="E359" s="38" t="str">
        <f t="shared" si="5"/>
        <v>滋賀県湖南市</v>
      </c>
      <c r="F359" t="s">
        <v>30</v>
      </c>
      <c r="G359" s="30" t="s">
        <v>552</v>
      </c>
      <c r="H359" s="30" t="s">
        <v>85</v>
      </c>
    </row>
    <row r="360" spans="5:8">
      <c r="E360" s="442" t="str">
        <f t="shared" si="5"/>
        <v>滋賀県高島市</v>
      </c>
      <c r="F360" s="444" t="s">
        <v>30</v>
      </c>
      <c r="G360" s="444" t="s">
        <v>1039</v>
      </c>
      <c r="H360" s="444" t="s">
        <v>85</v>
      </c>
    </row>
    <row r="361" spans="5:8">
      <c r="E361" s="38" t="str">
        <f t="shared" si="5"/>
        <v>滋賀県東近江市</v>
      </c>
      <c r="F361" t="s">
        <v>30</v>
      </c>
      <c r="G361" s="30" t="s">
        <v>553</v>
      </c>
      <c r="H361" s="30" t="s">
        <v>85</v>
      </c>
    </row>
    <row r="362" spans="5:8">
      <c r="E362" s="442" t="str">
        <f t="shared" si="5"/>
        <v>滋賀県日野町</v>
      </c>
      <c r="F362" s="444" t="s">
        <v>30</v>
      </c>
      <c r="G362" s="444" t="s">
        <v>1040</v>
      </c>
      <c r="H362" s="444" t="s">
        <v>85</v>
      </c>
    </row>
    <row r="363" spans="5:8">
      <c r="E363" s="38" t="str">
        <f t="shared" si="5"/>
        <v>滋賀県その他の地域</v>
      </c>
      <c r="F363" t="s">
        <v>30</v>
      </c>
      <c r="G363" s="39" t="s">
        <v>742</v>
      </c>
      <c r="H363" s="30" t="s">
        <v>55</v>
      </c>
    </row>
    <row r="364" spans="5:8">
      <c r="E364" s="38" t="str">
        <f t="shared" si="5"/>
        <v>京都府京都市</v>
      </c>
      <c r="F364" t="s">
        <v>21</v>
      </c>
      <c r="G364" s="30" t="s">
        <v>22</v>
      </c>
      <c r="H364" s="30" t="s">
        <v>25</v>
      </c>
    </row>
    <row r="365" spans="5:8">
      <c r="E365" s="38" t="str">
        <f t="shared" si="5"/>
        <v>京都府宇治市</v>
      </c>
      <c r="F365" t="s">
        <v>21</v>
      </c>
      <c r="G365" s="30" t="s">
        <v>554</v>
      </c>
      <c r="H365" s="30" t="s">
        <v>33</v>
      </c>
    </row>
    <row r="366" spans="5:8">
      <c r="E366" s="38" t="str">
        <f t="shared" si="5"/>
        <v>京都府亀岡市</v>
      </c>
      <c r="F366" t="s">
        <v>21</v>
      </c>
      <c r="G366" s="30" t="s">
        <v>555</v>
      </c>
      <c r="H366" s="30" t="s">
        <v>33</v>
      </c>
    </row>
    <row r="367" spans="5:8">
      <c r="E367" s="38" t="str">
        <f t="shared" si="5"/>
        <v>京都府向日市</v>
      </c>
      <c r="F367" t="s">
        <v>21</v>
      </c>
      <c r="G367" s="30" t="s">
        <v>556</v>
      </c>
      <c r="H367" s="30" t="s">
        <v>33</v>
      </c>
    </row>
    <row r="368" spans="5:8">
      <c r="E368" s="38" t="str">
        <f t="shared" si="5"/>
        <v>京都府長岡京市</v>
      </c>
      <c r="F368" t="s">
        <v>21</v>
      </c>
      <c r="G368" s="30" t="s">
        <v>557</v>
      </c>
      <c r="H368" s="30" t="s">
        <v>33</v>
      </c>
    </row>
    <row r="369" spans="5:8">
      <c r="E369" s="38" t="str">
        <f t="shared" si="5"/>
        <v>京都府八幡市</v>
      </c>
      <c r="F369" t="s">
        <v>21</v>
      </c>
      <c r="G369" s="30" t="s">
        <v>558</v>
      </c>
      <c r="H369" s="30" t="s">
        <v>33</v>
      </c>
    </row>
    <row r="370" spans="5:8">
      <c r="E370" s="38" t="str">
        <f t="shared" si="5"/>
        <v>京都府京田辺市</v>
      </c>
      <c r="F370" t="s">
        <v>21</v>
      </c>
      <c r="G370" s="30" t="s">
        <v>559</v>
      </c>
      <c r="H370" s="30" t="s">
        <v>33</v>
      </c>
    </row>
    <row r="371" spans="5:8">
      <c r="E371" s="38" t="str">
        <f t="shared" si="5"/>
        <v>京都府木津川市</v>
      </c>
      <c r="F371" t="s">
        <v>21</v>
      </c>
      <c r="G371" s="30" t="s">
        <v>560</v>
      </c>
      <c r="H371" s="30" t="s">
        <v>33</v>
      </c>
    </row>
    <row r="372" spans="5:8">
      <c r="E372" s="38" t="str">
        <f t="shared" si="5"/>
        <v>京都府精華町</v>
      </c>
      <c r="F372" t="s">
        <v>21</v>
      </c>
      <c r="G372" s="30" t="s">
        <v>561</v>
      </c>
      <c r="H372" s="30" t="s">
        <v>33</v>
      </c>
    </row>
    <row r="373" spans="5:8">
      <c r="E373" s="38" t="str">
        <f t="shared" si="5"/>
        <v>京都府城陽市</v>
      </c>
      <c r="F373" t="s">
        <v>21</v>
      </c>
      <c r="G373" s="30" t="s">
        <v>733</v>
      </c>
      <c r="H373" s="30" t="s">
        <v>85</v>
      </c>
    </row>
    <row r="374" spans="5:8">
      <c r="E374" s="38" t="str">
        <f t="shared" si="5"/>
        <v>京都府大山崎町</v>
      </c>
      <c r="F374" t="s">
        <v>21</v>
      </c>
      <c r="G374" s="30" t="s">
        <v>562</v>
      </c>
      <c r="H374" s="30" t="s">
        <v>85</v>
      </c>
    </row>
    <row r="375" spans="5:8">
      <c r="E375" s="38" t="str">
        <f t="shared" si="5"/>
        <v>京都府久御山町</v>
      </c>
      <c r="F375" t="s">
        <v>21</v>
      </c>
      <c r="G375" s="30" t="s">
        <v>662</v>
      </c>
      <c r="H375" s="30" t="s">
        <v>85</v>
      </c>
    </row>
    <row r="376" spans="5:8">
      <c r="E376" s="38" t="str">
        <f t="shared" si="5"/>
        <v>京都府その他の地域</v>
      </c>
      <c r="F376" t="s">
        <v>21</v>
      </c>
      <c r="G376" s="39" t="s">
        <v>743</v>
      </c>
      <c r="H376" s="39" t="s">
        <v>53</v>
      </c>
    </row>
    <row r="377" spans="5:8">
      <c r="E377" s="38" t="str">
        <f t="shared" si="5"/>
        <v>奈良県奈良市</v>
      </c>
      <c r="F377" t="s">
        <v>31</v>
      </c>
      <c r="G377" s="30" t="s">
        <v>683</v>
      </c>
      <c r="H377" s="30" t="s">
        <v>33</v>
      </c>
    </row>
    <row r="378" spans="5:8">
      <c r="E378" s="38" t="str">
        <f t="shared" si="5"/>
        <v>奈良県大和高田市</v>
      </c>
      <c r="F378" t="s">
        <v>31</v>
      </c>
      <c r="G378" s="30" t="s">
        <v>563</v>
      </c>
      <c r="H378" s="30" t="s">
        <v>33</v>
      </c>
    </row>
    <row r="379" spans="5:8">
      <c r="E379" s="38" t="str">
        <f t="shared" si="5"/>
        <v>奈良県大和郡山市</v>
      </c>
      <c r="F379" t="s">
        <v>31</v>
      </c>
      <c r="G379" s="30" t="s">
        <v>663</v>
      </c>
      <c r="H379" s="30" t="s">
        <v>33</v>
      </c>
    </row>
    <row r="380" spans="5:8">
      <c r="E380" s="38" t="str">
        <f t="shared" si="5"/>
        <v>奈良県生駒市</v>
      </c>
      <c r="F380" t="s">
        <v>31</v>
      </c>
      <c r="G380" s="30" t="s">
        <v>684</v>
      </c>
      <c r="H380" s="30" t="s">
        <v>33</v>
      </c>
    </row>
    <row r="381" spans="5:8">
      <c r="E381" s="38" t="str">
        <f t="shared" si="5"/>
        <v>奈良県天理市</v>
      </c>
      <c r="F381" t="s">
        <v>31</v>
      </c>
      <c r="G381" s="30" t="s">
        <v>734</v>
      </c>
      <c r="H381" s="30" t="s">
        <v>85</v>
      </c>
    </row>
    <row r="382" spans="5:8">
      <c r="E382" s="38" t="str">
        <f t="shared" si="5"/>
        <v>奈良県橿原市</v>
      </c>
      <c r="F382" t="s">
        <v>31</v>
      </c>
      <c r="G382" s="30" t="s">
        <v>735</v>
      </c>
      <c r="H382" s="30" t="s">
        <v>85</v>
      </c>
    </row>
    <row r="383" spans="5:8">
      <c r="E383" s="38" t="str">
        <f t="shared" si="5"/>
        <v>奈良県桜井市</v>
      </c>
      <c r="F383" t="s">
        <v>31</v>
      </c>
      <c r="G383" s="30" t="s">
        <v>664</v>
      </c>
      <c r="H383" s="30" t="s">
        <v>85</v>
      </c>
    </row>
    <row r="384" spans="5:8">
      <c r="E384" s="38" t="str">
        <f t="shared" si="5"/>
        <v>奈良県御所市</v>
      </c>
      <c r="F384" t="s">
        <v>31</v>
      </c>
      <c r="G384" s="30" t="s">
        <v>564</v>
      </c>
      <c r="H384" s="30" t="s">
        <v>85</v>
      </c>
    </row>
    <row r="385" spans="5:8">
      <c r="E385" s="38" t="str">
        <f t="shared" si="5"/>
        <v>奈良県香芝市</v>
      </c>
      <c r="F385" t="s">
        <v>31</v>
      </c>
      <c r="G385" s="30" t="s">
        <v>736</v>
      </c>
      <c r="H385" s="30" t="s">
        <v>85</v>
      </c>
    </row>
    <row r="386" spans="5:8">
      <c r="E386" s="38" t="str">
        <f t="shared" ref="E386:E449" si="6">F386&amp;G386</f>
        <v>奈良県葛城市</v>
      </c>
      <c r="F386" t="s">
        <v>31</v>
      </c>
      <c r="G386" s="30" t="s">
        <v>565</v>
      </c>
      <c r="H386" s="30" t="s">
        <v>85</v>
      </c>
    </row>
    <row r="387" spans="5:8">
      <c r="E387" s="38" t="str">
        <f t="shared" si="6"/>
        <v>奈良県宇陀市</v>
      </c>
      <c r="F387" t="s">
        <v>31</v>
      </c>
      <c r="G387" s="30" t="s">
        <v>737</v>
      </c>
      <c r="H387" s="30" t="s">
        <v>85</v>
      </c>
    </row>
    <row r="388" spans="5:8">
      <c r="E388" s="38" t="str">
        <f t="shared" si="6"/>
        <v>奈良県山添村</v>
      </c>
      <c r="F388" t="s">
        <v>31</v>
      </c>
      <c r="G388" s="30" t="s">
        <v>738</v>
      </c>
      <c r="H388" s="30" t="s">
        <v>85</v>
      </c>
    </row>
    <row r="389" spans="5:8">
      <c r="E389" s="38" t="str">
        <f t="shared" si="6"/>
        <v>奈良県平群町</v>
      </c>
      <c r="F389" t="s">
        <v>31</v>
      </c>
      <c r="G389" s="30" t="s">
        <v>665</v>
      </c>
      <c r="H389" s="30" t="s">
        <v>85</v>
      </c>
    </row>
    <row r="390" spans="5:8">
      <c r="E390" s="38" t="str">
        <f t="shared" si="6"/>
        <v>奈良県三郷町</v>
      </c>
      <c r="F390" t="s">
        <v>31</v>
      </c>
      <c r="G390" s="30" t="s">
        <v>666</v>
      </c>
      <c r="H390" s="30" t="s">
        <v>85</v>
      </c>
    </row>
    <row r="391" spans="5:8">
      <c r="E391" s="38" t="str">
        <f t="shared" si="6"/>
        <v>奈良県斑鳩町</v>
      </c>
      <c r="F391" t="s">
        <v>31</v>
      </c>
      <c r="G391" s="30" t="s">
        <v>739</v>
      </c>
      <c r="H391" s="30" t="s">
        <v>85</v>
      </c>
    </row>
    <row r="392" spans="5:8">
      <c r="E392" s="38" t="str">
        <f t="shared" si="6"/>
        <v>奈良県安堵町</v>
      </c>
      <c r="F392" t="s">
        <v>31</v>
      </c>
      <c r="G392" s="30" t="s">
        <v>740</v>
      </c>
      <c r="H392" s="30" t="s">
        <v>85</v>
      </c>
    </row>
    <row r="393" spans="5:8">
      <c r="E393" s="38" t="str">
        <f t="shared" si="6"/>
        <v>奈良県川西町</v>
      </c>
      <c r="F393" t="s">
        <v>31</v>
      </c>
      <c r="G393" s="30" t="s">
        <v>566</v>
      </c>
      <c r="H393" s="30" t="s">
        <v>85</v>
      </c>
    </row>
    <row r="394" spans="5:8">
      <c r="E394" s="38" t="str">
        <f t="shared" si="6"/>
        <v>奈良県三宅町</v>
      </c>
      <c r="F394" t="s">
        <v>31</v>
      </c>
      <c r="G394" s="30" t="s">
        <v>567</v>
      </c>
      <c r="H394" s="30" t="s">
        <v>85</v>
      </c>
    </row>
    <row r="395" spans="5:8">
      <c r="E395" s="38" t="str">
        <f t="shared" si="6"/>
        <v>奈良県田原本町</v>
      </c>
      <c r="F395" t="s">
        <v>31</v>
      </c>
      <c r="G395" s="30" t="s">
        <v>568</v>
      </c>
      <c r="H395" s="30" t="s">
        <v>85</v>
      </c>
    </row>
    <row r="396" spans="5:8">
      <c r="E396" s="38" t="str">
        <f t="shared" si="6"/>
        <v>奈良県曽爾村</v>
      </c>
      <c r="F396" t="s">
        <v>31</v>
      </c>
      <c r="G396" s="30" t="s">
        <v>685</v>
      </c>
      <c r="H396" s="30" t="s">
        <v>85</v>
      </c>
    </row>
    <row r="397" spans="5:8">
      <c r="E397" s="38" t="str">
        <f t="shared" si="6"/>
        <v>奈良県明日香村</v>
      </c>
      <c r="F397" t="s">
        <v>31</v>
      </c>
      <c r="G397" s="30" t="s">
        <v>569</v>
      </c>
      <c r="H397" s="30" t="s">
        <v>85</v>
      </c>
    </row>
    <row r="398" spans="5:8">
      <c r="E398" s="38" t="str">
        <f t="shared" si="6"/>
        <v>奈良県上牧町</v>
      </c>
      <c r="F398" t="s">
        <v>31</v>
      </c>
      <c r="G398" s="30" t="s">
        <v>686</v>
      </c>
      <c r="H398" s="30" t="s">
        <v>85</v>
      </c>
    </row>
    <row r="399" spans="5:8">
      <c r="E399" s="38" t="str">
        <f t="shared" si="6"/>
        <v>奈良県王寺町</v>
      </c>
      <c r="F399" t="s">
        <v>31</v>
      </c>
      <c r="G399" s="30" t="s">
        <v>687</v>
      </c>
      <c r="H399" s="30" t="s">
        <v>85</v>
      </c>
    </row>
    <row r="400" spans="5:8">
      <c r="E400" s="38" t="str">
        <f t="shared" si="6"/>
        <v>奈良県広陵町</v>
      </c>
      <c r="F400" t="s">
        <v>31</v>
      </c>
      <c r="G400" s="30" t="s">
        <v>570</v>
      </c>
      <c r="H400" s="30" t="s">
        <v>85</v>
      </c>
    </row>
    <row r="401" spans="5:8">
      <c r="E401" s="38" t="str">
        <f t="shared" si="6"/>
        <v>奈良県河合町</v>
      </c>
      <c r="F401" t="s">
        <v>31</v>
      </c>
      <c r="G401" s="30" t="s">
        <v>571</v>
      </c>
      <c r="H401" s="30" t="s">
        <v>85</v>
      </c>
    </row>
    <row r="402" spans="5:8">
      <c r="E402" s="38" t="str">
        <f t="shared" si="6"/>
        <v>奈良県その他の地域</v>
      </c>
      <c r="F402" t="s">
        <v>31</v>
      </c>
      <c r="G402" s="39" t="s">
        <v>742</v>
      </c>
      <c r="H402" s="39" t="s">
        <v>53</v>
      </c>
    </row>
    <row r="403" spans="5:8">
      <c r="E403" s="38" t="str">
        <f t="shared" si="6"/>
        <v>兵庫県西宮市</v>
      </c>
      <c r="F403" t="s">
        <v>16</v>
      </c>
      <c r="G403" s="30" t="s">
        <v>572</v>
      </c>
      <c r="H403" s="30" t="s">
        <v>14</v>
      </c>
    </row>
    <row r="404" spans="5:8">
      <c r="E404" s="38" t="str">
        <f t="shared" si="6"/>
        <v>兵庫県芦屋市</v>
      </c>
      <c r="F404" t="s">
        <v>16</v>
      </c>
      <c r="G404" s="30" t="s">
        <v>573</v>
      </c>
      <c r="H404" s="30" t="s">
        <v>14</v>
      </c>
    </row>
    <row r="405" spans="5:8">
      <c r="E405" s="38" t="str">
        <f t="shared" si="6"/>
        <v>兵庫県宝塚市</v>
      </c>
      <c r="F405" t="s">
        <v>16</v>
      </c>
      <c r="G405" s="30" t="s">
        <v>574</v>
      </c>
      <c r="H405" s="30" t="s">
        <v>14</v>
      </c>
    </row>
    <row r="406" spans="5:8">
      <c r="E406" s="38" t="str">
        <f t="shared" si="6"/>
        <v>兵庫県神戸市</v>
      </c>
      <c r="F406" t="s">
        <v>16</v>
      </c>
      <c r="G406" s="30" t="s">
        <v>575</v>
      </c>
      <c r="H406" s="30" t="s">
        <v>17</v>
      </c>
    </row>
    <row r="407" spans="5:8">
      <c r="E407" s="38" t="str">
        <f t="shared" si="6"/>
        <v>兵庫県尼崎市</v>
      </c>
      <c r="F407" t="s">
        <v>16</v>
      </c>
      <c r="G407" s="30" t="s">
        <v>576</v>
      </c>
      <c r="H407" s="30" t="s">
        <v>25</v>
      </c>
    </row>
    <row r="408" spans="5:8">
      <c r="E408" s="38" t="str">
        <f t="shared" si="6"/>
        <v>兵庫県伊丹市</v>
      </c>
      <c r="F408" t="s">
        <v>16</v>
      </c>
      <c r="G408" s="30" t="s">
        <v>577</v>
      </c>
      <c r="H408" s="30" t="s">
        <v>25</v>
      </c>
    </row>
    <row r="409" spans="5:8">
      <c r="E409" s="38" t="str">
        <f t="shared" si="6"/>
        <v>兵庫県川西市</v>
      </c>
      <c r="F409" t="s">
        <v>16</v>
      </c>
      <c r="G409" s="30" t="s">
        <v>578</v>
      </c>
      <c r="H409" s="30" t="s">
        <v>25</v>
      </c>
    </row>
    <row r="410" spans="5:8">
      <c r="E410" s="38" t="str">
        <f t="shared" si="6"/>
        <v>兵庫県三田市</v>
      </c>
      <c r="F410" t="s">
        <v>16</v>
      </c>
      <c r="G410" s="30" t="s">
        <v>579</v>
      </c>
      <c r="H410" s="30" t="s">
        <v>25</v>
      </c>
    </row>
    <row r="411" spans="5:8">
      <c r="E411" s="38" t="str">
        <f t="shared" si="6"/>
        <v>兵庫県明石市</v>
      </c>
      <c r="F411" t="s">
        <v>16</v>
      </c>
      <c r="G411" s="30" t="s">
        <v>580</v>
      </c>
      <c r="H411" s="30" t="s">
        <v>33</v>
      </c>
    </row>
    <row r="412" spans="5:8">
      <c r="E412" s="38" t="str">
        <f t="shared" si="6"/>
        <v>兵庫県猪名川町</v>
      </c>
      <c r="F412" t="s">
        <v>16</v>
      </c>
      <c r="G412" s="30" t="s">
        <v>581</v>
      </c>
      <c r="H412" s="30" t="s">
        <v>33</v>
      </c>
    </row>
    <row r="413" spans="5:8">
      <c r="E413" s="38" t="str">
        <f t="shared" si="6"/>
        <v>兵庫県姫路市</v>
      </c>
      <c r="F413" t="s">
        <v>16</v>
      </c>
      <c r="G413" s="30" t="s">
        <v>582</v>
      </c>
      <c r="H413" s="30" t="s">
        <v>85</v>
      </c>
    </row>
    <row r="414" spans="5:8">
      <c r="E414" s="38" t="str">
        <f t="shared" si="6"/>
        <v>兵庫県加古川市</v>
      </c>
      <c r="F414" t="s">
        <v>16</v>
      </c>
      <c r="G414" s="30" t="s">
        <v>583</v>
      </c>
      <c r="H414" s="30" t="s">
        <v>85</v>
      </c>
    </row>
    <row r="415" spans="5:8">
      <c r="E415" s="38" t="str">
        <f t="shared" si="6"/>
        <v>兵庫県三木市</v>
      </c>
      <c r="F415" t="s">
        <v>16</v>
      </c>
      <c r="G415" s="30" t="s">
        <v>584</v>
      </c>
      <c r="H415" s="30" t="s">
        <v>85</v>
      </c>
    </row>
    <row r="416" spans="5:8">
      <c r="E416" s="38" t="str">
        <f t="shared" si="6"/>
        <v>兵庫県高砂市</v>
      </c>
      <c r="F416" t="s">
        <v>16</v>
      </c>
      <c r="G416" s="30" t="s">
        <v>585</v>
      </c>
      <c r="H416" s="30" t="s">
        <v>85</v>
      </c>
    </row>
    <row r="417" spans="5:8">
      <c r="E417" s="38" t="str">
        <f t="shared" si="6"/>
        <v>兵庫県稲美町</v>
      </c>
      <c r="F417" t="s">
        <v>16</v>
      </c>
      <c r="G417" s="30" t="s">
        <v>586</v>
      </c>
      <c r="H417" s="30" t="s">
        <v>85</v>
      </c>
    </row>
    <row r="418" spans="5:8">
      <c r="E418" s="38" t="str">
        <f t="shared" si="6"/>
        <v>兵庫県播磨町</v>
      </c>
      <c r="F418" t="s">
        <v>16</v>
      </c>
      <c r="G418" s="30" t="s">
        <v>587</v>
      </c>
      <c r="H418" s="30" t="s">
        <v>85</v>
      </c>
    </row>
    <row r="419" spans="5:8">
      <c r="E419" s="38" t="str">
        <f t="shared" si="6"/>
        <v>兵庫県その他の地域</v>
      </c>
      <c r="F419" t="s">
        <v>16</v>
      </c>
      <c r="G419" s="39" t="s">
        <v>743</v>
      </c>
      <c r="H419" s="39" t="s">
        <v>53</v>
      </c>
    </row>
    <row r="420" spans="5:8">
      <c r="E420" s="38" t="str">
        <f t="shared" si="6"/>
        <v>広島県広島市</v>
      </c>
      <c r="F420" t="s">
        <v>32</v>
      </c>
      <c r="G420" s="30" t="s">
        <v>588</v>
      </c>
      <c r="H420" s="30" t="s">
        <v>25</v>
      </c>
    </row>
    <row r="421" spans="5:8">
      <c r="E421" s="38" t="str">
        <f t="shared" si="6"/>
        <v>広島県府中町</v>
      </c>
      <c r="F421" t="s">
        <v>32</v>
      </c>
      <c r="G421" s="30" t="s">
        <v>589</v>
      </c>
      <c r="H421" s="30" t="s">
        <v>25</v>
      </c>
    </row>
    <row r="422" spans="5:8">
      <c r="E422" s="38" t="str">
        <f t="shared" si="6"/>
        <v>広島県東広島市</v>
      </c>
      <c r="F422" t="s">
        <v>32</v>
      </c>
      <c r="G422" s="30" t="s">
        <v>590</v>
      </c>
      <c r="H422" s="30" t="s">
        <v>85</v>
      </c>
    </row>
    <row r="423" spans="5:8">
      <c r="E423" s="38" t="str">
        <f t="shared" si="6"/>
        <v>広島県廿日市市</v>
      </c>
      <c r="F423" t="s">
        <v>32</v>
      </c>
      <c r="G423" s="30" t="s">
        <v>688</v>
      </c>
      <c r="H423" s="30" t="s">
        <v>85</v>
      </c>
    </row>
    <row r="424" spans="5:8">
      <c r="E424" s="38" t="str">
        <f t="shared" si="6"/>
        <v>広島県海田町</v>
      </c>
      <c r="F424" t="s">
        <v>32</v>
      </c>
      <c r="G424" s="30" t="s">
        <v>689</v>
      </c>
      <c r="H424" s="30" t="s">
        <v>85</v>
      </c>
    </row>
    <row r="425" spans="5:8">
      <c r="E425" s="38" t="str">
        <f t="shared" si="6"/>
        <v>広島県坂町</v>
      </c>
      <c r="F425" t="s">
        <v>32</v>
      </c>
      <c r="G425" s="30" t="s">
        <v>667</v>
      </c>
      <c r="H425" s="30" t="s">
        <v>85</v>
      </c>
    </row>
    <row r="426" spans="5:8">
      <c r="E426" s="38" t="str">
        <f t="shared" si="6"/>
        <v>広島県その他の地域</v>
      </c>
      <c r="F426" t="s">
        <v>32</v>
      </c>
      <c r="G426" s="39" t="s">
        <v>743</v>
      </c>
      <c r="H426" s="39" t="s">
        <v>53</v>
      </c>
    </row>
    <row r="427" spans="5:8">
      <c r="E427" s="38" t="str">
        <f t="shared" si="6"/>
        <v>岡山県岡山市</v>
      </c>
      <c r="F427" t="s">
        <v>47</v>
      </c>
      <c r="G427" s="30" t="s">
        <v>48</v>
      </c>
      <c r="H427" s="30" t="s">
        <v>85</v>
      </c>
    </row>
    <row r="428" spans="5:8">
      <c r="E428" s="38" t="str">
        <f t="shared" si="6"/>
        <v>岡山県その他の地域</v>
      </c>
      <c r="F428" t="s">
        <v>47</v>
      </c>
      <c r="G428" s="39" t="s">
        <v>744</v>
      </c>
      <c r="H428" s="39" t="s">
        <v>53</v>
      </c>
    </row>
    <row r="429" spans="5:8">
      <c r="E429" s="38" t="str">
        <f t="shared" si="6"/>
        <v>山口県周南市</v>
      </c>
      <c r="F429" t="s">
        <v>49</v>
      </c>
      <c r="G429" s="33" t="s">
        <v>50</v>
      </c>
      <c r="H429" s="30" t="s">
        <v>85</v>
      </c>
    </row>
    <row r="430" spans="5:8">
      <c r="E430" s="38" t="str">
        <f t="shared" si="6"/>
        <v>山口県その他の地域</v>
      </c>
      <c r="F430" t="s">
        <v>49</v>
      </c>
      <c r="G430" s="39" t="s">
        <v>742</v>
      </c>
      <c r="H430" s="39" t="s">
        <v>53</v>
      </c>
    </row>
    <row r="431" spans="5:8">
      <c r="E431" s="38" t="str">
        <f t="shared" si="6"/>
        <v>徳島県徳島市</v>
      </c>
      <c r="F431" t="s">
        <v>97</v>
      </c>
      <c r="G431" s="30" t="s">
        <v>98</v>
      </c>
      <c r="H431" s="30" t="s">
        <v>85</v>
      </c>
    </row>
    <row r="432" spans="5:8">
      <c r="E432" s="38" t="str">
        <f t="shared" si="6"/>
        <v>徳島県その他の地域</v>
      </c>
      <c r="F432" t="s">
        <v>97</v>
      </c>
      <c r="G432" s="39" t="s">
        <v>743</v>
      </c>
      <c r="H432" s="39" t="s">
        <v>53</v>
      </c>
    </row>
    <row r="433" spans="5:8">
      <c r="E433" s="38" t="str">
        <f t="shared" si="6"/>
        <v>香川県高松市</v>
      </c>
      <c r="F433" t="s">
        <v>92</v>
      </c>
      <c r="G433" s="30" t="s">
        <v>93</v>
      </c>
      <c r="H433" s="30" t="s">
        <v>85</v>
      </c>
    </row>
    <row r="434" spans="5:8">
      <c r="E434" s="38" t="str">
        <f t="shared" si="6"/>
        <v>香川県その他の地域</v>
      </c>
      <c r="F434" t="s">
        <v>92</v>
      </c>
      <c r="G434" s="30" t="s">
        <v>743</v>
      </c>
      <c r="H434" s="30" t="s">
        <v>53</v>
      </c>
    </row>
    <row r="435" spans="5:8">
      <c r="E435" s="38" t="str">
        <f t="shared" si="6"/>
        <v>福岡県福岡市</v>
      </c>
      <c r="F435" t="s">
        <v>23</v>
      </c>
      <c r="G435" s="30" t="s">
        <v>24</v>
      </c>
      <c r="H435" s="30" t="s">
        <v>25</v>
      </c>
    </row>
    <row r="436" spans="5:8">
      <c r="E436" s="442" t="str">
        <f t="shared" si="6"/>
        <v>福岡県春日市</v>
      </c>
      <c r="F436" s="444" t="s">
        <v>23</v>
      </c>
      <c r="G436" s="444" t="s">
        <v>591</v>
      </c>
      <c r="H436" s="444" t="s">
        <v>1032</v>
      </c>
    </row>
    <row r="437" spans="5:8">
      <c r="E437" s="38" t="str">
        <f t="shared" si="6"/>
        <v>福岡県大野城市</v>
      </c>
      <c r="F437" t="s">
        <v>23</v>
      </c>
      <c r="G437" s="30" t="s">
        <v>592</v>
      </c>
      <c r="H437" s="30" t="s">
        <v>33</v>
      </c>
    </row>
    <row r="438" spans="5:8">
      <c r="E438" s="38" t="str">
        <f t="shared" si="6"/>
        <v>福岡県太宰府市</v>
      </c>
      <c r="F438" t="s">
        <v>23</v>
      </c>
      <c r="G438" s="30" t="s">
        <v>593</v>
      </c>
      <c r="H438" s="30" t="s">
        <v>33</v>
      </c>
    </row>
    <row r="439" spans="5:8">
      <c r="E439" s="38" t="str">
        <f t="shared" si="6"/>
        <v>福岡県福津市</v>
      </c>
      <c r="F439" t="s">
        <v>23</v>
      </c>
      <c r="G439" s="30" t="s">
        <v>594</v>
      </c>
      <c r="H439" s="30" t="s">
        <v>33</v>
      </c>
    </row>
    <row r="440" spans="5:8">
      <c r="E440" s="38" t="str">
        <f t="shared" si="6"/>
        <v>福岡県糸島市</v>
      </c>
      <c r="F440" t="s">
        <v>23</v>
      </c>
      <c r="G440" s="30" t="s">
        <v>595</v>
      </c>
      <c r="H440" s="30" t="s">
        <v>33</v>
      </c>
    </row>
    <row r="441" spans="5:8">
      <c r="E441" s="38" t="str">
        <f t="shared" si="6"/>
        <v>福岡県那珂川町</v>
      </c>
      <c r="F441" t="s">
        <v>23</v>
      </c>
      <c r="G441" s="30" t="s">
        <v>596</v>
      </c>
      <c r="H441" s="30" t="s">
        <v>33</v>
      </c>
    </row>
    <row r="442" spans="5:8">
      <c r="E442" s="38" t="str">
        <f t="shared" si="6"/>
        <v>福岡県粕屋町</v>
      </c>
      <c r="F442" t="s">
        <v>23</v>
      </c>
      <c r="G442" s="30" t="s">
        <v>597</v>
      </c>
      <c r="H442" s="30" t="s">
        <v>33</v>
      </c>
    </row>
    <row r="443" spans="5:8">
      <c r="E443" s="38" t="str">
        <f t="shared" si="6"/>
        <v>福岡県北九州市</v>
      </c>
      <c r="F443" t="s">
        <v>23</v>
      </c>
      <c r="G443" s="30" t="s">
        <v>690</v>
      </c>
      <c r="H443" s="30" t="s">
        <v>85</v>
      </c>
    </row>
    <row r="444" spans="5:8">
      <c r="E444" s="38" t="str">
        <f t="shared" si="6"/>
        <v>福岡県飯塚市</v>
      </c>
      <c r="F444" t="s">
        <v>23</v>
      </c>
      <c r="G444" s="30" t="s">
        <v>691</v>
      </c>
      <c r="H444" s="30" t="s">
        <v>85</v>
      </c>
    </row>
    <row r="445" spans="5:8">
      <c r="E445" s="38" t="str">
        <f t="shared" si="6"/>
        <v>福岡県筑紫野市</v>
      </c>
      <c r="F445" t="s">
        <v>23</v>
      </c>
      <c r="G445" s="30" t="s">
        <v>692</v>
      </c>
      <c r="H445" s="30" t="s">
        <v>85</v>
      </c>
    </row>
    <row r="446" spans="5:8">
      <c r="E446" s="38" t="str">
        <f t="shared" si="6"/>
        <v>福岡県古賀市</v>
      </c>
      <c r="F446" t="s">
        <v>23</v>
      </c>
      <c r="G446" s="30" t="s">
        <v>598</v>
      </c>
      <c r="H446" s="30" t="s">
        <v>85</v>
      </c>
    </row>
    <row r="447" spans="5:8">
      <c r="E447" s="38" t="str">
        <f t="shared" si="6"/>
        <v>福岡県その他の地域</v>
      </c>
      <c r="F447" t="s">
        <v>23</v>
      </c>
      <c r="G447" s="30" t="s">
        <v>743</v>
      </c>
      <c r="H447" s="30" t="s">
        <v>53</v>
      </c>
    </row>
    <row r="448" spans="5:8">
      <c r="E448" s="38" t="str">
        <f t="shared" si="6"/>
        <v>長崎県長崎市</v>
      </c>
      <c r="F448" t="s">
        <v>51</v>
      </c>
      <c r="G448" s="30" t="s">
        <v>52</v>
      </c>
      <c r="H448" s="30" t="s">
        <v>85</v>
      </c>
    </row>
    <row r="449" spans="5:8">
      <c r="E449" s="38" t="str">
        <f t="shared" si="6"/>
        <v>長崎県その他の地域</v>
      </c>
      <c r="F449" t="s">
        <v>51</v>
      </c>
      <c r="G449" s="30" t="s">
        <v>743</v>
      </c>
      <c r="H449" s="30" t="s">
        <v>53</v>
      </c>
    </row>
    <row r="450" spans="5:8">
      <c r="E450" s="38" t="str">
        <f t="shared" ref="E450" si="7">F450&amp;G450</f>
        <v>その他の地域その他の地域</v>
      </c>
      <c r="F450" s="39" t="s">
        <v>54</v>
      </c>
      <c r="G450" s="30" t="s">
        <v>741</v>
      </c>
      <c r="H450" s="30" t="s">
        <v>53</v>
      </c>
    </row>
  </sheetData>
  <sortState ref="A2:B52">
    <sortCondition ref="A2:A52"/>
  </sortState>
  <mergeCells count="1">
    <mergeCell ref="J1:K1"/>
  </mergeCells>
  <phoneticPr fontId="2"/>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B1:AD130"/>
  <sheetViews>
    <sheetView topLeftCell="A56" zoomScale="115" zoomScaleNormal="115" workbookViewId="0">
      <selection activeCell="F67" sqref="F67"/>
    </sheetView>
  </sheetViews>
  <sheetFormatPr defaultRowHeight="12.2" customHeight="1"/>
  <cols>
    <col min="1" max="1" width="2.125" customWidth="1"/>
    <col min="2" max="2" width="26.875" customWidth="1"/>
    <col min="3" max="3" width="20.5" style="30" customWidth="1"/>
    <col min="4" max="4" width="8.875" style="25"/>
    <col min="5" max="5" width="3.625" customWidth="1"/>
    <col min="6" max="6" width="8.875" style="40"/>
    <col min="7" max="7" width="6" customWidth="1"/>
    <col min="8" max="8" width="33.125" customWidth="1"/>
    <col min="9" max="9" width="18.875" customWidth="1"/>
    <col min="10" max="10" width="38.125" customWidth="1"/>
    <col min="11" max="11" width="24.875" customWidth="1"/>
    <col min="12" max="12" width="38.125" customWidth="1"/>
    <col min="13" max="13" width="8.5" customWidth="1"/>
    <col min="14" max="14" width="12.125" customWidth="1"/>
    <col min="15" max="15" width="31.125" customWidth="1"/>
    <col min="16" max="16" width="17.125" customWidth="1"/>
  </cols>
  <sheetData>
    <row r="1" spans="2:30" ht="12.2" customHeight="1" thickBot="1">
      <c r="B1" s="1023" t="s">
        <v>104</v>
      </c>
      <c r="C1" s="1029" t="s">
        <v>62</v>
      </c>
      <c r="D1" s="1" t="s">
        <v>5</v>
      </c>
      <c r="E1" s="2" t="s">
        <v>4</v>
      </c>
      <c r="F1" s="445">
        <v>714</v>
      </c>
      <c r="G1" s="3" t="s">
        <v>3</v>
      </c>
      <c r="H1" t="str">
        <f>$B$1&amp;$C$1&amp;D1</f>
        <v>Ⅰ型介護医療院サービス費（Ⅰ）従来型個室要介護１</v>
      </c>
      <c r="J1" s="15" t="s">
        <v>57</v>
      </c>
      <c r="K1" s="41" t="s">
        <v>911</v>
      </c>
      <c r="L1" s="41" t="s">
        <v>771</v>
      </c>
      <c r="M1" s="44" t="s">
        <v>855</v>
      </c>
      <c r="N1" s="44" t="s">
        <v>886</v>
      </c>
      <c r="O1" s="15" t="s">
        <v>58</v>
      </c>
      <c r="P1" s="41" t="s">
        <v>887</v>
      </c>
      <c r="Q1" s="7" t="s">
        <v>765</v>
      </c>
      <c r="R1" s="7" t="s">
        <v>766</v>
      </c>
      <c r="S1" s="7" t="s">
        <v>767</v>
      </c>
      <c r="T1" s="7" t="s">
        <v>768</v>
      </c>
      <c r="U1" s="7" t="s">
        <v>769</v>
      </c>
      <c r="V1" s="7" t="s">
        <v>770</v>
      </c>
      <c r="W1" s="7" t="s">
        <v>772</v>
      </c>
      <c r="X1" s="7" t="s">
        <v>822</v>
      </c>
      <c r="Y1" s="7" t="s">
        <v>773</v>
      </c>
      <c r="Z1" s="7" t="s">
        <v>774</v>
      </c>
      <c r="AA1" s="7" t="s">
        <v>775</v>
      </c>
      <c r="AB1" s="7" t="s">
        <v>776</v>
      </c>
      <c r="AC1" s="8" t="s">
        <v>777</v>
      </c>
    </row>
    <row r="2" spans="2:30" ht="12.2" customHeight="1">
      <c r="B2" s="1023"/>
      <c r="C2" s="1029"/>
      <c r="D2" s="1" t="s">
        <v>0</v>
      </c>
      <c r="E2" s="2" t="s">
        <v>4</v>
      </c>
      <c r="F2" s="445">
        <v>824</v>
      </c>
      <c r="G2" s="3" t="s">
        <v>3</v>
      </c>
      <c r="H2" t="str">
        <f>$B$1&amp;$C$1&amp;D2</f>
        <v>Ⅰ型介護医療院サービス費（Ⅰ）従来型個室要介護２</v>
      </c>
      <c r="J2" s="7" t="s">
        <v>116</v>
      </c>
      <c r="K2" s="7" t="s">
        <v>912</v>
      </c>
      <c r="L2" s="7" t="s">
        <v>765</v>
      </c>
      <c r="M2">
        <v>1</v>
      </c>
      <c r="N2">
        <v>1</v>
      </c>
      <c r="O2" s="7" t="s">
        <v>60</v>
      </c>
      <c r="P2">
        <v>1</v>
      </c>
      <c r="Q2" s="7" t="s">
        <v>60</v>
      </c>
      <c r="R2" s="7" t="s">
        <v>60</v>
      </c>
      <c r="S2" s="7" t="s">
        <v>60</v>
      </c>
      <c r="T2" s="7" t="s">
        <v>60</v>
      </c>
      <c r="U2" s="7" t="s">
        <v>60</v>
      </c>
      <c r="V2" s="7" t="s">
        <v>60</v>
      </c>
      <c r="W2" s="7" t="s">
        <v>60</v>
      </c>
      <c r="X2" s="7" t="s">
        <v>60</v>
      </c>
      <c r="Y2" s="37" t="s">
        <v>132</v>
      </c>
      <c r="Z2" s="37" t="s">
        <v>132</v>
      </c>
      <c r="AA2" s="37" t="s">
        <v>132</v>
      </c>
      <c r="AB2" s="37" t="s">
        <v>132</v>
      </c>
      <c r="AC2" s="37" t="s">
        <v>132</v>
      </c>
      <c r="AD2" s="37"/>
    </row>
    <row r="3" spans="2:30" ht="12.2" customHeight="1" thickBot="1">
      <c r="B3" s="1023"/>
      <c r="C3" s="1029"/>
      <c r="D3" s="1" t="s">
        <v>1</v>
      </c>
      <c r="E3" s="2" t="s">
        <v>4</v>
      </c>
      <c r="F3" s="445">
        <v>1060</v>
      </c>
      <c r="G3" s="3" t="s">
        <v>3</v>
      </c>
      <c r="H3" t="str">
        <f>$B$1&amp;$C$1&amp;D3</f>
        <v>Ⅰ型介護医療院サービス費（Ⅰ）従来型個室要介護３</v>
      </c>
      <c r="J3" s="7" t="s">
        <v>105</v>
      </c>
      <c r="K3" s="7" t="s">
        <v>913</v>
      </c>
      <c r="L3" s="7" t="s">
        <v>766</v>
      </c>
      <c r="M3">
        <v>2</v>
      </c>
      <c r="N3">
        <v>1</v>
      </c>
      <c r="O3" s="7" t="s">
        <v>94</v>
      </c>
      <c r="P3">
        <v>1</v>
      </c>
      <c r="Q3" s="7" t="s">
        <v>94</v>
      </c>
      <c r="R3" s="7" t="s">
        <v>94</v>
      </c>
      <c r="S3" s="7" t="s">
        <v>94</v>
      </c>
      <c r="T3" s="7" t="s">
        <v>94</v>
      </c>
      <c r="U3" s="7" t="s">
        <v>94</v>
      </c>
      <c r="V3" s="7" t="s">
        <v>94</v>
      </c>
      <c r="W3" s="7" t="s">
        <v>94</v>
      </c>
      <c r="X3" s="7" t="s">
        <v>94</v>
      </c>
      <c r="Y3" s="8" t="s">
        <v>129</v>
      </c>
      <c r="Z3" s="8" t="s">
        <v>129</v>
      </c>
      <c r="AA3" s="8" t="s">
        <v>129</v>
      </c>
      <c r="AB3" s="8" t="s">
        <v>129</v>
      </c>
      <c r="AC3" s="8" t="s">
        <v>129</v>
      </c>
      <c r="AD3" s="8"/>
    </row>
    <row r="4" spans="2:30" ht="12.2" customHeight="1">
      <c r="B4" s="1023"/>
      <c r="C4" s="1029"/>
      <c r="D4" s="1" t="s">
        <v>2</v>
      </c>
      <c r="E4" s="2" t="s">
        <v>4</v>
      </c>
      <c r="F4" s="445">
        <v>1161</v>
      </c>
      <c r="G4" s="3" t="s">
        <v>3</v>
      </c>
      <c r="H4" t="str">
        <f>$B$1&amp;$C$1&amp;D4</f>
        <v>Ⅰ型介護医療院サービス費（Ⅰ）従来型個室要介護４</v>
      </c>
      <c r="J4" s="7" t="s">
        <v>106</v>
      </c>
      <c r="K4" s="7" t="s">
        <v>914</v>
      </c>
      <c r="L4" s="7" t="s">
        <v>767</v>
      </c>
      <c r="M4">
        <v>3</v>
      </c>
      <c r="N4">
        <v>1</v>
      </c>
      <c r="O4" s="37" t="s">
        <v>132</v>
      </c>
      <c r="P4">
        <v>2</v>
      </c>
    </row>
    <row r="5" spans="2:30" ht="12.2" customHeight="1" thickBot="1">
      <c r="B5" s="1023"/>
      <c r="C5" s="1029"/>
      <c r="D5" s="1" t="s">
        <v>6</v>
      </c>
      <c r="E5" s="2" t="s">
        <v>4</v>
      </c>
      <c r="F5" s="445">
        <v>1251</v>
      </c>
      <c r="G5" s="3" t="s">
        <v>3</v>
      </c>
      <c r="H5" t="str">
        <f>$B$1&amp;$C$1&amp;D5</f>
        <v>Ⅰ型介護医療院サービス費（Ⅰ）従来型個室要介護５</v>
      </c>
      <c r="J5" s="7" t="s">
        <v>108</v>
      </c>
      <c r="K5" s="7" t="s">
        <v>915</v>
      </c>
      <c r="L5" s="7" t="s">
        <v>768</v>
      </c>
      <c r="M5">
        <v>4</v>
      </c>
      <c r="N5">
        <v>1</v>
      </c>
      <c r="O5" s="8" t="s">
        <v>129</v>
      </c>
      <c r="P5">
        <v>2</v>
      </c>
    </row>
    <row r="6" spans="2:30" ht="12.2" customHeight="1">
      <c r="B6" s="1023"/>
      <c r="C6" s="1029" t="s">
        <v>82</v>
      </c>
      <c r="D6" s="1" t="s">
        <v>5</v>
      </c>
      <c r="E6" s="2" t="s">
        <v>4</v>
      </c>
      <c r="F6" s="445">
        <v>825</v>
      </c>
      <c r="G6" s="3" t="s">
        <v>3</v>
      </c>
      <c r="H6" t="str">
        <f>$B$1&amp;$C$6&amp;D6</f>
        <v>Ⅰ型介護医療院サービス費（Ⅰ）多床室要介護１</v>
      </c>
      <c r="J6" s="7" t="s">
        <v>113</v>
      </c>
      <c r="K6" s="7" t="s">
        <v>916</v>
      </c>
      <c r="L6" s="7" t="s">
        <v>769</v>
      </c>
      <c r="M6">
        <v>5</v>
      </c>
      <c r="N6">
        <v>1</v>
      </c>
    </row>
    <row r="7" spans="2:30" ht="12.2" customHeight="1">
      <c r="B7" s="1023"/>
      <c r="C7" s="1029"/>
      <c r="D7" s="1" t="s">
        <v>0</v>
      </c>
      <c r="E7" s="2" t="s">
        <v>4</v>
      </c>
      <c r="F7" s="445">
        <v>934</v>
      </c>
      <c r="G7" s="3" t="s">
        <v>3</v>
      </c>
      <c r="H7" t="str">
        <f>$B$1&amp;$C$6&amp;D7</f>
        <v>Ⅰ型介護医療院サービス費（Ⅰ）多床室要介護２</v>
      </c>
      <c r="J7" s="7" t="s">
        <v>114</v>
      </c>
      <c r="K7" s="7" t="s">
        <v>917</v>
      </c>
      <c r="L7" s="7" t="s">
        <v>770</v>
      </c>
      <c r="M7">
        <v>6</v>
      </c>
      <c r="N7">
        <v>1</v>
      </c>
    </row>
    <row r="8" spans="2:30" ht="12.2" customHeight="1">
      <c r="B8" s="1023"/>
      <c r="C8" s="1029"/>
      <c r="D8" s="1" t="s">
        <v>1</v>
      </c>
      <c r="E8" s="2" t="s">
        <v>4</v>
      </c>
      <c r="F8" s="445">
        <v>1171</v>
      </c>
      <c r="G8" s="3" t="s">
        <v>3</v>
      </c>
      <c r="H8" t="str">
        <f>$B$1&amp;$C$6&amp;D8</f>
        <v>Ⅰ型介護医療院サービス費（Ⅰ）多床室要介護３</v>
      </c>
      <c r="J8" s="7" t="s">
        <v>115</v>
      </c>
      <c r="K8" s="7" t="s">
        <v>918</v>
      </c>
      <c r="L8" s="7" t="s">
        <v>772</v>
      </c>
      <c r="M8">
        <v>7</v>
      </c>
      <c r="N8">
        <v>1</v>
      </c>
    </row>
    <row r="9" spans="2:30" ht="12.2" customHeight="1">
      <c r="B9" s="1023"/>
      <c r="C9" s="1029"/>
      <c r="D9" s="1" t="s">
        <v>2</v>
      </c>
      <c r="E9" s="2" t="s">
        <v>4</v>
      </c>
      <c r="F9" s="445">
        <v>1271</v>
      </c>
      <c r="G9" s="3" t="s">
        <v>3</v>
      </c>
      <c r="H9" t="str">
        <f>$B$1&amp;$C$6&amp;D9</f>
        <v>Ⅰ型介護医療院サービス費（Ⅰ）多床室要介護４</v>
      </c>
      <c r="J9" s="7" t="s">
        <v>821</v>
      </c>
      <c r="K9" s="7" t="s">
        <v>919</v>
      </c>
      <c r="L9" s="7" t="s">
        <v>822</v>
      </c>
      <c r="M9">
        <v>8</v>
      </c>
      <c r="N9">
        <v>1</v>
      </c>
    </row>
    <row r="10" spans="2:30" ht="12.2" customHeight="1">
      <c r="B10" s="1023"/>
      <c r="C10" s="1029"/>
      <c r="D10" s="1" t="s">
        <v>6</v>
      </c>
      <c r="E10" s="2" t="s">
        <v>4</v>
      </c>
      <c r="F10" s="445">
        <v>1362</v>
      </c>
      <c r="G10" s="3" t="s">
        <v>3</v>
      </c>
      <c r="H10" t="str">
        <f>$B$1&amp;$C$6&amp;D10</f>
        <v>Ⅰ型介護医療院サービス費（Ⅰ）多床室要介護５</v>
      </c>
      <c r="J10" s="7" t="s">
        <v>117</v>
      </c>
      <c r="K10" s="7" t="s">
        <v>920</v>
      </c>
      <c r="L10" s="7" t="s">
        <v>773</v>
      </c>
      <c r="M10">
        <v>9</v>
      </c>
      <c r="N10">
        <v>2</v>
      </c>
    </row>
    <row r="11" spans="2:30" ht="12.2" customHeight="1">
      <c r="B11" s="1023" t="s">
        <v>107</v>
      </c>
      <c r="C11" s="1026" t="s">
        <v>62</v>
      </c>
      <c r="D11" s="1" t="s">
        <v>5</v>
      </c>
      <c r="E11" s="2" t="s">
        <v>4</v>
      </c>
      <c r="F11" s="445">
        <v>704</v>
      </c>
      <c r="G11" s="3" t="s">
        <v>3</v>
      </c>
      <c r="H11" t="str">
        <f>$B$11&amp;$C$11&amp;D11</f>
        <v>Ⅰ型介護医療院サービス費（Ⅱ）従来型個室要介護１</v>
      </c>
      <c r="J11" s="7" t="s">
        <v>118</v>
      </c>
      <c r="K11" s="7" t="s">
        <v>921</v>
      </c>
      <c r="L11" s="7" t="s">
        <v>774</v>
      </c>
      <c r="M11">
        <v>10</v>
      </c>
      <c r="N11">
        <v>2</v>
      </c>
    </row>
    <row r="12" spans="2:30" ht="12.2" customHeight="1">
      <c r="B12" s="1024"/>
      <c r="C12" s="1027"/>
      <c r="D12" s="1" t="s">
        <v>0</v>
      </c>
      <c r="E12" s="2" t="s">
        <v>4</v>
      </c>
      <c r="F12" s="445">
        <v>812</v>
      </c>
      <c r="G12" s="3" t="s">
        <v>3</v>
      </c>
      <c r="H12" t="str">
        <f>$B$11&amp;$C$11&amp;D12</f>
        <v>Ⅰ型介護医療院サービス費（Ⅱ）従来型個室要介護２</v>
      </c>
      <c r="J12" s="7" t="s">
        <v>125</v>
      </c>
      <c r="K12" s="7" t="s">
        <v>922</v>
      </c>
      <c r="L12" s="7" t="s">
        <v>775</v>
      </c>
      <c r="M12">
        <v>11</v>
      </c>
      <c r="N12">
        <v>2</v>
      </c>
    </row>
    <row r="13" spans="2:30" ht="12.2" customHeight="1">
      <c r="B13" s="1024"/>
      <c r="C13" s="1027"/>
      <c r="D13" s="1" t="s">
        <v>1</v>
      </c>
      <c r="E13" s="2" t="s">
        <v>4</v>
      </c>
      <c r="F13" s="445">
        <v>1045</v>
      </c>
      <c r="G13" s="3" t="s">
        <v>3</v>
      </c>
      <c r="H13" t="str">
        <f>$B$11&amp;$C$11&amp;D13</f>
        <v>Ⅰ型介護医療院サービス費（Ⅱ）従来型個室要介護３</v>
      </c>
      <c r="J13" s="7" t="s">
        <v>126</v>
      </c>
      <c r="K13" s="7" t="s">
        <v>923</v>
      </c>
      <c r="L13" s="7" t="s">
        <v>776</v>
      </c>
      <c r="M13">
        <v>12</v>
      </c>
      <c r="N13">
        <v>2</v>
      </c>
    </row>
    <row r="14" spans="2:30" ht="12.2" customHeight="1" thickBot="1">
      <c r="B14" s="1024"/>
      <c r="C14" s="1027"/>
      <c r="D14" s="1" t="s">
        <v>2</v>
      </c>
      <c r="E14" s="2" t="s">
        <v>4</v>
      </c>
      <c r="F14" s="445">
        <v>1144</v>
      </c>
      <c r="G14" s="3" t="s">
        <v>3</v>
      </c>
      <c r="H14" t="str">
        <f>$B$11&amp;$C$11&amp;D14</f>
        <v>Ⅰ型介護医療院サービス費（Ⅱ）従来型個室要介護４</v>
      </c>
      <c r="J14" s="8" t="s">
        <v>127</v>
      </c>
      <c r="K14" s="8" t="s">
        <v>924</v>
      </c>
      <c r="L14" s="8" t="s">
        <v>777</v>
      </c>
      <c r="M14">
        <v>13</v>
      </c>
      <c r="N14">
        <v>2</v>
      </c>
    </row>
    <row r="15" spans="2:30" ht="12.2" customHeight="1">
      <c r="B15" s="1024"/>
      <c r="C15" s="1028"/>
      <c r="D15" s="1" t="s">
        <v>6</v>
      </c>
      <c r="E15" s="2" t="s">
        <v>4</v>
      </c>
      <c r="F15" s="445">
        <v>1233</v>
      </c>
      <c r="G15" s="3" t="s">
        <v>3</v>
      </c>
      <c r="H15" t="str">
        <f>$B$11&amp;$C$11&amp;D15</f>
        <v>Ⅰ型介護医療院サービス費（Ⅱ）従来型個室要介護５</v>
      </c>
    </row>
    <row r="16" spans="2:30" ht="12.2" customHeight="1">
      <c r="B16" s="1024"/>
      <c r="C16" s="1026" t="s">
        <v>82</v>
      </c>
      <c r="D16" s="1" t="s">
        <v>5</v>
      </c>
      <c r="E16" s="2" t="s">
        <v>4</v>
      </c>
      <c r="F16" s="445">
        <v>813</v>
      </c>
      <c r="G16" s="3" t="s">
        <v>3</v>
      </c>
      <c r="H16" t="str">
        <f>$B$11&amp;$C$16&amp;D16</f>
        <v>Ⅰ型介護医療院サービス費（Ⅱ）多床室要介護１</v>
      </c>
    </row>
    <row r="17" spans="2:8" ht="12.2" customHeight="1">
      <c r="B17" s="1024"/>
      <c r="C17" s="1027"/>
      <c r="D17" s="1" t="s">
        <v>0</v>
      </c>
      <c r="E17" s="2" t="s">
        <v>4</v>
      </c>
      <c r="F17" s="445">
        <v>921</v>
      </c>
      <c r="G17" s="3" t="s">
        <v>3</v>
      </c>
      <c r="H17" t="str">
        <f>$B$11&amp;$C$16&amp;D17</f>
        <v>Ⅰ型介護医療院サービス費（Ⅱ）多床室要介護２</v>
      </c>
    </row>
    <row r="18" spans="2:8" ht="12.2" customHeight="1">
      <c r="B18" s="1024"/>
      <c r="C18" s="1027"/>
      <c r="D18" s="1" t="s">
        <v>1</v>
      </c>
      <c r="E18" s="2" t="s">
        <v>4</v>
      </c>
      <c r="F18" s="445">
        <v>1154</v>
      </c>
      <c r="G18" s="3" t="s">
        <v>3</v>
      </c>
      <c r="H18" t="str">
        <f>$B$11&amp;$C$16&amp;D18</f>
        <v>Ⅰ型介護医療院サービス費（Ⅱ）多床室要介護３</v>
      </c>
    </row>
    <row r="19" spans="2:8" ht="12.2" customHeight="1">
      <c r="B19" s="1024"/>
      <c r="C19" s="1027"/>
      <c r="D19" s="1" t="s">
        <v>2</v>
      </c>
      <c r="E19" s="2" t="s">
        <v>4</v>
      </c>
      <c r="F19" s="445">
        <v>1252</v>
      </c>
      <c r="G19" s="3" t="s">
        <v>3</v>
      </c>
      <c r="H19" t="str">
        <f>$B$11&amp;$C$16&amp;D19</f>
        <v>Ⅰ型介護医療院サービス費（Ⅱ）多床室要介護４</v>
      </c>
    </row>
    <row r="20" spans="2:8" ht="12.2" customHeight="1">
      <c r="B20" s="1025"/>
      <c r="C20" s="1028"/>
      <c r="D20" s="1" t="s">
        <v>6</v>
      </c>
      <c r="E20" s="2" t="s">
        <v>4</v>
      </c>
      <c r="F20" s="445">
        <v>1342</v>
      </c>
      <c r="G20" s="3" t="s">
        <v>3</v>
      </c>
      <c r="H20" t="str">
        <f>$B$11&amp;$C$16&amp;D20</f>
        <v>Ⅰ型介護医療院サービス費（Ⅱ）多床室要介護５</v>
      </c>
    </row>
    <row r="21" spans="2:8" ht="12.2" customHeight="1">
      <c r="B21" s="1023" t="s">
        <v>112</v>
      </c>
      <c r="C21" s="1026" t="s">
        <v>62</v>
      </c>
      <c r="D21" s="1" t="s">
        <v>5</v>
      </c>
      <c r="E21" s="2" t="s">
        <v>4</v>
      </c>
      <c r="F21" s="445">
        <v>688</v>
      </c>
      <c r="G21" s="3" t="s">
        <v>3</v>
      </c>
      <c r="H21" t="str">
        <f>$B$21&amp;$C$21&amp;D21</f>
        <v>Ⅰ型介護医療院サービス費（Ⅲ）従来型個室要介護１</v>
      </c>
    </row>
    <row r="22" spans="2:8" ht="12.2" customHeight="1">
      <c r="B22" s="1024"/>
      <c r="C22" s="1027"/>
      <c r="D22" s="1" t="s">
        <v>0</v>
      </c>
      <c r="E22" s="2" t="s">
        <v>4</v>
      </c>
      <c r="F22" s="445">
        <v>796</v>
      </c>
      <c r="G22" s="3" t="s">
        <v>3</v>
      </c>
      <c r="H22" t="str">
        <f>$B$21&amp;$C$21&amp;D22</f>
        <v>Ⅰ型介護医療院サービス費（Ⅲ）従来型個室要介護２</v>
      </c>
    </row>
    <row r="23" spans="2:8" ht="12.2" customHeight="1">
      <c r="B23" s="1024"/>
      <c r="C23" s="1027"/>
      <c r="D23" s="1" t="s">
        <v>1</v>
      </c>
      <c r="E23" s="2" t="s">
        <v>4</v>
      </c>
      <c r="F23" s="445">
        <v>1029</v>
      </c>
      <c r="G23" s="3" t="s">
        <v>3</v>
      </c>
      <c r="H23" t="str">
        <f>$B$21&amp;$C$21&amp;D23</f>
        <v>Ⅰ型介護医療院サービス費（Ⅲ）従来型個室要介護３</v>
      </c>
    </row>
    <row r="24" spans="2:8" ht="12.2" customHeight="1">
      <c r="B24" s="1024"/>
      <c r="C24" s="1027"/>
      <c r="D24" s="1" t="s">
        <v>2</v>
      </c>
      <c r="E24" s="2" t="s">
        <v>4</v>
      </c>
      <c r="F24" s="445">
        <v>1127</v>
      </c>
      <c r="G24" s="3" t="s">
        <v>3</v>
      </c>
      <c r="H24" t="str">
        <f>$B$21&amp;$C$21&amp;D24</f>
        <v>Ⅰ型介護医療院サービス費（Ⅲ）従来型個室要介護４</v>
      </c>
    </row>
    <row r="25" spans="2:8" ht="12.2" customHeight="1">
      <c r="B25" s="1024"/>
      <c r="C25" s="1028"/>
      <c r="D25" s="1" t="s">
        <v>6</v>
      </c>
      <c r="E25" s="2" t="s">
        <v>4</v>
      </c>
      <c r="F25" s="445">
        <v>1217</v>
      </c>
      <c r="G25" s="3" t="s">
        <v>3</v>
      </c>
      <c r="H25" t="str">
        <f>$B$21&amp;$C$21&amp;D25</f>
        <v>Ⅰ型介護医療院サービス費（Ⅲ）従来型個室要介護５</v>
      </c>
    </row>
    <row r="26" spans="2:8" ht="12.2" customHeight="1">
      <c r="B26" s="1024"/>
      <c r="C26" s="1026" t="s">
        <v>82</v>
      </c>
      <c r="D26" s="1" t="s">
        <v>5</v>
      </c>
      <c r="E26" s="2" t="s">
        <v>4</v>
      </c>
      <c r="F26" s="445">
        <v>797</v>
      </c>
      <c r="G26" s="3" t="s">
        <v>3</v>
      </c>
      <c r="H26" t="str">
        <f>$B$21&amp;$C$26&amp;D26</f>
        <v>Ⅰ型介護医療院サービス費（Ⅲ）多床室要介護１</v>
      </c>
    </row>
    <row r="27" spans="2:8" ht="12.2" customHeight="1">
      <c r="B27" s="1024"/>
      <c r="C27" s="1027"/>
      <c r="D27" s="1" t="s">
        <v>0</v>
      </c>
      <c r="E27" s="2" t="s">
        <v>4</v>
      </c>
      <c r="F27" s="445">
        <v>905</v>
      </c>
      <c r="G27" s="3" t="s">
        <v>3</v>
      </c>
      <c r="H27" t="str">
        <f>$B$21&amp;$C$26&amp;D27</f>
        <v>Ⅰ型介護医療院サービス費（Ⅲ）多床室要介護２</v>
      </c>
    </row>
    <row r="28" spans="2:8" ht="12.2" customHeight="1">
      <c r="B28" s="1024"/>
      <c r="C28" s="1027"/>
      <c r="D28" s="1" t="s">
        <v>1</v>
      </c>
      <c r="E28" s="2" t="s">
        <v>4</v>
      </c>
      <c r="F28" s="445">
        <v>1137</v>
      </c>
      <c r="G28" s="3" t="s">
        <v>3</v>
      </c>
      <c r="H28" t="str">
        <f>$B$21&amp;$C$26&amp;D28</f>
        <v>Ⅰ型介護医療院サービス費（Ⅲ）多床室要介護３</v>
      </c>
    </row>
    <row r="29" spans="2:8" ht="12.2" customHeight="1">
      <c r="B29" s="1024"/>
      <c r="C29" s="1027"/>
      <c r="D29" s="1" t="s">
        <v>2</v>
      </c>
      <c r="E29" s="2" t="s">
        <v>4</v>
      </c>
      <c r="F29" s="445">
        <v>1236</v>
      </c>
      <c r="G29" s="3" t="s">
        <v>3</v>
      </c>
      <c r="H29" t="str">
        <f>$B$21&amp;$C$26&amp;D29</f>
        <v>Ⅰ型介護医療院サービス費（Ⅲ）多床室要介護４</v>
      </c>
    </row>
    <row r="30" spans="2:8" ht="12.2" customHeight="1">
      <c r="B30" s="1025"/>
      <c r="C30" s="1028"/>
      <c r="D30" s="1" t="s">
        <v>6</v>
      </c>
      <c r="E30" s="2" t="s">
        <v>4</v>
      </c>
      <c r="F30" s="445">
        <v>1326</v>
      </c>
      <c r="G30" s="3" t="s">
        <v>3</v>
      </c>
      <c r="H30" t="str">
        <f>$B$21&amp;$C$26&amp;D30</f>
        <v>Ⅰ型介護医療院サービス費（Ⅲ）多床室要介護５</v>
      </c>
    </row>
    <row r="31" spans="2:8" ht="12.2" customHeight="1">
      <c r="B31" s="1023" t="s">
        <v>109</v>
      </c>
      <c r="C31" s="1029" t="s">
        <v>62</v>
      </c>
      <c r="D31" s="1" t="s">
        <v>5</v>
      </c>
      <c r="E31" s="2" t="s">
        <v>4</v>
      </c>
      <c r="F31" s="445">
        <v>669</v>
      </c>
      <c r="G31" s="3" t="s">
        <v>3</v>
      </c>
      <c r="H31" t="str">
        <f>$B$31&amp;$C$31&amp;D31</f>
        <v>Ⅱ型介護医療院サービス費（Ⅰ）従来型個室要介護１</v>
      </c>
    </row>
    <row r="32" spans="2:8" ht="12.2" customHeight="1">
      <c r="B32" s="1023"/>
      <c r="C32" s="1029"/>
      <c r="D32" s="1" t="s">
        <v>0</v>
      </c>
      <c r="E32" s="2" t="s">
        <v>4</v>
      </c>
      <c r="F32" s="445">
        <v>764</v>
      </c>
      <c r="G32" s="3" t="s">
        <v>3</v>
      </c>
      <c r="H32" t="str">
        <f>$B$31&amp;$C$31&amp;D32</f>
        <v>Ⅱ型介護医療院サービス費（Ⅰ）従来型個室要介護２</v>
      </c>
    </row>
    <row r="33" spans="2:8" ht="12.2" customHeight="1">
      <c r="B33" s="1023"/>
      <c r="C33" s="1029"/>
      <c r="D33" s="1" t="s">
        <v>1</v>
      </c>
      <c r="E33" s="2" t="s">
        <v>4</v>
      </c>
      <c r="F33" s="445">
        <v>972</v>
      </c>
      <c r="G33" s="3" t="s">
        <v>3</v>
      </c>
      <c r="H33" t="str">
        <f>$B$31&amp;$C$31&amp;D33</f>
        <v>Ⅱ型介護医療院サービス費（Ⅰ）従来型個室要介護３</v>
      </c>
    </row>
    <row r="34" spans="2:8" ht="12.2" customHeight="1">
      <c r="B34" s="1023"/>
      <c r="C34" s="1029"/>
      <c r="D34" s="1" t="s">
        <v>2</v>
      </c>
      <c r="E34" s="2" t="s">
        <v>4</v>
      </c>
      <c r="F34" s="445">
        <v>1059</v>
      </c>
      <c r="G34" s="3" t="s">
        <v>3</v>
      </c>
      <c r="H34" t="str">
        <f>$B$31&amp;$C$31&amp;D34</f>
        <v>Ⅱ型介護医療院サービス費（Ⅰ）従来型個室要介護４</v>
      </c>
    </row>
    <row r="35" spans="2:8" ht="12.2" customHeight="1">
      <c r="B35" s="1023"/>
      <c r="C35" s="1029"/>
      <c r="D35" s="1" t="s">
        <v>6</v>
      </c>
      <c r="E35" s="2" t="s">
        <v>4</v>
      </c>
      <c r="F35" s="445">
        <v>1138</v>
      </c>
      <c r="G35" s="3" t="s">
        <v>3</v>
      </c>
      <c r="H35" t="str">
        <f>$B$31&amp;$C$31&amp;D35</f>
        <v>Ⅱ型介護医療院サービス費（Ⅰ）従来型個室要介護５</v>
      </c>
    </row>
    <row r="36" spans="2:8" ht="12.2" customHeight="1">
      <c r="B36" s="1023"/>
      <c r="C36" s="1029" t="s">
        <v>82</v>
      </c>
      <c r="D36" s="1" t="s">
        <v>5</v>
      </c>
      <c r="E36" s="2" t="s">
        <v>4</v>
      </c>
      <c r="F36" s="445">
        <v>779</v>
      </c>
      <c r="G36" s="3" t="s">
        <v>3</v>
      </c>
      <c r="H36" t="str">
        <f>$B$31&amp;$C$36&amp;D36</f>
        <v>Ⅱ型介護医療院サービス費（Ⅰ）多床室要介護１</v>
      </c>
    </row>
    <row r="37" spans="2:8" ht="12.2" customHeight="1">
      <c r="B37" s="1023"/>
      <c r="C37" s="1029"/>
      <c r="D37" s="1" t="s">
        <v>0</v>
      </c>
      <c r="E37" s="2" t="s">
        <v>4</v>
      </c>
      <c r="F37" s="445">
        <v>875</v>
      </c>
      <c r="G37" s="3" t="s">
        <v>3</v>
      </c>
      <c r="H37" t="str">
        <f>$B$31&amp;$C$36&amp;D37</f>
        <v>Ⅱ型介護医療院サービス費（Ⅰ）多床室要介護２</v>
      </c>
    </row>
    <row r="38" spans="2:8" ht="12.2" customHeight="1">
      <c r="B38" s="1023"/>
      <c r="C38" s="1029"/>
      <c r="D38" s="1" t="s">
        <v>1</v>
      </c>
      <c r="E38" s="2" t="s">
        <v>4</v>
      </c>
      <c r="F38" s="445">
        <v>1082</v>
      </c>
      <c r="G38" s="3" t="s">
        <v>3</v>
      </c>
      <c r="H38" t="str">
        <f>$B$31&amp;$C$36&amp;D38</f>
        <v>Ⅱ型介護医療院サービス費（Ⅰ）多床室要介護３</v>
      </c>
    </row>
    <row r="39" spans="2:8" ht="12.2" customHeight="1">
      <c r="B39" s="1023"/>
      <c r="C39" s="1029"/>
      <c r="D39" s="1" t="s">
        <v>2</v>
      </c>
      <c r="E39" s="2" t="s">
        <v>4</v>
      </c>
      <c r="F39" s="445">
        <v>1170</v>
      </c>
      <c r="G39" s="3" t="s">
        <v>3</v>
      </c>
      <c r="H39" t="str">
        <f>$B$31&amp;$C$36&amp;D39</f>
        <v>Ⅱ型介護医療院サービス費（Ⅰ）多床室要介護４</v>
      </c>
    </row>
    <row r="40" spans="2:8" ht="12.2" customHeight="1">
      <c r="B40" s="1023"/>
      <c r="C40" s="1029"/>
      <c r="D40" s="1" t="s">
        <v>6</v>
      </c>
      <c r="E40" s="2" t="s">
        <v>4</v>
      </c>
      <c r="F40" s="445">
        <v>1249</v>
      </c>
      <c r="G40" s="3" t="s">
        <v>3</v>
      </c>
      <c r="H40" t="str">
        <f>$B$31&amp;$C$36&amp;D40</f>
        <v>Ⅱ型介護医療院サービス費（Ⅰ）多床室要介護５</v>
      </c>
    </row>
    <row r="41" spans="2:8" ht="12.2" customHeight="1">
      <c r="B41" s="1023" t="s">
        <v>110</v>
      </c>
      <c r="C41" s="1026" t="s">
        <v>62</v>
      </c>
      <c r="D41" s="1" t="s">
        <v>5</v>
      </c>
      <c r="E41" s="2" t="s">
        <v>4</v>
      </c>
      <c r="F41" s="445">
        <v>653</v>
      </c>
      <c r="G41" s="3" t="s">
        <v>3</v>
      </c>
      <c r="H41" t="str">
        <f>$B$41&amp;$C$41&amp;D41</f>
        <v>Ⅱ型介護医療院サービス費（Ⅱ）従来型個室要介護１</v>
      </c>
    </row>
    <row r="42" spans="2:8" ht="12.2" customHeight="1">
      <c r="B42" s="1024"/>
      <c r="C42" s="1027"/>
      <c r="D42" s="1" t="s">
        <v>0</v>
      </c>
      <c r="E42" s="2" t="s">
        <v>4</v>
      </c>
      <c r="F42" s="445">
        <v>748</v>
      </c>
      <c r="G42" s="3" t="s">
        <v>3</v>
      </c>
      <c r="H42" t="str">
        <f>$B$41&amp;$C$41&amp;D42</f>
        <v>Ⅱ型介護医療院サービス費（Ⅱ）従来型個室要介護２</v>
      </c>
    </row>
    <row r="43" spans="2:8" ht="12.2" customHeight="1">
      <c r="B43" s="1024"/>
      <c r="C43" s="1027"/>
      <c r="D43" s="1" t="s">
        <v>1</v>
      </c>
      <c r="E43" s="2" t="s">
        <v>4</v>
      </c>
      <c r="F43" s="445">
        <v>954</v>
      </c>
      <c r="G43" s="3" t="s">
        <v>3</v>
      </c>
      <c r="H43" t="str">
        <f>$B$41&amp;$C$41&amp;D43</f>
        <v>Ⅱ型介護医療院サービス費（Ⅱ）従来型個室要介護３</v>
      </c>
    </row>
    <row r="44" spans="2:8" ht="12.2" customHeight="1">
      <c r="B44" s="1024"/>
      <c r="C44" s="1027"/>
      <c r="D44" s="1" t="s">
        <v>2</v>
      </c>
      <c r="E44" s="2" t="s">
        <v>4</v>
      </c>
      <c r="F44" s="445">
        <v>1043</v>
      </c>
      <c r="G44" s="3" t="s">
        <v>3</v>
      </c>
      <c r="H44" t="str">
        <f>$B$41&amp;$C$41&amp;D44</f>
        <v>Ⅱ型介護医療院サービス費（Ⅱ）従来型個室要介護４</v>
      </c>
    </row>
    <row r="45" spans="2:8" ht="12.2" customHeight="1">
      <c r="B45" s="1024"/>
      <c r="C45" s="1028"/>
      <c r="D45" s="1" t="s">
        <v>6</v>
      </c>
      <c r="E45" s="2" t="s">
        <v>4</v>
      </c>
      <c r="F45" s="445">
        <v>1122</v>
      </c>
      <c r="G45" s="3" t="s">
        <v>3</v>
      </c>
      <c r="H45" t="str">
        <f>$B$41&amp;$C$41&amp;D45</f>
        <v>Ⅱ型介護医療院サービス費（Ⅱ）従来型個室要介護５</v>
      </c>
    </row>
    <row r="46" spans="2:8" ht="12.2" customHeight="1">
      <c r="B46" s="1024"/>
      <c r="C46" s="1026" t="s">
        <v>82</v>
      </c>
      <c r="D46" s="1" t="s">
        <v>5</v>
      </c>
      <c r="E46" s="2" t="s">
        <v>4</v>
      </c>
      <c r="F46" s="445">
        <v>763</v>
      </c>
      <c r="G46" s="3" t="s">
        <v>3</v>
      </c>
      <c r="H46" t="str">
        <f>$B$41&amp;$C$46&amp;D46</f>
        <v>Ⅱ型介護医療院サービス費（Ⅱ）多床室要介護１</v>
      </c>
    </row>
    <row r="47" spans="2:8" ht="12.2" customHeight="1">
      <c r="B47" s="1024"/>
      <c r="C47" s="1027"/>
      <c r="D47" s="1" t="s">
        <v>0</v>
      </c>
      <c r="E47" s="2" t="s">
        <v>4</v>
      </c>
      <c r="F47" s="445">
        <v>859</v>
      </c>
      <c r="G47" s="3" t="s">
        <v>3</v>
      </c>
      <c r="H47" t="str">
        <f>$B$41&amp;$C$46&amp;D47</f>
        <v>Ⅱ型介護医療院サービス費（Ⅱ）多床室要介護２</v>
      </c>
    </row>
    <row r="48" spans="2:8" ht="12.2" customHeight="1">
      <c r="B48" s="1024"/>
      <c r="C48" s="1027"/>
      <c r="D48" s="1" t="s">
        <v>1</v>
      </c>
      <c r="E48" s="2" t="s">
        <v>4</v>
      </c>
      <c r="F48" s="445">
        <v>1065</v>
      </c>
      <c r="G48" s="3" t="s">
        <v>3</v>
      </c>
      <c r="H48" t="str">
        <f>$B$41&amp;$C$46&amp;D48</f>
        <v>Ⅱ型介護医療院サービス費（Ⅱ）多床室要介護３</v>
      </c>
    </row>
    <row r="49" spans="2:8" ht="12.2" customHeight="1">
      <c r="B49" s="1024"/>
      <c r="C49" s="1027"/>
      <c r="D49" s="1" t="s">
        <v>2</v>
      </c>
      <c r="E49" s="2" t="s">
        <v>4</v>
      </c>
      <c r="F49" s="445">
        <v>1154</v>
      </c>
      <c r="G49" s="3" t="s">
        <v>3</v>
      </c>
      <c r="H49" t="str">
        <f>$B$41&amp;$C$46&amp;D49</f>
        <v>Ⅱ型介護医療院サービス費（Ⅱ）多床室要介護４</v>
      </c>
    </row>
    <row r="50" spans="2:8" ht="12.2" customHeight="1">
      <c r="B50" s="1025"/>
      <c r="C50" s="1028"/>
      <c r="D50" s="1" t="s">
        <v>6</v>
      </c>
      <c r="E50" s="2" t="s">
        <v>4</v>
      </c>
      <c r="F50" s="445">
        <v>1233</v>
      </c>
      <c r="G50" s="3" t="s">
        <v>3</v>
      </c>
      <c r="H50" t="str">
        <f>$B$41&amp;$C$46&amp;D50</f>
        <v>Ⅱ型介護医療院サービス費（Ⅱ）多床室要介護５</v>
      </c>
    </row>
    <row r="51" spans="2:8" ht="12.2" customHeight="1">
      <c r="B51" s="1023" t="s">
        <v>111</v>
      </c>
      <c r="C51" s="1026" t="s">
        <v>62</v>
      </c>
      <c r="D51" s="1" t="s">
        <v>5</v>
      </c>
      <c r="E51" s="2" t="s">
        <v>4</v>
      </c>
      <c r="F51" s="445">
        <v>642</v>
      </c>
      <c r="G51" s="3" t="s">
        <v>3</v>
      </c>
      <c r="H51" t="str">
        <f>$B$51&amp;$C$51&amp;D51</f>
        <v>Ⅱ型介護医療院サービス費（Ⅲ）従来型個室要介護１</v>
      </c>
    </row>
    <row r="52" spans="2:8" ht="12.2" customHeight="1">
      <c r="B52" s="1024"/>
      <c r="C52" s="1027"/>
      <c r="D52" s="1" t="s">
        <v>0</v>
      </c>
      <c r="E52" s="2" t="s">
        <v>4</v>
      </c>
      <c r="F52" s="445">
        <v>736</v>
      </c>
      <c r="G52" s="3" t="s">
        <v>3</v>
      </c>
      <c r="H52" t="str">
        <f>$B$51&amp;$C$51&amp;D52</f>
        <v>Ⅱ型介護医療院サービス費（Ⅲ）従来型個室要介護２</v>
      </c>
    </row>
    <row r="53" spans="2:8" ht="12.2" customHeight="1">
      <c r="B53" s="1024"/>
      <c r="C53" s="1027"/>
      <c r="D53" s="1" t="s">
        <v>1</v>
      </c>
      <c r="E53" s="2" t="s">
        <v>4</v>
      </c>
      <c r="F53" s="445">
        <v>943</v>
      </c>
      <c r="G53" s="3" t="s">
        <v>3</v>
      </c>
      <c r="H53" t="str">
        <f>$B$51&amp;$C$51&amp;D53</f>
        <v>Ⅱ型介護医療院サービス費（Ⅲ）従来型個室要介護３</v>
      </c>
    </row>
    <row r="54" spans="2:8" ht="12.2" customHeight="1">
      <c r="B54" s="1024"/>
      <c r="C54" s="1027"/>
      <c r="D54" s="1" t="s">
        <v>2</v>
      </c>
      <c r="E54" s="2" t="s">
        <v>4</v>
      </c>
      <c r="F54" s="445">
        <v>1032</v>
      </c>
      <c r="G54" s="3" t="s">
        <v>3</v>
      </c>
      <c r="H54" t="str">
        <f>$B$51&amp;$C$51&amp;D54</f>
        <v>Ⅱ型介護医療院サービス費（Ⅲ）従来型個室要介護４</v>
      </c>
    </row>
    <row r="55" spans="2:8" ht="12.2" customHeight="1">
      <c r="B55" s="1024"/>
      <c r="C55" s="1028"/>
      <c r="D55" s="1" t="s">
        <v>6</v>
      </c>
      <c r="E55" s="2" t="s">
        <v>4</v>
      </c>
      <c r="F55" s="445">
        <v>1111</v>
      </c>
      <c r="G55" s="3" t="s">
        <v>3</v>
      </c>
      <c r="H55" t="str">
        <f>$B$51&amp;$C$51&amp;D55</f>
        <v>Ⅱ型介護医療院サービス費（Ⅲ）従来型個室要介護５</v>
      </c>
    </row>
    <row r="56" spans="2:8" ht="12.2" customHeight="1">
      <c r="B56" s="1024"/>
      <c r="C56" s="1026" t="s">
        <v>82</v>
      </c>
      <c r="D56" s="1" t="s">
        <v>5</v>
      </c>
      <c r="E56" s="2" t="s">
        <v>4</v>
      </c>
      <c r="F56" s="445">
        <v>752</v>
      </c>
      <c r="G56" s="3" t="s">
        <v>3</v>
      </c>
      <c r="H56" t="str">
        <f>$B$51&amp;$C$56&amp;D56</f>
        <v>Ⅱ型介護医療院サービス費（Ⅲ）多床室要介護１</v>
      </c>
    </row>
    <row r="57" spans="2:8" ht="12.2" customHeight="1">
      <c r="B57" s="1024"/>
      <c r="C57" s="1027"/>
      <c r="D57" s="1" t="s">
        <v>0</v>
      </c>
      <c r="E57" s="2" t="s">
        <v>4</v>
      </c>
      <c r="F57" s="445">
        <v>847</v>
      </c>
      <c r="G57" s="3" t="s">
        <v>3</v>
      </c>
      <c r="H57" t="str">
        <f>$B$51&amp;$C$56&amp;D57</f>
        <v>Ⅱ型介護医療院サービス費（Ⅲ）多床室要介護２</v>
      </c>
    </row>
    <row r="58" spans="2:8" ht="12.2" customHeight="1">
      <c r="B58" s="1024"/>
      <c r="C58" s="1027"/>
      <c r="D58" s="1" t="s">
        <v>1</v>
      </c>
      <c r="E58" s="2" t="s">
        <v>4</v>
      </c>
      <c r="F58" s="445">
        <v>1054</v>
      </c>
      <c r="G58" s="3" t="s">
        <v>3</v>
      </c>
      <c r="H58" t="str">
        <f>$B$51&amp;$C$56&amp;D58</f>
        <v>Ⅱ型介護医療院サービス費（Ⅲ）多床室要介護３</v>
      </c>
    </row>
    <row r="59" spans="2:8" ht="12.2" customHeight="1">
      <c r="B59" s="1024"/>
      <c r="C59" s="1027"/>
      <c r="D59" s="1" t="s">
        <v>2</v>
      </c>
      <c r="E59" s="2" t="s">
        <v>4</v>
      </c>
      <c r="F59" s="445">
        <v>1143</v>
      </c>
      <c r="G59" s="3" t="s">
        <v>3</v>
      </c>
      <c r="H59" t="str">
        <f>$B$51&amp;$C$56&amp;D59</f>
        <v>Ⅱ型介護医療院サービス費（Ⅲ）多床室要介護４</v>
      </c>
    </row>
    <row r="60" spans="2:8" ht="12.2" customHeight="1">
      <c r="B60" s="1025"/>
      <c r="C60" s="1028"/>
      <c r="D60" s="1" t="s">
        <v>6</v>
      </c>
      <c r="E60" s="2" t="s">
        <v>4</v>
      </c>
      <c r="F60" s="445">
        <v>1222</v>
      </c>
      <c r="G60" s="3" t="s">
        <v>3</v>
      </c>
      <c r="H60" t="str">
        <f>$B$51&amp;$C$56&amp;D60</f>
        <v>Ⅱ型介護医療院サービス費（Ⅲ）多床室要介護５</v>
      </c>
    </row>
    <row r="61" spans="2:8" ht="12.2" customHeight="1">
      <c r="B61" s="1023" t="s">
        <v>115</v>
      </c>
      <c r="C61" s="1026" t="s">
        <v>62</v>
      </c>
      <c r="D61" s="1" t="s">
        <v>5</v>
      </c>
      <c r="E61" s="2" t="s">
        <v>4</v>
      </c>
      <c r="F61" s="445">
        <v>655</v>
      </c>
      <c r="G61" s="3" t="s">
        <v>3</v>
      </c>
      <c r="H61" t="str">
        <f>$B$61&amp;$C$61&amp;D61</f>
        <v>Ⅰ型特別介護医療院サービス費従来型個室要介護１</v>
      </c>
    </row>
    <row r="62" spans="2:8" ht="12.2" customHeight="1">
      <c r="B62" s="1024"/>
      <c r="C62" s="1027"/>
      <c r="D62" s="1" t="s">
        <v>0</v>
      </c>
      <c r="E62" s="2" t="s">
        <v>4</v>
      </c>
      <c r="F62" s="445">
        <v>756</v>
      </c>
      <c r="G62" s="3" t="s">
        <v>3</v>
      </c>
      <c r="H62" t="str">
        <f>$B$61&amp;$C$61&amp;D62</f>
        <v>Ⅰ型特別介護医療院サービス費従来型個室要介護２</v>
      </c>
    </row>
    <row r="63" spans="2:8" ht="12.2" customHeight="1">
      <c r="B63" s="1024"/>
      <c r="C63" s="1027"/>
      <c r="D63" s="1" t="s">
        <v>1</v>
      </c>
      <c r="E63" s="2" t="s">
        <v>4</v>
      </c>
      <c r="F63" s="445">
        <v>979</v>
      </c>
      <c r="G63" s="3" t="s">
        <v>3</v>
      </c>
      <c r="H63" t="str">
        <f>$B$61&amp;$C$61&amp;D63</f>
        <v>Ⅰ型特別介護医療院サービス費従来型個室要介護３</v>
      </c>
    </row>
    <row r="64" spans="2:8" ht="12.2" customHeight="1">
      <c r="B64" s="1024"/>
      <c r="C64" s="1027"/>
      <c r="D64" s="1" t="s">
        <v>2</v>
      </c>
      <c r="E64" s="2" t="s">
        <v>4</v>
      </c>
      <c r="F64" s="445">
        <v>1071</v>
      </c>
      <c r="G64" s="3" t="s">
        <v>3</v>
      </c>
      <c r="H64" t="str">
        <f>$B$61&amp;$C$61&amp;D64</f>
        <v>Ⅰ型特別介護医療院サービス費従来型個室要介護４</v>
      </c>
    </row>
    <row r="65" spans="2:8" ht="12.2" customHeight="1">
      <c r="B65" s="1024"/>
      <c r="C65" s="1028"/>
      <c r="D65" s="1" t="s">
        <v>6</v>
      </c>
      <c r="E65" s="2" t="s">
        <v>4</v>
      </c>
      <c r="F65" s="445">
        <v>1157</v>
      </c>
      <c r="G65" s="3" t="s">
        <v>3</v>
      </c>
      <c r="H65" t="str">
        <f>$B$61&amp;$C$61&amp;D65</f>
        <v>Ⅰ型特別介護医療院サービス費従来型個室要介護５</v>
      </c>
    </row>
    <row r="66" spans="2:8" ht="12.2" customHeight="1">
      <c r="B66" s="1024"/>
      <c r="C66" s="1026" t="s">
        <v>82</v>
      </c>
      <c r="D66" s="1" t="s">
        <v>5</v>
      </c>
      <c r="E66" s="2" t="s">
        <v>4</v>
      </c>
      <c r="F66" s="445">
        <v>757</v>
      </c>
      <c r="G66" s="3" t="s">
        <v>3</v>
      </c>
      <c r="H66" t="str">
        <f>$B$61&amp;$C$66&amp;D66</f>
        <v>Ⅰ型特別介護医療院サービス費多床室要介護１</v>
      </c>
    </row>
    <row r="67" spans="2:8" ht="12.2" customHeight="1">
      <c r="B67" s="1024"/>
      <c r="C67" s="1027"/>
      <c r="D67" s="1" t="s">
        <v>0</v>
      </c>
      <c r="E67" s="2" t="s">
        <v>4</v>
      </c>
      <c r="F67" s="445">
        <v>861</v>
      </c>
      <c r="G67" s="3" t="s">
        <v>3</v>
      </c>
      <c r="H67" t="str">
        <f>$B$61&amp;$C$66&amp;D67</f>
        <v>Ⅰ型特別介護医療院サービス費多床室要介護２</v>
      </c>
    </row>
    <row r="68" spans="2:8" ht="12.2" customHeight="1">
      <c r="B68" s="1024"/>
      <c r="C68" s="1027"/>
      <c r="D68" s="1" t="s">
        <v>1</v>
      </c>
      <c r="E68" s="2" t="s">
        <v>4</v>
      </c>
      <c r="F68" s="445">
        <v>1081</v>
      </c>
      <c r="G68" s="3" t="s">
        <v>3</v>
      </c>
      <c r="H68" t="str">
        <f>$B$61&amp;$C$66&amp;D68</f>
        <v>Ⅰ型特別介護医療院サービス費多床室要介護３</v>
      </c>
    </row>
    <row r="69" spans="2:8" ht="12.2" customHeight="1">
      <c r="B69" s="1024"/>
      <c r="C69" s="1027"/>
      <c r="D69" s="1" t="s">
        <v>2</v>
      </c>
      <c r="E69" s="2" t="s">
        <v>4</v>
      </c>
      <c r="F69" s="445">
        <v>1175</v>
      </c>
      <c r="G69" s="3" t="s">
        <v>3</v>
      </c>
      <c r="H69" t="str">
        <f>$B$61&amp;$C$66&amp;D69</f>
        <v>Ⅰ型特別介護医療院サービス費多床室要介護４</v>
      </c>
    </row>
    <row r="70" spans="2:8" ht="12.2" customHeight="1">
      <c r="B70" s="1025"/>
      <c r="C70" s="1028"/>
      <c r="D70" s="1" t="s">
        <v>6</v>
      </c>
      <c r="E70" s="2" t="s">
        <v>4</v>
      </c>
      <c r="F70" s="445">
        <v>1259</v>
      </c>
      <c r="G70" s="3" t="s">
        <v>3</v>
      </c>
      <c r="H70" t="str">
        <f>$B$61&amp;$C$66&amp;D70</f>
        <v>Ⅰ型特別介護医療院サービス費多床室要介護５</v>
      </c>
    </row>
    <row r="71" spans="2:8" ht="12.2" customHeight="1">
      <c r="B71" s="1023" t="s">
        <v>119</v>
      </c>
      <c r="C71" s="1026" t="s">
        <v>62</v>
      </c>
      <c r="D71" s="1" t="s">
        <v>5</v>
      </c>
      <c r="E71" s="2" t="s">
        <v>4</v>
      </c>
      <c r="F71" s="445">
        <v>608</v>
      </c>
      <c r="G71" s="3" t="s">
        <v>3</v>
      </c>
      <c r="H71" t="str">
        <f>$B$71&amp;$C$71&amp;D71</f>
        <v>Ⅱ型特別介護医療院サービス費従来型個室要介護１</v>
      </c>
    </row>
    <row r="72" spans="2:8" ht="12.2" customHeight="1">
      <c r="B72" s="1024"/>
      <c r="C72" s="1027"/>
      <c r="D72" s="1" t="s">
        <v>0</v>
      </c>
      <c r="E72" s="2" t="s">
        <v>4</v>
      </c>
      <c r="F72" s="445">
        <v>700</v>
      </c>
      <c r="G72" s="3" t="s">
        <v>3</v>
      </c>
      <c r="H72" t="str">
        <f>$B$71&amp;$C$71&amp;D72</f>
        <v>Ⅱ型特別介護医療院サービス費従来型個室要介護２</v>
      </c>
    </row>
    <row r="73" spans="2:8" ht="12.2" customHeight="1">
      <c r="B73" s="1024"/>
      <c r="C73" s="1027"/>
      <c r="D73" s="1" t="s">
        <v>1</v>
      </c>
      <c r="E73" s="2" t="s">
        <v>4</v>
      </c>
      <c r="F73" s="445">
        <v>897</v>
      </c>
      <c r="G73" s="3" t="s">
        <v>3</v>
      </c>
      <c r="H73" t="str">
        <f>$B$71&amp;$C$71&amp;D73</f>
        <v>Ⅱ型特別介護医療院サービス費従来型個室要介護３</v>
      </c>
    </row>
    <row r="74" spans="2:8" ht="12.2" customHeight="1">
      <c r="B74" s="1024"/>
      <c r="C74" s="1027"/>
      <c r="D74" s="1" t="s">
        <v>2</v>
      </c>
      <c r="E74" s="2" t="s">
        <v>4</v>
      </c>
      <c r="F74" s="445">
        <v>982</v>
      </c>
      <c r="G74" s="3" t="s">
        <v>3</v>
      </c>
      <c r="H74" t="str">
        <f>$B$71&amp;$C$71&amp;D74</f>
        <v>Ⅱ型特別介護医療院サービス費従来型個室要介護４</v>
      </c>
    </row>
    <row r="75" spans="2:8" ht="12.2" customHeight="1">
      <c r="B75" s="1024"/>
      <c r="C75" s="1028"/>
      <c r="D75" s="1" t="s">
        <v>6</v>
      </c>
      <c r="E75" s="2" t="s">
        <v>4</v>
      </c>
      <c r="F75" s="445">
        <v>1056</v>
      </c>
      <c r="G75" s="3" t="s">
        <v>3</v>
      </c>
      <c r="H75" t="str">
        <f>$B$71&amp;$C$71&amp;D75</f>
        <v>Ⅱ型特別介護医療院サービス費従来型個室要介護５</v>
      </c>
    </row>
    <row r="76" spans="2:8" ht="12.2" customHeight="1">
      <c r="B76" s="1024"/>
      <c r="C76" s="1026" t="s">
        <v>82</v>
      </c>
      <c r="D76" s="1" t="s">
        <v>5</v>
      </c>
      <c r="E76" s="2" t="s">
        <v>4</v>
      </c>
      <c r="F76" s="445">
        <v>714</v>
      </c>
      <c r="G76" s="3" t="s">
        <v>3</v>
      </c>
      <c r="H76" t="str">
        <f>$B$71&amp;$C$76&amp;D76</f>
        <v>Ⅱ型特別介護医療院サービス費多床室要介護１</v>
      </c>
    </row>
    <row r="77" spans="2:8" ht="12.2" customHeight="1">
      <c r="B77" s="1024"/>
      <c r="C77" s="1027"/>
      <c r="D77" s="1" t="s">
        <v>0</v>
      </c>
      <c r="E77" s="2" t="s">
        <v>4</v>
      </c>
      <c r="F77" s="445">
        <v>806</v>
      </c>
      <c r="G77" s="3" t="s">
        <v>3</v>
      </c>
      <c r="H77" t="str">
        <f>$B$71&amp;$C$76&amp;D77</f>
        <v>Ⅱ型特別介護医療院サービス費多床室要介護２</v>
      </c>
    </row>
    <row r="78" spans="2:8" ht="12.2" customHeight="1">
      <c r="B78" s="1024"/>
      <c r="C78" s="1027"/>
      <c r="D78" s="1" t="s">
        <v>1</v>
      </c>
      <c r="E78" s="2" t="s">
        <v>4</v>
      </c>
      <c r="F78" s="445">
        <v>1003</v>
      </c>
      <c r="G78" s="3" t="s">
        <v>3</v>
      </c>
      <c r="H78" t="str">
        <f>$B$71&amp;$C$76&amp;D78</f>
        <v>Ⅱ型特別介護医療院サービス費多床室要介護３</v>
      </c>
    </row>
    <row r="79" spans="2:8" ht="12.2" customHeight="1">
      <c r="B79" s="1024"/>
      <c r="C79" s="1027"/>
      <c r="D79" s="1" t="s">
        <v>2</v>
      </c>
      <c r="E79" s="2" t="s">
        <v>4</v>
      </c>
      <c r="F79" s="445">
        <v>1086</v>
      </c>
      <c r="G79" s="3" t="s">
        <v>3</v>
      </c>
      <c r="H79" t="str">
        <f>$B$71&amp;$C$76&amp;D79</f>
        <v>Ⅱ型特別介護医療院サービス費多床室要介護４</v>
      </c>
    </row>
    <row r="80" spans="2:8" ht="12.2" customHeight="1">
      <c r="B80" s="1025"/>
      <c r="C80" s="1028"/>
      <c r="D80" s="1" t="s">
        <v>6</v>
      </c>
      <c r="E80" s="2" t="s">
        <v>4</v>
      </c>
      <c r="F80" s="445">
        <v>1161</v>
      </c>
      <c r="G80" s="3" t="s">
        <v>3</v>
      </c>
      <c r="H80" t="str">
        <f>$B$71&amp;$C$76&amp;D80</f>
        <v>Ⅱ型特別介護医療院サービス費多床室要介護５</v>
      </c>
    </row>
    <row r="81" spans="2:8" ht="12.2" customHeight="1">
      <c r="B81" s="1023" t="s">
        <v>117</v>
      </c>
      <c r="C81" s="1026" t="s">
        <v>133</v>
      </c>
      <c r="D81" s="1" t="s">
        <v>5</v>
      </c>
      <c r="E81" s="2" t="s">
        <v>4</v>
      </c>
      <c r="F81" s="445">
        <v>842</v>
      </c>
      <c r="G81" s="3" t="s">
        <v>3</v>
      </c>
      <c r="H81" t="str">
        <f>$B$81&amp;$C$81&amp;D81</f>
        <v>ユニット型Ⅰ型介護医療院サービス費（Ⅰ）ユニット型個室的多床室要介護１</v>
      </c>
    </row>
    <row r="82" spans="2:8" ht="12.2" customHeight="1">
      <c r="B82" s="1023"/>
      <c r="C82" s="1027"/>
      <c r="D82" s="1" t="s">
        <v>0</v>
      </c>
      <c r="E82" s="2" t="s">
        <v>4</v>
      </c>
      <c r="F82" s="445">
        <v>951</v>
      </c>
      <c r="G82" s="3" t="s">
        <v>3</v>
      </c>
      <c r="H82" t="str">
        <f>$B$81&amp;$C$81&amp;D82</f>
        <v>ユニット型Ⅰ型介護医療院サービス費（Ⅰ）ユニット型個室的多床室要介護２</v>
      </c>
    </row>
    <row r="83" spans="2:8" ht="12.2" customHeight="1">
      <c r="B83" s="1023"/>
      <c r="C83" s="1027"/>
      <c r="D83" s="1" t="s">
        <v>1</v>
      </c>
      <c r="E83" s="2" t="s">
        <v>4</v>
      </c>
      <c r="F83" s="445">
        <v>1188</v>
      </c>
      <c r="G83" s="3" t="s">
        <v>3</v>
      </c>
      <c r="H83" t="str">
        <f>$B$81&amp;$C$81&amp;D83</f>
        <v>ユニット型Ⅰ型介護医療院サービス費（Ⅰ）ユニット型個室的多床室要介護３</v>
      </c>
    </row>
    <row r="84" spans="2:8" ht="12.2" customHeight="1">
      <c r="B84" s="1023"/>
      <c r="C84" s="1027"/>
      <c r="D84" s="1" t="s">
        <v>2</v>
      </c>
      <c r="E84" s="2" t="s">
        <v>4</v>
      </c>
      <c r="F84" s="445">
        <v>1288</v>
      </c>
      <c r="G84" s="3" t="s">
        <v>3</v>
      </c>
      <c r="H84" t="str">
        <f>$B$81&amp;$C$81&amp;D84</f>
        <v>ユニット型Ⅰ型介護医療院サービス費（Ⅰ）ユニット型個室的多床室要介護４</v>
      </c>
    </row>
    <row r="85" spans="2:8" ht="12.2" customHeight="1">
      <c r="B85" s="1023"/>
      <c r="C85" s="1027"/>
      <c r="D85" s="1" t="s">
        <v>6</v>
      </c>
      <c r="E85" s="2" t="s">
        <v>4</v>
      </c>
      <c r="F85" s="445">
        <v>1379</v>
      </c>
      <c r="G85" s="3" t="s">
        <v>3</v>
      </c>
      <c r="H85" t="str">
        <f>$B$81&amp;$C$81&amp;D85</f>
        <v>ユニット型Ⅰ型介護医療院サービス費（Ⅰ）ユニット型個室的多床室要介護５</v>
      </c>
    </row>
    <row r="86" spans="2:8" ht="12.2" customHeight="1">
      <c r="B86" s="1023" t="s">
        <v>121</v>
      </c>
      <c r="C86" s="1026" t="s">
        <v>131</v>
      </c>
      <c r="D86" s="1" t="s">
        <v>5</v>
      </c>
      <c r="E86" s="2" t="s">
        <v>4</v>
      </c>
      <c r="F86" s="445">
        <v>832</v>
      </c>
      <c r="G86" s="3" t="s">
        <v>3</v>
      </c>
      <c r="H86" t="str">
        <f>$B$86&amp;$C$86&amp;D86</f>
        <v>ユニット型Ⅰ型介護医療院サービス費（Ⅱ）ユニット型個室的多床室要介護１</v>
      </c>
    </row>
    <row r="87" spans="2:8" ht="12.2" customHeight="1">
      <c r="B87" s="1024"/>
      <c r="C87" s="1027"/>
      <c r="D87" s="1" t="s">
        <v>0</v>
      </c>
      <c r="E87" s="2" t="s">
        <v>4</v>
      </c>
      <c r="F87" s="445">
        <v>939</v>
      </c>
      <c r="G87" s="3" t="s">
        <v>3</v>
      </c>
      <c r="H87" t="str">
        <f>$B$86&amp;$C$86&amp;D87</f>
        <v>ユニット型Ⅰ型介護医療院サービス費（Ⅱ）ユニット型個室的多床室要介護２</v>
      </c>
    </row>
    <row r="88" spans="2:8" ht="12.2" customHeight="1">
      <c r="B88" s="1024"/>
      <c r="C88" s="1027"/>
      <c r="D88" s="1" t="s">
        <v>1</v>
      </c>
      <c r="E88" s="2" t="s">
        <v>4</v>
      </c>
      <c r="F88" s="445">
        <v>1173</v>
      </c>
      <c r="G88" s="3" t="s">
        <v>3</v>
      </c>
      <c r="H88" t="str">
        <f>$B$86&amp;$C$86&amp;D88</f>
        <v>ユニット型Ⅰ型介護医療院サービス費（Ⅱ）ユニット型個室的多床室要介護３</v>
      </c>
    </row>
    <row r="89" spans="2:8" ht="12.2" customHeight="1">
      <c r="B89" s="1024"/>
      <c r="C89" s="1027"/>
      <c r="D89" s="1" t="s">
        <v>2</v>
      </c>
      <c r="E89" s="2" t="s">
        <v>4</v>
      </c>
      <c r="F89" s="445">
        <v>1271</v>
      </c>
      <c r="G89" s="3" t="s">
        <v>3</v>
      </c>
      <c r="H89" t="str">
        <f>$B$86&amp;$C$86&amp;D89</f>
        <v>ユニット型Ⅰ型介護医療院サービス費（Ⅱ）ユニット型個室的多床室要介護４</v>
      </c>
    </row>
    <row r="90" spans="2:8" ht="12.2" customHeight="1">
      <c r="B90" s="1024"/>
      <c r="C90" s="1027"/>
      <c r="D90" s="1" t="s">
        <v>6</v>
      </c>
      <c r="E90" s="2" t="s">
        <v>4</v>
      </c>
      <c r="F90" s="445">
        <v>1361</v>
      </c>
      <c r="G90" s="3" t="s">
        <v>3</v>
      </c>
      <c r="H90" t="str">
        <f>$B$86&amp;$C$86&amp;D90</f>
        <v>ユニット型Ⅰ型介護医療院サービス費（Ⅱ）ユニット型個室的多床室要介護５</v>
      </c>
    </row>
    <row r="91" spans="2:8" ht="12.2" customHeight="1">
      <c r="B91" s="1023" t="s">
        <v>122</v>
      </c>
      <c r="C91" s="1026" t="s">
        <v>131</v>
      </c>
      <c r="D91" s="1" t="s">
        <v>5</v>
      </c>
      <c r="E91" s="2" t="s">
        <v>4</v>
      </c>
      <c r="F91" s="445">
        <v>841</v>
      </c>
      <c r="G91" s="3" t="s">
        <v>3</v>
      </c>
      <c r="H91" t="str">
        <f>$B$91&amp;$C$91&amp;D91</f>
        <v>ユニット型Ⅱ型介護医療院サービス費ユニット型個室的多床室要介護１</v>
      </c>
    </row>
    <row r="92" spans="2:8" ht="12.2" customHeight="1">
      <c r="B92" s="1023"/>
      <c r="C92" s="1027"/>
      <c r="D92" s="1" t="s">
        <v>0</v>
      </c>
      <c r="E92" s="2" t="s">
        <v>4</v>
      </c>
      <c r="F92" s="445">
        <v>942</v>
      </c>
      <c r="G92" s="3" t="s">
        <v>3</v>
      </c>
      <c r="H92" t="str">
        <f>$B$91&amp;$C$91&amp;D92</f>
        <v>ユニット型Ⅱ型介護医療院サービス費ユニット型個室的多床室要介護２</v>
      </c>
    </row>
    <row r="93" spans="2:8" ht="12.2" customHeight="1">
      <c r="B93" s="1023"/>
      <c r="C93" s="1027"/>
      <c r="D93" s="1" t="s">
        <v>1</v>
      </c>
      <c r="E93" s="2" t="s">
        <v>4</v>
      </c>
      <c r="F93" s="445">
        <v>1162</v>
      </c>
      <c r="G93" s="3" t="s">
        <v>3</v>
      </c>
      <c r="H93" t="str">
        <f>$B$91&amp;$C$91&amp;D93</f>
        <v>ユニット型Ⅱ型介護医療院サービス費ユニット型個室的多床室要介護３</v>
      </c>
    </row>
    <row r="94" spans="2:8" ht="12.2" customHeight="1">
      <c r="B94" s="1023"/>
      <c r="C94" s="1027"/>
      <c r="D94" s="1" t="s">
        <v>2</v>
      </c>
      <c r="E94" s="2" t="s">
        <v>4</v>
      </c>
      <c r="F94" s="445">
        <v>1255</v>
      </c>
      <c r="G94" s="3" t="s">
        <v>3</v>
      </c>
      <c r="H94" t="str">
        <f>$B$91&amp;$C$91&amp;D94</f>
        <v>ユニット型Ⅱ型介護医療院サービス費ユニット型個室的多床室要介護４</v>
      </c>
    </row>
    <row r="95" spans="2:8" ht="12.2" customHeight="1">
      <c r="B95" s="1023"/>
      <c r="C95" s="1027"/>
      <c r="D95" s="1" t="s">
        <v>6</v>
      </c>
      <c r="E95" s="2" t="s">
        <v>4</v>
      </c>
      <c r="F95" s="445">
        <v>1340</v>
      </c>
      <c r="G95" s="3" t="s">
        <v>3</v>
      </c>
      <c r="H95" t="str">
        <f>$B$91&amp;$C$91&amp;D95</f>
        <v>ユニット型Ⅱ型介護医療院サービス費ユニット型個室的多床室要介護５</v>
      </c>
    </row>
    <row r="96" spans="2:8" ht="12.2" customHeight="1">
      <c r="B96" s="1023" t="s">
        <v>123</v>
      </c>
      <c r="C96" s="1026" t="s">
        <v>131</v>
      </c>
      <c r="D96" s="1" t="s">
        <v>5</v>
      </c>
      <c r="E96" s="2" t="s">
        <v>4</v>
      </c>
      <c r="F96" s="445">
        <v>791</v>
      </c>
      <c r="G96" s="3" t="s">
        <v>3</v>
      </c>
      <c r="H96" t="str">
        <f>$B$96&amp;$C$96&amp;D96</f>
        <v>ユニット型Ⅰ型特別介護医療院サービス費ユニット型個室的多床室要介護１</v>
      </c>
    </row>
    <row r="97" spans="2:8" ht="12.2" customHeight="1">
      <c r="B97" s="1023"/>
      <c r="C97" s="1027"/>
      <c r="D97" s="1" t="s">
        <v>0</v>
      </c>
      <c r="E97" s="2" t="s">
        <v>4</v>
      </c>
      <c r="F97" s="445">
        <v>893</v>
      </c>
      <c r="G97" s="3" t="s">
        <v>3</v>
      </c>
      <c r="H97" t="str">
        <f>$B$96&amp;$C$96&amp;D97</f>
        <v>ユニット型Ⅰ型特別介護医療院サービス費ユニット型個室的多床室要介護２</v>
      </c>
    </row>
    <row r="98" spans="2:8" ht="12.2" customHeight="1">
      <c r="B98" s="1023"/>
      <c r="C98" s="1027"/>
      <c r="D98" s="1" t="s">
        <v>1</v>
      </c>
      <c r="E98" s="2" t="s">
        <v>4</v>
      </c>
      <c r="F98" s="445">
        <v>1115</v>
      </c>
      <c r="G98" s="3" t="s">
        <v>3</v>
      </c>
      <c r="H98" t="str">
        <f>$B$96&amp;$C$96&amp;D98</f>
        <v>ユニット型Ⅰ型特別介護医療院サービス費ユニット型個室的多床室要介護３</v>
      </c>
    </row>
    <row r="99" spans="2:8" ht="12.2" customHeight="1">
      <c r="B99" s="1023"/>
      <c r="C99" s="1027"/>
      <c r="D99" s="1" t="s">
        <v>2</v>
      </c>
      <c r="E99" s="2" t="s">
        <v>4</v>
      </c>
      <c r="F99" s="445">
        <v>1209</v>
      </c>
      <c r="G99" s="3" t="s">
        <v>3</v>
      </c>
      <c r="H99" t="str">
        <f>$B$96&amp;$C$96&amp;D99</f>
        <v>ユニット型Ⅰ型特別介護医療院サービス費ユニット型個室的多床室要介護４</v>
      </c>
    </row>
    <row r="100" spans="2:8" ht="12.2" customHeight="1">
      <c r="B100" s="1023"/>
      <c r="C100" s="1027"/>
      <c r="D100" s="1" t="s">
        <v>6</v>
      </c>
      <c r="E100" s="2" t="s">
        <v>4</v>
      </c>
      <c r="F100" s="445">
        <v>1292</v>
      </c>
      <c r="G100" s="3" t="s">
        <v>3</v>
      </c>
      <c r="H100" t="str">
        <f>$B$96&amp;$C$96&amp;D100</f>
        <v>ユニット型Ⅰ型特別介護医療院サービス費ユニット型個室的多床室要介護５</v>
      </c>
    </row>
    <row r="101" spans="2:8" ht="12.2" customHeight="1">
      <c r="B101" s="1023" t="s">
        <v>124</v>
      </c>
      <c r="C101" s="1026" t="s">
        <v>131</v>
      </c>
      <c r="D101" s="1" t="s">
        <v>5</v>
      </c>
      <c r="E101" s="2" t="s">
        <v>4</v>
      </c>
      <c r="F101" s="445">
        <v>800</v>
      </c>
      <c r="G101" s="3" t="s">
        <v>3</v>
      </c>
      <c r="H101" t="str">
        <f>$B$101&amp;$C$101&amp;D101</f>
        <v>ユニット型Ⅱ型特別介護医療院サービス費ユニット型個室的多床室要介護１</v>
      </c>
    </row>
    <row r="102" spans="2:8" ht="12.2" customHeight="1">
      <c r="B102" s="1024"/>
      <c r="C102" s="1027"/>
      <c r="D102" s="1" t="s">
        <v>0</v>
      </c>
      <c r="E102" s="2" t="s">
        <v>4</v>
      </c>
      <c r="F102" s="445">
        <v>896</v>
      </c>
      <c r="G102" s="3" t="s">
        <v>3</v>
      </c>
      <c r="H102" t="str">
        <f>$B$101&amp;$C$101&amp;D102</f>
        <v>ユニット型Ⅱ型特別介護医療院サービス費ユニット型個室的多床室要介護２</v>
      </c>
    </row>
    <row r="103" spans="2:8" ht="12.2" customHeight="1">
      <c r="B103" s="1024"/>
      <c r="C103" s="1027"/>
      <c r="D103" s="1" t="s">
        <v>1</v>
      </c>
      <c r="E103" s="2" t="s">
        <v>4</v>
      </c>
      <c r="F103" s="445">
        <v>1104</v>
      </c>
      <c r="G103" s="3" t="s">
        <v>3</v>
      </c>
      <c r="H103" t="str">
        <f>$B$101&amp;$C$101&amp;D103</f>
        <v>ユニット型Ⅱ型特別介護医療院サービス費ユニット型個室的多床室要介護３</v>
      </c>
    </row>
    <row r="104" spans="2:8" ht="12.2" customHeight="1">
      <c r="B104" s="1024"/>
      <c r="C104" s="1027"/>
      <c r="D104" s="1" t="s">
        <v>2</v>
      </c>
      <c r="E104" s="2" t="s">
        <v>4</v>
      </c>
      <c r="F104" s="445">
        <v>1194</v>
      </c>
      <c r="G104" s="3" t="s">
        <v>3</v>
      </c>
      <c r="H104" t="str">
        <f>$B$101&amp;$C$101&amp;D104</f>
        <v>ユニット型Ⅱ型特別介護医療院サービス費ユニット型個室的多床室要介護４</v>
      </c>
    </row>
    <row r="105" spans="2:8" ht="12.2" customHeight="1">
      <c r="B105" s="1025"/>
      <c r="C105" s="1027"/>
      <c r="D105" s="1" t="s">
        <v>6</v>
      </c>
      <c r="E105" s="2" t="s">
        <v>4</v>
      </c>
      <c r="F105" s="445">
        <v>1272</v>
      </c>
      <c r="G105" s="3" t="s">
        <v>3</v>
      </c>
      <c r="H105" t="str">
        <f>$B$101&amp;$C$101&amp;D105</f>
        <v>ユニット型Ⅱ型特別介護医療院サービス費ユニット型個室的多床室要介護５</v>
      </c>
    </row>
    <row r="106" spans="2:8" ht="12.2" customHeight="1">
      <c r="B106" s="1023" t="s">
        <v>120</v>
      </c>
      <c r="C106" s="1026" t="s">
        <v>130</v>
      </c>
      <c r="D106" s="1" t="s">
        <v>5</v>
      </c>
      <c r="E106" s="2" t="s">
        <v>4</v>
      </c>
      <c r="F106" s="445">
        <v>842</v>
      </c>
      <c r="G106" s="3" t="s">
        <v>3</v>
      </c>
      <c r="H106" t="str">
        <f>$B$106&amp;$C$106&amp;D106</f>
        <v>ユニット型Ⅰ型介護医療院サービス費（Ⅰ）ユニット型個室要介護１</v>
      </c>
    </row>
    <row r="107" spans="2:8" ht="12.2" customHeight="1">
      <c r="B107" s="1023"/>
      <c r="C107" s="1027"/>
      <c r="D107" s="1" t="s">
        <v>0</v>
      </c>
      <c r="E107" s="2" t="s">
        <v>4</v>
      </c>
      <c r="F107" s="445">
        <v>951</v>
      </c>
      <c r="G107" s="3" t="s">
        <v>3</v>
      </c>
      <c r="H107" t="str">
        <f>$B$106&amp;$C$106&amp;D107</f>
        <v>ユニット型Ⅰ型介護医療院サービス費（Ⅰ）ユニット型個室要介護２</v>
      </c>
    </row>
    <row r="108" spans="2:8" ht="12.2" customHeight="1">
      <c r="B108" s="1023"/>
      <c r="C108" s="1027"/>
      <c r="D108" s="1" t="s">
        <v>1</v>
      </c>
      <c r="E108" s="2" t="s">
        <v>4</v>
      </c>
      <c r="F108" s="445">
        <v>1188</v>
      </c>
      <c r="G108" s="3" t="s">
        <v>3</v>
      </c>
      <c r="H108" t="str">
        <f>$B$106&amp;$C$106&amp;D108</f>
        <v>ユニット型Ⅰ型介護医療院サービス費（Ⅰ）ユニット型個室要介護３</v>
      </c>
    </row>
    <row r="109" spans="2:8" ht="12.2" customHeight="1">
      <c r="B109" s="1023"/>
      <c r="C109" s="1027"/>
      <c r="D109" s="1" t="s">
        <v>2</v>
      </c>
      <c r="E109" s="2" t="s">
        <v>4</v>
      </c>
      <c r="F109" s="445">
        <v>1288</v>
      </c>
      <c r="G109" s="3" t="s">
        <v>3</v>
      </c>
      <c r="H109" t="str">
        <f>$B$106&amp;$C$106&amp;D109</f>
        <v>ユニット型Ⅰ型介護医療院サービス費（Ⅰ）ユニット型個室要介護４</v>
      </c>
    </row>
    <row r="110" spans="2:8" ht="12.2" customHeight="1">
      <c r="B110" s="1023"/>
      <c r="C110" s="1027"/>
      <c r="D110" s="1" t="s">
        <v>6</v>
      </c>
      <c r="E110" s="2" t="s">
        <v>4</v>
      </c>
      <c r="F110" s="445">
        <v>1379</v>
      </c>
      <c r="G110" s="3" t="s">
        <v>3</v>
      </c>
      <c r="H110" t="str">
        <f>$B$106&amp;$C$106&amp;D110</f>
        <v>ユニット型Ⅰ型介護医療院サービス費（Ⅰ）ユニット型個室要介護５</v>
      </c>
    </row>
    <row r="111" spans="2:8" ht="12.2" customHeight="1">
      <c r="B111" s="1023" t="s">
        <v>121</v>
      </c>
      <c r="C111" s="1026" t="s">
        <v>130</v>
      </c>
      <c r="D111" s="1" t="s">
        <v>5</v>
      </c>
      <c r="E111" s="2" t="s">
        <v>4</v>
      </c>
      <c r="F111" s="445">
        <v>832</v>
      </c>
      <c r="G111" s="3" t="s">
        <v>3</v>
      </c>
      <c r="H111" t="str">
        <f>B111&amp;C111&amp;D111</f>
        <v>ユニット型Ⅰ型介護医療院サービス費（Ⅱ）ユニット型個室要介護１</v>
      </c>
    </row>
    <row r="112" spans="2:8" ht="12.2" customHeight="1">
      <c r="B112" s="1024"/>
      <c r="C112" s="1027"/>
      <c r="D112" s="1" t="s">
        <v>0</v>
      </c>
      <c r="E112" s="2" t="s">
        <v>4</v>
      </c>
      <c r="F112" s="445">
        <v>939</v>
      </c>
      <c r="G112" s="3" t="s">
        <v>3</v>
      </c>
      <c r="H112" t="str">
        <f>B111&amp;C111&amp;D112</f>
        <v>ユニット型Ⅰ型介護医療院サービス費（Ⅱ）ユニット型個室要介護２</v>
      </c>
    </row>
    <row r="113" spans="2:8" ht="12.2" customHeight="1">
      <c r="B113" s="1024"/>
      <c r="C113" s="1027"/>
      <c r="D113" s="1" t="s">
        <v>1</v>
      </c>
      <c r="E113" s="2" t="s">
        <v>4</v>
      </c>
      <c r="F113" s="445">
        <v>1173</v>
      </c>
      <c r="G113" s="3" t="s">
        <v>3</v>
      </c>
      <c r="H113" t="str">
        <f>B111&amp;C111&amp;D113</f>
        <v>ユニット型Ⅰ型介護医療院サービス費（Ⅱ）ユニット型個室要介護３</v>
      </c>
    </row>
    <row r="114" spans="2:8" ht="12.2" customHeight="1">
      <c r="B114" s="1024"/>
      <c r="C114" s="1027"/>
      <c r="D114" s="1" t="s">
        <v>2</v>
      </c>
      <c r="E114" s="2" t="s">
        <v>4</v>
      </c>
      <c r="F114" s="445">
        <v>1271</v>
      </c>
      <c r="G114" s="3" t="s">
        <v>3</v>
      </c>
      <c r="H114" t="str">
        <f>B111&amp;C111&amp;D114</f>
        <v>ユニット型Ⅰ型介護医療院サービス費（Ⅱ）ユニット型個室要介護４</v>
      </c>
    </row>
    <row r="115" spans="2:8" ht="12.2" customHeight="1">
      <c r="B115" s="1024"/>
      <c r="C115" s="1027"/>
      <c r="D115" s="1" t="s">
        <v>6</v>
      </c>
      <c r="E115" s="2" t="s">
        <v>4</v>
      </c>
      <c r="F115" s="445">
        <v>1361</v>
      </c>
      <c r="G115" s="3" t="s">
        <v>3</v>
      </c>
      <c r="H115" t="str">
        <f>B111&amp;C111&amp;D115</f>
        <v>ユニット型Ⅰ型介護医療院サービス費（Ⅱ）ユニット型個室要介護５</v>
      </c>
    </row>
    <row r="116" spans="2:8" ht="12.2" customHeight="1">
      <c r="B116" s="1023" t="s">
        <v>122</v>
      </c>
      <c r="C116" s="1026" t="s">
        <v>130</v>
      </c>
      <c r="D116" s="1" t="s">
        <v>5</v>
      </c>
      <c r="E116" s="2" t="s">
        <v>4</v>
      </c>
      <c r="F116" s="445">
        <v>841</v>
      </c>
      <c r="G116" s="3" t="s">
        <v>3</v>
      </c>
      <c r="H116" t="str">
        <f>$B$116&amp;$C$116&amp;D116</f>
        <v>ユニット型Ⅱ型介護医療院サービス費ユニット型個室要介護１</v>
      </c>
    </row>
    <row r="117" spans="2:8" ht="12.2" customHeight="1">
      <c r="B117" s="1023"/>
      <c r="C117" s="1027"/>
      <c r="D117" s="1" t="s">
        <v>0</v>
      </c>
      <c r="E117" s="2" t="s">
        <v>4</v>
      </c>
      <c r="F117" s="445">
        <v>942</v>
      </c>
      <c r="G117" s="3" t="s">
        <v>3</v>
      </c>
      <c r="H117" t="str">
        <f>$B$116&amp;$C$116&amp;D117</f>
        <v>ユニット型Ⅱ型介護医療院サービス費ユニット型個室要介護２</v>
      </c>
    </row>
    <row r="118" spans="2:8" ht="12.2" customHeight="1">
      <c r="B118" s="1023"/>
      <c r="C118" s="1027"/>
      <c r="D118" s="1" t="s">
        <v>1</v>
      </c>
      <c r="E118" s="2" t="s">
        <v>4</v>
      </c>
      <c r="F118" s="445">
        <v>1162</v>
      </c>
      <c r="G118" s="3" t="s">
        <v>3</v>
      </c>
      <c r="H118" t="str">
        <f>$B$116&amp;$C$116&amp;D118</f>
        <v>ユニット型Ⅱ型介護医療院サービス費ユニット型個室要介護３</v>
      </c>
    </row>
    <row r="119" spans="2:8" ht="12.2" customHeight="1">
      <c r="B119" s="1023"/>
      <c r="C119" s="1027"/>
      <c r="D119" s="1" t="s">
        <v>2</v>
      </c>
      <c r="E119" s="2" t="s">
        <v>4</v>
      </c>
      <c r="F119" s="445">
        <v>1255</v>
      </c>
      <c r="G119" s="3" t="s">
        <v>3</v>
      </c>
      <c r="H119" t="str">
        <f>$B$116&amp;$C$116&amp;D119</f>
        <v>ユニット型Ⅱ型介護医療院サービス費ユニット型個室要介護４</v>
      </c>
    </row>
    <row r="120" spans="2:8" ht="12.2" customHeight="1">
      <c r="B120" s="1023"/>
      <c r="C120" s="1027"/>
      <c r="D120" s="1" t="s">
        <v>6</v>
      </c>
      <c r="E120" s="2" t="s">
        <v>4</v>
      </c>
      <c r="F120" s="445">
        <v>1340</v>
      </c>
      <c r="G120" s="3" t="s">
        <v>3</v>
      </c>
      <c r="H120" t="str">
        <f>$B$116&amp;$C$116&amp;D120</f>
        <v>ユニット型Ⅱ型介護医療院サービス費ユニット型個室要介護５</v>
      </c>
    </row>
    <row r="121" spans="2:8" ht="12.2" customHeight="1">
      <c r="B121" s="1023" t="s">
        <v>123</v>
      </c>
      <c r="C121" s="1026" t="s">
        <v>103</v>
      </c>
      <c r="D121" s="1" t="s">
        <v>5</v>
      </c>
      <c r="E121" s="2" t="s">
        <v>4</v>
      </c>
      <c r="F121" s="445">
        <v>791</v>
      </c>
      <c r="G121" s="3" t="s">
        <v>3</v>
      </c>
      <c r="H121" t="str">
        <f>$B$121&amp;$C$121&amp;D121</f>
        <v>ユニット型Ⅰ型特別介護医療院サービス費ユニット型個室要介護１</v>
      </c>
    </row>
    <row r="122" spans="2:8" ht="12.2" customHeight="1">
      <c r="B122" s="1023"/>
      <c r="C122" s="1027"/>
      <c r="D122" s="1" t="s">
        <v>0</v>
      </c>
      <c r="E122" s="2" t="s">
        <v>4</v>
      </c>
      <c r="F122" s="445">
        <v>893</v>
      </c>
      <c r="G122" s="3" t="s">
        <v>3</v>
      </c>
      <c r="H122" t="str">
        <f>$B$121&amp;$C$121&amp;D122</f>
        <v>ユニット型Ⅰ型特別介護医療院サービス費ユニット型個室要介護２</v>
      </c>
    </row>
    <row r="123" spans="2:8" ht="12.2" customHeight="1">
      <c r="B123" s="1023"/>
      <c r="C123" s="1027"/>
      <c r="D123" s="1" t="s">
        <v>1</v>
      </c>
      <c r="E123" s="2" t="s">
        <v>4</v>
      </c>
      <c r="F123" s="445">
        <v>1115</v>
      </c>
      <c r="G123" s="3" t="s">
        <v>3</v>
      </c>
      <c r="H123" t="str">
        <f>$B$121&amp;$C$121&amp;D123</f>
        <v>ユニット型Ⅰ型特別介護医療院サービス費ユニット型個室要介護３</v>
      </c>
    </row>
    <row r="124" spans="2:8" ht="12.2" customHeight="1">
      <c r="B124" s="1023"/>
      <c r="C124" s="1027"/>
      <c r="D124" s="1" t="s">
        <v>2</v>
      </c>
      <c r="E124" s="2" t="s">
        <v>4</v>
      </c>
      <c r="F124" s="445">
        <v>1209</v>
      </c>
      <c r="G124" s="3" t="s">
        <v>3</v>
      </c>
      <c r="H124" t="str">
        <f>$B$121&amp;$C$121&amp;D124</f>
        <v>ユニット型Ⅰ型特別介護医療院サービス費ユニット型個室要介護４</v>
      </c>
    </row>
    <row r="125" spans="2:8" ht="12.2" customHeight="1">
      <c r="B125" s="1023"/>
      <c r="C125" s="1028"/>
      <c r="D125" s="1" t="s">
        <v>6</v>
      </c>
      <c r="E125" s="2" t="s">
        <v>4</v>
      </c>
      <c r="F125" s="445">
        <v>1292</v>
      </c>
      <c r="G125" s="3" t="s">
        <v>3</v>
      </c>
      <c r="H125" t="str">
        <f>$B$121&amp;$C$121&amp;D125</f>
        <v>ユニット型Ⅰ型特別介護医療院サービス費ユニット型個室要介護５</v>
      </c>
    </row>
    <row r="126" spans="2:8" ht="12.2" customHeight="1">
      <c r="B126" s="1023" t="s">
        <v>124</v>
      </c>
      <c r="C126" s="1026" t="s">
        <v>103</v>
      </c>
      <c r="D126" s="1" t="s">
        <v>5</v>
      </c>
      <c r="E126" s="2" t="s">
        <v>4</v>
      </c>
      <c r="F126" s="445">
        <v>800</v>
      </c>
      <c r="G126" s="3" t="s">
        <v>3</v>
      </c>
      <c r="H126" t="str">
        <f>$B$126&amp;$C$126&amp;D126</f>
        <v>ユニット型Ⅱ型特別介護医療院サービス費ユニット型個室要介護１</v>
      </c>
    </row>
    <row r="127" spans="2:8" ht="12.2" customHeight="1">
      <c r="B127" s="1024"/>
      <c r="C127" s="1027"/>
      <c r="D127" s="1" t="s">
        <v>0</v>
      </c>
      <c r="E127" s="2" t="s">
        <v>4</v>
      </c>
      <c r="F127" s="445">
        <v>896</v>
      </c>
      <c r="G127" s="3" t="s">
        <v>3</v>
      </c>
      <c r="H127" t="str">
        <f>$B$126&amp;$C$126&amp;D127</f>
        <v>ユニット型Ⅱ型特別介護医療院サービス費ユニット型個室要介護２</v>
      </c>
    </row>
    <row r="128" spans="2:8" ht="12.2" customHeight="1">
      <c r="B128" s="1024"/>
      <c r="C128" s="1027"/>
      <c r="D128" s="1" t="s">
        <v>1</v>
      </c>
      <c r="E128" s="2" t="s">
        <v>4</v>
      </c>
      <c r="F128" s="445">
        <v>1104</v>
      </c>
      <c r="G128" s="3" t="s">
        <v>3</v>
      </c>
      <c r="H128" t="str">
        <f>$B$126&amp;$C$126&amp;D128</f>
        <v>ユニット型Ⅱ型特別介護医療院サービス費ユニット型個室要介護３</v>
      </c>
    </row>
    <row r="129" spans="2:8" ht="12.2" customHeight="1">
      <c r="B129" s="1024"/>
      <c r="C129" s="1027"/>
      <c r="D129" s="1" t="s">
        <v>2</v>
      </c>
      <c r="E129" s="2" t="s">
        <v>4</v>
      </c>
      <c r="F129" s="445">
        <v>1194</v>
      </c>
      <c r="G129" s="3" t="s">
        <v>3</v>
      </c>
      <c r="H129" t="str">
        <f>$B$126&amp;$C$126&amp;D129</f>
        <v>ユニット型Ⅱ型特別介護医療院サービス費ユニット型個室要介護４</v>
      </c>
    </row>
    <row r="130" spans="2:8" ht="12.2" customHeight="1">
      <c r="B130" s="1025"/>
      <c r="C130" s="1028"/>
      <c r="D130" s="1" t="s">
        <v>6</v>
      </c>
      <c r="E130" s="2" t="s">
        <v>4</v>
      </c>
      <c r="F130" s="445">
        <v>1272</v>
      </c>
      <c r="G130" s="3" t="s">
        <v>3</v>
      </c>
      <c r="H130" t="str">
        <f>$B$126&amp;$C$126&amp;D130</f>
        <v>ユニット型Ⅱ型特別介護医療院サービス費ユニット型個室要介護５</v>
      </c>
    </row>
  </sheetData>
  <mergeCells count="44">
    <mergeCell ref="C1:C5"/>
    <mergeCell ref="C6:C10"/>
    <mergeCell ref="C16:C20"/>
    <mergeCell ref="C21:C25"/>
    <mergeCell ref="B1:B10"/>
    <mergeCell ref="C31:C35"/>
    <mergeCell ref="C36:C40"/>
    <mergeCell ref="C41:C45"/>
    <mergeCell ref="B11:B20"/>
    <mergeCell ref="B21:B30"/>
    <mergeCell ref="B31:B40"/>
    <mergeCell ref="B41:B50"/>
    <mergeCell ref="C46:C50"/>
    <mergeCell ref="C11:C15"/>
    <mergeCell ref="C26:C30"/>
    <mergeCell ref="B51:B60"/>
    <mergeCell ref="C51:C55"/>
    <mergeCell ref="C56:C60"/>
    <mergeCell ref="B61:B70"/>
    <mergeCell ref="C61:C65"/>
    <mergeCell ref="C66:C70"/>
    <mergeCell ref="B71:B80"/>
    <mergeCell ref="C71:C75"/>
    <mergeCell ref="C76:C80"/>
    <mergeCell ref="B106:B110"/>
    <mergeCell ref="B111:B115"/>
    <mergeCell ref="B81:B85"/>
    <mergeCell ref="C81:C85"/>
    <mergeCell ref="B86:B90"/>
    <mergeCell ref="C86:C90"/>
    <mergeCell ref="B91:B95"/>
    <mergeCell ref="C91:C95"/>
    <mergeCell ref="B96:B100"/>
    <mergeCell ref="C96:C100"/>
    <mergeCell ref="B101:B105"/>
    <mergeCell ref="C101:C105"/>
    <mergeCell ref="B116:B120"/>
    <mergeCell ref="B126:B130"/>
    <mergeCell ref="C106:C110"/>
    <mergeCell ref="C111:C115"/>
    <mergeCell ref="C116:C120"/>
    <mergeCell ref="C126:C130"/>
    <mergeCell ref="B121:B125"/>
    <mergeCell ref="C121:C125"/>
  </mergeCells>
  <phoneticPr fontId="2"/>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tint="0.39997558519241921"/>
  </sheetPr>
  <dimension ref="A1:AZ214"/>
  <sheetViews>
    <sheetView showGridLines="0" zoomScale="85" zoomScaleNormal="85" zoomScalePageLayoutView="70" workbookViewId="0">
      <selection activeCell="Q27" sqref="Q27:AE28"/>
    </sheetView>
  </sheetViews>
  <sheetFormatPr defaultColWidth="0" defaultRowHeight="17.45" customHeight="1" zeroHeight="1"/>
  <cols>
    <col min="1" max="45" width="2.375" style="245" customWidth="1"/>
    <col min="46" max="46" width="2.375" style="280" customWidth="1"/>
    <col min="47" max="47" width="2.375" style="245" customWidth="1"/>
    <col min="48" max="52" width="0" style="245" hidden="1" customWidth="1"/>
    <col min="53" max="16384" width="8.875" style="245" hidden="1"/>
  </cols>
  <sheetData>
    <row r="1" spans="2:48" ht="6" customHeight="1"/>
    <row r="2" spans="2:48" ht="26.45" customHeight="1">
      <c r="AF2" s="593" t="s">
        <v>1099</v>
      </c>
      <c r="AG2" s="593"/>
      <c r="AH2" s="593"/>
      <c r="AI2" s="593"/>
      <c r="AJ2" s="593"/>
      <c r="AK2" s="593"/>
      <c r="AL2" s="593"/>
      <c r="AM2" s="829">
        <f ca="1">入力シート!R2</f>
        <v>44376</v>
      </c>
      <c r="AN2" s="829"/>
      <c r="AO2" s="829"/>
      <c r="AP2" s="829"/>
      <c r="AQ2" s="829"/>
      <c r="AR2" s="829"/>
      <c r="AS2" s="829"/>
      <c r="AT2" s="829"/>
      <c r="AU2" s="228"/>
    </row>
    <row r="3" spans="2:48" ht="18.600000000000001" customHeight="1">
      <c r="AK3" s="229"/>
      <c r="AL3" s="229"/>
      <c r="AM3" s="229"/>
      <c r="AN3" s="229"/>
      <c r="AO3" s="229"/>
      <c r="AP3" s="229"/>
      <c r="AQ3" s="229"/>
      <c r="AR3" s="229"/>
      <c r="AS3" s="229"/>
      <c r="AT3" s="230"/>
      <c r="AU3" s="231"/>
    </row>
    <row r="4" spans="2:48" ht="27.75" customHeight="1">
      <c r="AK4" s="237"/>
      <c r="AL4" s="237"/>
      <c r="AM4" s="237"/>
      <c r="AN4" s="237"/>
      <c r="AO4" s="237"/>
      <c r="AP4" s="237"/>
      <c r="AQ4" s="237"/>
      <c r="AR4" s="237"/>
      <c r="AS4" s="237"/>
      <c r="AT4" s="236"/>
    </row>
    <row r="5" spans="2:48" ht="6" customHeight="1">
      <c r="AK5" s="237"/>
      <c r="AL5" s="237"/>
      <c r="AM5" s="237"/>
      <c r="AN5" s="237"/>
      <c r="AO5" s="237"/>
      <c r="AP5" s="237"/>
      <c r="AQ5" s="237"/>
      <c r="AR5" s="237"/>
      <c r="AS5" s="237"/>
      <c r="AT5" s="236"/>
    </row>
    <row r="6" spans="2:48" ht="21.6" customHeight="1">
      <c r="B6" s="756" t="s">
        <v>781</v>
      </c>
      <c r="C6" s="756"/>
      <c r="D6" s="756"/>
      <c r="E6" s="756"/>
      <c r="F6" s="756"/>
      <c r="G6" s="756"/>
      <c r="H6" s="757">
        <f>入力シート!L26</f>
        <v>0</v>
      </c>
      <c r="I6" s="757"/>
      <c r="J6" s="757"/>
      <c r="K6" s="757"/>
      <c r="L6" s="757"/>
      <c r="M6" s="757"/>
      <c r="N6" s="757"/>
      <c r="O6" s="232" t="s">
        <v>197</v>
      </c>
      <c r="R6" s="762" t="str">
        <f>IF(H6=0,HYPERLINK("#'入力シート'!A4","入力シートをご作成ください"),"")</f>
        <v>入力シートをご作成ください</v>
      </c>
      <c r="S6" s="762"/>
      <c r="T6" s="762"/>
      <c r="U6" s="762"/>
      <c r="V6" s="762"/>
      <c r="W6" s="762"/>
      <c r="X6" s="762"/>
      <c r="Y6" s="762"/>
      <c r="Z6" s="762"/>
      <c r="AA6" s="762"/>
      <c r="AB6" s="762"/>
      <c r="AC6" s="762"/>
      <c r="AK6" s="237"/>
      <c r="AL6" s="233"/>
      <c r="AM6" s="234"/>
      <c r="AN6" s="235"/>
      <c r="AO6" s="236"/>
      <c r="AP6" s="237"/>
      <c r="AQ6" s="237"/>
      <c r="AR6" s="237"/>
      <c r="AS6" s="237"/>
      <c r="AT6" s="236"/>
    </row>
    <row r="7" spans="2:48" ht="2.4500000000000002" customHeight="1">
      <c r="AK7" s="237"/>
      <c r="AL7" s="237"/>
      <c r="AM7" s="237"/>
      <c r="AN7" s="237"/>
      <c r="AO7" s="237"/>
      <c r="AP7" s="237"/>
      <c r="AQ7" s="237"/>
      <c r="AR7" s="237"/>
      <c r="AS7" s="237"/>
      <c r="AT7" s="236"/>
    </row>
    <row r="8" spans="2:48" ht="34.35" customHeight="1">
      <c r="AK8" s="237"/>
      <c r="AL8" s="237"/>
      <c r="AM8" s="237"/>
      <c r="AN8" s="237"/>
      <c r="AO8" s="237"/>
      <c r="AP8" s="237"/>
      <c r="AQ8" s="237"/>
      <c r="AR8" s="237"/>
      <c r="AS8" s="238" t="s">
        <v>243</v>
      </c>
      <c r="AT8" s="236"/>
    </row>
    <row r="9" spans="2:48" ht="18.600000000000001" customHeight="1">
      <c r="Q9" s="758" t="s">
        <v>195</v>
      </c>
      <c r="R9" s="758"/>
      <c r="S9" s="758"/>
      <c r="T9" s="758"/>
      <c r="U9" s="758"/>
      <c r="V9" s="758"/>
      <c r="W9" s="758"/>
      <c r="X9" s="758"/>
      <c r="Y9" s="758"/>
      <c r="Z9" s="758"/>
      <c r="AA9" s="758"/>
      <c r="AB9" s="758"/>
      <c r="AC9" s="758"/>
      <c r="AD9" s="758"/>
      <c r="AE9" s="758"/>
      <c r="AF9" s="759" t="s">
        <v>196</v>
      </c>
      <c r="AG9" s="760"/>
      <c r="AH9" s="760"/>
      <c r="AI9" s="760"/>
      <c r="AJ9" s="760"/>
      <c r="AK9" s="760"/>
      <c r="AL9" s="760"/>
      <c r="AM9" s="760"/>
      <c r="AN9" s="760"/>
      <c r="AO9" s="760"/>
      <c r="AP9" s="760"/>
      <c r="AQ9" s="760"/>
      <c r="AR9" s="760"/>
      <c r="AS9" s="760"/>
      <c r="AT9" s="761"/>
      <c r="AU9" s="235"/>
      <c r="AV9" s="447"/>
    </row>
    <row r="10" spans="2:48" ht="16.350000000000001" customHeight="1">
      <c r="B10" s="742" t="s">
        <v>194</v>
      </c>
      <c r="C10" s="743"/>
      <c r="D10" s="743"/>
      <c r="E10" s="743"/>
      <c r="F10" s="743"/>
      <c r="G10" s="743"/>
      <c r="H10" s="743"/>
      <c r="I10" s="743"/>
      <c r="J10" s="743"/>
      <c r="K10" s="743"/>
      <c r="L10" s="743"/>
      <c r="M10" s="743"/>
      <c r="N10" s="743"/>
      <c r="O10" s="743"/>
      <c r="P10" s="744"/>
      <c r="Q10" s="748">
        <f>入力シート!P45+入力シート!P68+入力シート!P91+入力シート!P114+入力シート!P52+入力シート!P75+入力シート!P98+入力シート!P121</f>
        <v>0</v>
      </c>
      <c r="R10" s="749"/>
      <c r="S10" s="749"/>
      <c r="T10" s="749"/>
      <c r="U10" s="749"/>
      <c r="V10" s="749"/>
      <c r="W10" s="749"/>
      <c r="X10" s="749"/>
      <c r="Y10" s="749"/>
      <c r="Z10" s="749"/>
      <c r="AA10" s="749"/>
      <c r="AB10" s="749"/>
      <c r="AC10" s="749"/>
      <c r="AD10" s="749"/>
      <c r="AE10" s="750"/>
      <c r="AF10" s="748">
        <f>Q10/12</f>
        <v>0</v>
      </c>
      <c r="AG10" s="749"/>
      <c r="AH10" s="749"/>
      <c r="AI10" s="749"/>
      <c r="AJ10" s="749"/>
      <c r="AK10" s="749"/>
      <c r="AL10" s="749"/>
      <c r="AM10" s="749"/>
      <c r="AN10" s="749"/>
      <c r="AO10" s="749"/>
      <c r="AP10" s="749"/>
      <c r="AQ10" s="749"/>
      <c r="AR10" s="749"/>
      <c r="AS10" s="749"/>
      <c r="AT10" s="750"/>
      <c r="AU10" s="239"/>
      <c r="AV10" s="240"/>
    </row>
    <row r="11" spans="2:48" ht="16.350000000000001" customHeight="1">
      <c r="B11" s="745"/>
      <c r="C11" s="746"/>
      <c r="D11" s="746"/>
      <c r="E11" s="746"/>
      <c r="F11" s="746"/>
      <c r="G11" s="746"/>
      <c r="H11" s="746"/>
      <c r="I11" s="746"/>
      <c r="J11" s="746"/>
      <c r="K11" s="746"/>
      <c r="L11" s="746"/>
      <c r="M11" s="746"/>
      <c r="N11" s="746"/>
      <c r="O11" s="746"/>
      <c r="P11" s="747"/>
      <c r="Q11" s="751"/>
      <c r="R11" s="752"/>
      <c r="S11" s="752"/>
      <c r="T11" s="752"/>
      <c r="U11" s="752"/>
      <c r="V11" s="752"/>
      <c r="W11" s="752"/>
      <c r="X11" s="752"/>
      <c r="Y11" s="752"/>
      <c r="Z11" s="752"/>
      <c r="AA11" s="752"/>
      <c r="AB11" s="752"/>
      <c r="AC11" s="752"/>
      <c r="AD11" s="752"/>
      <c r="AE11" s="753"/>
      <c r="AF11" s="751"/>
      <c r="AG11" s="752"/>
      <c r="AH11" s="752"/>
      <c r="AI11" s="752"/>
      <c r="AJ11" s="752"/>
      <c r="AK11" s="752"/>
      <c r="AL11" s="752"/>
      <c r="AM11" s="752"/>
      <c r="AN11" s="752"/>
      <c r="AO11" s="752"/>
      <c r="AP11" s="752"/>
      <c r="AQ11" s="752"/>
      <c r="AR11" s="752"/>
      <c r="AS11" s="752"/>
      <c r="AT11" s="753"/>
      <c r="AU11" s="239"/>
      <c r="AV11" s="240"/>
    </row>
    <row r="12" spans="2:48" ht="16.350000000000001" customHeight="1">
      <c r="B12" s="742" t="s">
        <v>201</v>
      </c>
      <c r="C12" s="743"/>
      <c r="D12" s="743"/>
      <c r="E12" s="743"/>
      <c r="F12" s="743"/>
      <c r="G12" s="743"/>
      <c r="H12" s="743"/>
      <c r="I12" s="743"/>
      <c r="J12" s="743"/>
      <c r="K12" s="743"/>
      <c r="L12" s="743"/>
      <c r="M12" s="743"/>
      <c r="N12" s="743"/>
      <c r="O12" s="743"/>
      <c r="P12" s="744"/>
      <c r="Q12" s="748">
        <f>入力シート!T50+入力シート!T73+入力シート!T96+入力シート!T119</f>
        <v>0</v>
      </c>
      <c r="R12" s="749"/>
      <c r="S12" s="749"/>
      <c r="T12" s="749"/>
      <c r="U12" s="749"/>
      <c r="V12" s="749"/>
      <c r="W12" s="749"/>
      <c r="X12" s="749"/>
      <c r="Y12" s="749"/>
      <c r="Z12" s="749"/>
      <c r="AA12" s="749"/>
      <c r="AB12" s="749"/>
      <c r="AC12" s="749"/>
      <c r="AD12" s="749"/>
      <c r="AE12" s="750"/>
      <c r="AF12" s="748">
        <f>Q12/12</f>
        <v>0</v>
      </c>
      <c r="AG12" s="749"/>
      <c r="AH12" s="749"/>
      <c r="AI12" s="749"/>
      <c r="AJ12" s="749"/>
      <c r="AK12" s="749"/>
      <c r="AL12" s="749"/>
      <c r="AM12" s="749"/>
      <c r="AN12" s="749"/>
      <c r="AO12" s="749"/>
      <c r="AP12" s="749"/>
      <c r="AQ12" s="749"/>
      <c r="AR12" s="749"/>
      <c r="AS12" s="749"/>
      <c r="AT12" s="750"/>
      <c r="AU12" s="239"/>
      <c r="AV12" s="240"/>
    </row>
    <row r="13" spans="2:48" ht="16.350000000000001" customHeight="1">
      <c r="B13" s="745"/>
      <c r="C13" s="746"/>
      <c r="D13" s="746"/>
      <c r="E13" s="746"/>
      <c r="F13" s="746"/>
      <c r="G13" s="746"/>
      <c r="H13" s="746"/>
      <c r="I13" s="746"/>
      <c r="J13" s="746"/>
      <c r="K13" s="746"/>
      <c r="L13" s="746"/>
      <c r="M13" s="746"/>
      <c r="N13" s="746"/>
      <c r="O13" s="746"/>
      <c r="P13" s="747"/>
      <c r="Q13" s="751"/>
      <c r="R13" s="752"/>
      <c r="S13" s="752"/>
      <c r="T13" s="752"/>
      <c r="U13" s="752"/>
      <c r="V13" s="752"/>
      <c r="W13" s="752"/>
      <c r="X13" s="752"/>
      <c r="Y13" s="752"/>
      <c r="Z13" s="752"/>
      <c r="AA13" s="752"/>
      <c r="AB13" s="752"/>
      <c r="AC13" s="752"/>
      <c r="AD13" s="752"/>
      <c r="AE13" s="753"/>
      <c r="AF13" s="751"/>
      <c r="AG13" s="752"/>
      <c r="AH13" s="752"/>
      <c r="AI13" s="752"/>
      <c r="AJ13" s="752"/>
      <c r="AK13" s="752"/>
      <c r="AL13" s="752"/>
      <c r="AM13" s="752"/>
      <c r="AN13" s="752"/>
      <c r="AO13" s="752"/>
      <c r="AP13" s="752"/>
      <c r="AQ13" s="752"/>
      <c r="AR13" s="752"/>
      <c r="AS13" s="752"/>
      <c r="AT13" s="753"/>
      <c r="AU13" s="239"/>
      <c r="AV13" s="240"/>
    </row>
    <row r="14" spans="2:48" ht="16.350000000000001" customHeight="1">
      <c r="B14" s="742" t="s">
        <v>199</v>
      </c>
      <c r="C14" s="743"/>
      <c r="D14" s="743"/>
      <c r="E14" s="743"/>
      <c r="F14" s="743"/>
      <c r="G14" s="743"/>
      <c r="H14" s="743"/>
      <c r="I14" s="743"/>
      <c r="J14" s="743"/>
      <c r="K14" s="743"/>
      <c r="L14" s="743"/>
      <c r="M14" s="743"/>
      <c r="N14" s="743"/>
      <c r="O14" s="743"/>
      <c r="P14" s="744"/>
      <c r="Q14" s="748">
        <f ca="1">'加算項目（A病棟）'!J64+'加算項目（B病棟）'!J64+'加算項目（C病棟）'!J64+'加算項目（D病棟）'!J64</f>
        <v>0</v>
      </c>
      <c r="R14" s="749"/>
      <c r="S14" s="749"/>
      <c r="T14" s="749"/>
      <c r="U14" s="749"/>
      <c r="V14" s="749"/>
      <c r="W14" s="749"/>
      <c r="X14" s="749"/>
      <c r="Y14" s="749"/>
      <c r="Z14" s="749"/>
      <c r="AA14" s="749"/>
      <c r="AB14" s="749"/>
      <c r="AC14" s="749"/>
      <c r="AD14" s="749"/>
      <c r="AE14" s="750"/>
      <c r="AF14" s="748">
        <f ca="1">Q14/12</f>
        <v>0</v>
      </c>
      <c r="AG14" s="749"/>
      <c r="AH14" s="749"/>
      <c r="AI14" s="749"/>
      <c r="AJ14" s="749"/>
      <c r="AK14" s="749"/>
      <c r="AL14" s="749"/>
      <c r="AM14" s="749"/>
      <c r="AN14" s="749"/>
      <c r="AO14" s="749"/>
      <c r="AP14" s="749"/>
      <c r="AQ14" s="749"/>
      <c r="AR14" s="749"/>
      <c r="AS14" s="749"/>
      <c r="AT14" s="750"/>
      <c r="AU14" s="239"/>
      <c r="AV14" s="240"/>
    </row>
    <row r="15" spans="2:48" ht="16.350000000000001" customHeight="1">
      <c r="B15" s="754"/>
      <c r="C15" s="755"/>
      <c r="D15" s="755"/>
      <c r="E15" s="746"/>
      <c r="F15" s="746"/>
      <c r="G15" s="746"/>
      <c r="H15" s="746"/>
      <c r="I15" s="746"/>
      <c r="J15" s="746"/>
      <c r="K15" s="746"/>
      <c r="L15" s="746"/>
      <c r="M15" s="746"/>
      <c r="N15" s="746"/>
      <c r="O15" s="746"/>
      <c r="P15" s="747"/>
      <c r="Q15" s="751"/>
      <c r="R15" s="752"/>
      <c r="S15" s="752"/>
      <c r="T15" s="752"/>
      <c r="U15" s="752"/>
      <c r="V15" s="752"/>
      <c r="W15" s="752"/>
      <c r="X15" s="752"/>
      <c r="Y15" s="752"/>
      <c r="Z15" s="752"/>
      <c r="AA15" s="752"/>
      <c r="AB15" s="752"/>
      <c r="AC15" s="752"/>
      <c r="AD15" s="752"/>
      <c r="AE15" s="753"/>
      <c r="AF15" s="751"/>
      <c r="AG15" s="752"/>
      <c r="AH15" s="752"/>
      <c r="AI15" s="752"/>
      <c r="AJ15" s="752"/>
      <c r="AK15" s="752"/>
      <c r="AL15" s="752"/>
      <c r="AM15" s="752"/>
      <c r="AN15" s="752"/>
      <c r="AO15" s="752"/>
      <c r="AP15" s="752"/>
      <c r="AQ15" s="752"/>
      <c r="AR15" s="752"/>
      <c r="AS15" s="752"/>
      <c r="AT15" s="753"/>
      <c r="AU15" s="239"/>
      <c r="AV15" s="240"/>
    </row>
    <row r="16" spans="2:48" ht="16.350000000000001" customHeight="1">
      <c r="B16" s="742" t="s">
        <v>200</v>
      </c>
      <c r="C16" s="743"/>
      <c r="D16" s="743"/>
      <c r="E16" s="743"/>
      <c r="F16" s="743"/>
      <c r="G16" s="743"/>
      <c r="H16" s="743"/>
      <c r="I16" s="743"/>
      <c r="J16" s="743"/>
      <c r="K16" s="743"/>
      <c r="L16" s="743"/>
      <c r="M16" s="743"/>
      <c r="N16" s="743"/>
      <c r="O16" s="743"/>
      <c r="P16" s="744"/>
      <c r="Q16" s="748">
        <f>'加算項目（A病棟）'!J103+'加算項目（B病棟）'!J103+'加算項目（C病棟）'!J103+'加算項目（D病棟）'!J103</f>
        <v>0</v>
      </c>
      <c r="R16" s="749"/>
      <c r="S16" s="749"/>
      <c r="T16" s="749"/>
      <c r="U16" s="749"/>
      <c r="V16" s="749"/>
      <c r="W16" s="749"/>
      <c r="X16" s="749"/>
      <c r="Y16" s="749"/>
      <c r="Z16" s="749"/>
      <c r="AA16" s="749"/>
      <c r="AB16" s="749"/>
      <c r="AC16" s="749"/>
      <c r="AD16" s="749"/>
      <c r="AE16" s="750"/>
      <c r="AF16" s="748">
        <f>Q16/12</f>
        <v>0</v>
      </c>
      <c r="AG16" s="749"/>
      <c r="AH16" s="749"/>
      <c r="AI16" s="749"/>
      <c r="AJ16" s="749"/>
      <c r="AK16" s="749"/>
      <c r="AL16" s="749"/>
      <c r="AM16" s="749"/>
      <c r="AN16" s="749"/>
      <c r="AO16" s="749"/>
      <c r="AP16" s="749"/>
      <c r="AQ16" s="749"/>
      <c r="AR16" s="749"/>
      <c r="AS16" s="749"/>
      <c r="AT16" s="750"/>
      <c r="AU16" s="239"/>
      <c r="AV16" s="240"/>
    </row>
    <row r="17" spans="2:48" ht="16.350000000000001" customHeight="1">
      <c r="B17" s="745"/>
      <c r="C17" s="746"/>
      <c r="D17" s="746"/>
      <c r="E17" s="746"/>
      <c r="F17" s="746"/>
      <c r="G17" s="746"/>
      <c r="H17" s="746"/>
      <c r="I17" s="746"/>
      <c r="J17" s="746"/>
      <c r="K17" s="746"/>
      <c r="L17" s="746"/>
      <c r="M17" s="746"/>
      <c r="N17" s="746"/>
      <c r="O17" s="746"/>
      <c r="P17" s="747"/>
      <c r="Q17" s="751"/>
      <c r="R17" s="752"/>
      <c r="S17" s="752"/>
      <c r="T17" s="752"/>
      <c r="U17" s="752"/>
      <c r="V17" s="752"/>
      <c r="W17" s="752"/>
      <c r="X17" s="752"/>
      <c r="Y17" s="752"/>
      <c r="Z17" s="752"/>
      <c r="AA17" s="752"/>
      <c r="AB17" s="752"/>
      <c r="AC17" s="752"/>
      <c r="AD17" s="752"/>
      <c r="AE17" s="753"/>
      <c r="AF17" s="751"/>
      <c r="AG17" s="752"/>
      <c r="AH17" s="752"/>
      <c r="AI17" s="752"/>
      <c r="AJ17" s="752"/>
      <c r="AK17" s="752"/>
      <c r="AL17" s="752"/>
      <c r="AM17" s="752"/>
      <c r="AN17" s="752"/>
      <c r="AO17" s="752"/>
      <c r="AP17" s="752"/>
      <c r="AQ17" s="752"/>
      <c r="AR17" s="752"/>
      <c r="AS17" s="752"/>
      <c r="AT17" s="753"/>
      <c r="AU17" s="239"/>
      <c r="AV17" s="240"/>
    </row>
    <row r="18" spans="2:48" ht="16.350000000000001" customHeight="1">
      <c r="B18" s="742" t="s">
        <v>763</v>
      </c>
      <c r="C18" s="743"/>
      <c r="D18" s="743"/>
      <c r="E18" s="743"/>
      <c r="F18" s="743"/>
      <c r="G18" s="743"/>
      <c r="H18" s="743"/>
      <c r="I18" s="743"/>
      <c r="J18" s="743"/>
      <c r="K18" s="743"/>
      <c r="L18" s="743"/>
      <c r="M18" s="743"/>
      <c r="N18" s="743"/>
      <c r="O18" s="743"/>
      <c r="P18" s="744"/>
      <c r="Q18" s="763">
        <f ca="1">Q10+Q12+Q14+Q16</f>
        <v>0</v>
      </c>
      <c r="R18" s="764"/>
      <c r="S18" s="764"/>
      <c r="T18" s="764"/>
      <c r="U18" s="764"/>
      <c r="V18" s="764"/>
      <c r="W18" s="764"/>
      <c r="X18" s="764"/>
      <c r="Y18" s="764"/>
      <c r="Z18" s="764"/>
      <c r="AA18" s="764"/>
      <c r="AB18" s="764"/>
      <c r="AC18" s="764"/>
      <c r="AD18" s="764"/>
      <c r="AE18" s="765"/>
      <c r="AF18" s="763">
        <f ca="1">AF10+AF12+AF14+AF16</f>
        <v>0</v>
      </c>
      <c r="AG18" s="764"/>
      <c r="AH18" s="764"/>
      <c r="AI18" s="764"/>
      <c r="AJ18" s="764"/>
      <c r="AK18" s="764"/>
      <c r="AL18" s="764"/>
      <c r="AM18" s="764"/>
      <c r="AN18" s="764"/>
      <c r="AO18" s="764"/>
      <c r="AP18" s="764"/>
      <c r="AQ18" s="764"/>
      <c r="AR18" s="764"/>
      <c r="AS18" s="764"/>
      <c r="AT18" s="765"/>
      <c r="AU18" s="239"/>
      <c r="AV18" s="240"/>
    </row>
    <row r="19" spans="2:48" ht="15.6" customHeight="1">
      <c r="B19" s="745"/>
      <c r="C19" s="746"/>
      <c r="D19" s="746"/>
      <c r="E19" s="746"/>
      <c r="F19" s="746"/>
      <c r="G19" s="746"/>
      <c r="H19" s="746"/>
      <c r="I19" s="746"/>
      <c r="J19" s="746"/>
      <c r="K19" s="746"/>
      <c r="L19" s="746"/>
      <c r="M19" s="746"/>
      <c r="N19" s="746"/>
      <c r="O19" s="746"/>
      <c r="P19" s="747"/>
      <c r="Q19" s="766"/>
      <c r="R19" s="767"/>
      <c r="S19" s="767"/>
      <c r="T19" s="767"/>
      <c r="U19" s="767"/>
      <c r="V19" s="767"/>
      <c r="W19" s="767"/>
      <c r="X19" s="767"/>
      <c r="Y19" s="767"/>
      <c r="Z19" s="767"/>
      <c r="AA19" s="767"/>
      <c r="AB19" s="767"/>
      <c r="AC19" s="767"/>
      <c r="AD19" s="767"/>
      <c r="AE19" s="768"/>
      <c r="AF19" s="766"/>
      <c r="AG19" s="767"/>
      <c r="AH19" s="767"/>
      <c r="AI19" s="767"/>
      <c r="AJ19" s="767"/>
      <c r="AK19" s="767"/>
      <c r="AL19" s="767"/>
      <c r="AM19" s="767"/>
      <c r="AN19" s="767"/>
      <c r="AO19" s="767"/>
      <c r="AP19" s="767"/>
      <c r="AQ19" s="767"/>
      <c r="AR19" s="767"/>
      <c r="AS19" s="767"/>
      <c r="AT19" s="768"/>
      <c r="AU19" s="239"/>
      <c r="AV19" s="240"/>
    </row>
    <row r="20" spans="2:48" ht="8.4499999999999993" hidden="1" customHeight="1">
      <c r="AK20" s="237"/>
      <c r="AL20" s="237"/>
      <c r="AM20" s="237"/>
      <c r="AN20" s="237"/>
      <c r="AO20" s="237"/>
      <c r="AP20" s="237"/>
      <c r="AQ20" s="237"/>
      <c r="AR20" s="237"/>
      <c r="AS20" s="237"/>
      <c r="AT20" s="236"/>
    </row>
    <row r="21" spans="2:48" ht="21" customHeight="1">
      <c r="S21" s="232"/>
      <c r="V21" s="769" t="s">
        <v>242</v>
      </c>
      <c r="W21" s="769"/>
      <c r="X21" s="769"/>
      <c r="Y21" s="769"/>
      <c r="Z21" s="769"/>
      <c r="AA21" s="769"/>
      <c r="AB21" s="769"/>
      <c r="AC21" s="769"/>
      <c r="AD21" s="769"/>
      <c r="AE21" s="769"/>
      <c r="AF21" s="769"/>
      <c r="AG21" s="769"/>
      <c r="AH21" s="769"/>
      <c r="AI21" s="769"/>
      <c r="AJ21" s="770" t="str">
        <f ca="1">IFERROR(Q18/H6/365*1000,"")</f>
        <v/>
      </c>
      <c r="AK21" s="770"/>
      <c r="AL21" s="770"/>
      <c r="AM21" s="770"/>
      <c r="AN21" s="770"/>
      <c r="AO21" s="770"/>
      <c r="AP21" s="367"/>
      <c r="AQ21" s="367"/>
      <c r="AR21" s="367"/>
      <c r="AS21" s="367"/>
      <c r="AT21" s="358"/>
    </row>
    <row r="22" spans="2:48" ht="13.35" customHeight="1">
      <c r="AK22" s="237"/>
      <c r="AL22" s="237"/>
      <c r="AM22" s="237"/>
      <c r="AN22" s="237"/>
      <c r="AO22" s="237"/>
      <c r="AP22" s="237"/>
      <c r="AQ22" s="237"/>
      <c r="AR22" s="237"/>
      <c r="AS22" s="237"/>
      <c r="AT22" s="236"/>
    </row>
    <row r="23" spans="2:48" ht="34.700000000000003" customHeight="1">
      <c r="AK23" s="237"/>
      <c r="AL23" s="237"/>
      <c r="AM23" s="237"/>
      <c r="AN23" s="237"/>
      <c r="AO23" s="237"/>
      <c r="AP23" s="237"/>
      <c r="AQ23" s="237"/>
      <c r="AR23" s="237"/>
      <c r="AS23" s="238" t="s">
        <v>243</v>
      </c>
      <c r="AT23" s="236"/>
    </row>
    <row r="24" spans="2:48" ht="19.350000000000001" customHeight="1">
      <c r="Q24" s="771" t="s">
        <v>195</v>
      </c>
      <c r="R24" s="771"/>
      <c r="S24" s="771"/>
      <c r="T24" s="771"/>
      <c r="U24" s="771"/>
      <c r="V24" s="771"/>
      <c r="W24" s="771"/>
      <c r="X24" s="771"/>
      <c r="Y24" s="771"/>
      <c r="Z24" s="771"/>
      <c r="AA24" s="771"/>
      <c r="AB24" s="771"/>
      <c r="AC24" s="771"/>
      <c r="AD24" s="771"/>
      <c r="AE24" s="771"/>
      <c r="AF24" s="771" t="s">
        <v>196</v>
      </c>
      <c r="AG24" s="771"/>
      <c r="AH24" s="771"/>
      <c r="AI24" s="771"/>
      <c r="AJ24" s="771"/>
      <c r="AK24" s="771"/>
      <c r="AL24" s="771"/>
      <c r="AM24" s="771"/>
      <c r="AN24" s="771"/>
      <c r="AO24" s="771"/>
      <c r="AP24" s="771"/>
      <c r="AQ24" s="771"/>
      <c r="AR24" s="771"/>
      <c r="AS24" s="771"/>
      <c r="AT24" s="771"/>
      <c r="AU24" s="377"/>
    </row>
    <row r="25" spans="2:48" ht="16.350000000000001" customHeight="1">
      <c r="B25" s="772" t="s">
        <v>198</v>
      </c>
      <c r="C25" s="773"/>
      <c r="D25" s="773"/>
      <c r="E25" s="773"/>
      <c r="F25" s="773"/>
      <c r="G25" s="773"/>
      <c r="H25" s="773"/>
      <c r="I25" s="773"/>
      <c r="J25" s="773"/>
      <c r="K25" s="773"/>
      <c r="L25" s="773"/>
      <c r="M25" s="773"/>
      <c r="N25" s="773"/>
      <c r="O25" s="773"/>
      <c r="P25" s="774"/>
      <c r="Q25" s="786">
        <f>IF(入力シート!N131="",入力シート!I154,入力シート!T124)</f>
        <v>0</v>
      </c>
      <c r="R25" s="787"/>
      <c r="S25" s="787"/>
      <c r="T25" s="787"/>
      <c r="U25" s="787"/>
      <c r="V25" s="787"/>
      <c r="W25" s="787"/>
      <c r="X25" s="787"/>
      <c r="Y25" s="787"/>
      <c r="Z25" s="787"/>
      <c r="AA25" s="787"/>
      <c r="AB25" s="787"/>
      <c r="AC25" s="787"/>
      <c r="AD25" s="787"/>
      <c r="AE25" s="788"/>
      <c r="AF25" s="786">
        <f>Q25/12</f>
        <v>0</v>
      </c>
      <c r="AG25" s="787"/>
      <c r="AH25" s="787"/>
      <c r="AI25" s="787"/>
      <c r="AJ25" s="787"/>
      <c r="AK25" s="787"/>
      <c r="AL25" s="787"/>
      <c r="AM25" s="787"/>
      <c r="AN25" s="787"/>
      <c r="AO25" s="787"/>
      <c r="AP25" s="787"/>
      <c r="AQ25" s="787"/>
      <c r="AR25" s="787"/>
      <c r="AS25" s="787"/>
      <c r="AT25" s="788"/>
      <c r="AU25" s="240"/>
    </row>
    <row r="26" spans="2:48" ht="16.350000000000001" customHeight="1">
      <c r="B26" s="775"/>
      <c r="C26" s="776"/>
      <c r="D26" s="776"/>
      <c r="E26" s="776"/>
      <c r="F26" s="776"/>
      <c r="G26" s="776"/>
      <c r="H26" s="776"/>
      <c r="I26" s="776"/>
      <c r="J26" s="776"/>
      <c r="K26" s="776"/>
      <c r="L26" s="776"/>
      <c r="M26" s="776"/>
      <c r="N26" s="776"/>
      <c r="O26" s="776"/>
      <c r="P26" s="777"/>
      <c r="Q26" s="789"/>
      <c r="R26" s="790"/>
      <c r="S26" s="790"/>
      <c r="T26" s="790"/>
      <c r="U26" s="790"/>
      <c r="V26" s="790"/>
      <c r="W26" s="790"/>
      <c r="X26" s="790"/>
      <c r="Y26" s="790"/>
      <c r="Z26" s="790"/>
      <c r="AA26" s="790"/>
      <c r="AB26" s="790"/>
      <c r="AC26" s="790"/>
      <c r="AD26" s="790"/>
      <c r="AE26" s="791"/>
      <c r="AF26" s="789"/>
      <c r="AG26" s="790"/>
      <c r="AH26" s="790"/>
      <c r="AI26" s="790"/>
      <c r="AJ26" s="790"/>
      <c r="AK26" s="790"/>
      <c r="AL26" s="790"/>
      <c r="AM26" s="790"/>
      <c r="AN26" s="790"/>
      <c r="AO26" s="790"/>
      <c r="AP26" s="790"/>
      <c r="AQ26" s="790"/>
      <c r="AR26" s="790"/>
      <c r="AS26" s="790"/>
      <c r="AT26" s="791"/>
      <c r="AU26" s="240"/>
    </row>
    <row r="27" spans="2:48" ht="16.350000000000001" customHeight="1">
      <c r="B27" s="772" t="s">
        <v>819</v>
      </c>
      <c r="C27" s="773"/>
      <c r="D27" s="773"/>
      <c r="E27" s="773"/>
      <c r="F27" s="773"/>
      <c r="G27" s="773"/>
      <c r="H27" s="773"/>
      <c r="I27" s="773"/>
      <c r="J27" s="773"/>
      <c r="K27" s="773"/>
      <c r="L27" s="773"/>
      <c r="M27" s="773"/>
      <c r="N27" s="773"/>
      <c r="O27" s="773"/>
      <c r="P27" s="774"/>
      <c r="Q27" s="786">
        <f>IF(入力シート!N158="",入力シート!I186,入力シート!T125)</f>
        <v>0</v>
      </c>
      <c r="R27" s="787"/>
      <c r="S27" s="787"/>
      <c r="T27" s="787"/>
      <c r="U27" s="787"/>
      <c r="V27" s="787"/>
      <c r="W27" s="787"/>
      <c r="X27" s="787"/>
      <c r="Y27" s="787"/>
      <c r="Z27" s="787"/>
      <c r="AA27" s="787"/>
      <c r="AB27" s="787"/>
      <c r="AC27" s="787"/>
      <c r="AD27" s="787"/>
      <c r="AE27" s="788"/>
      <c r="AF27" s="786">
        <f>Q27/12</f>
        <v>0</v>
      </c>
      <c r="AG27" s="787"/>
      <c r="AH27" s="787"/>
      <c r="AI27" s="787"/>
      <c r="AJ27" s="787"/>
      <c r="AK27" s="787"/>
      <c r="AL27" s="787"/>
      <c r="AM27" s="787"/>
      <c r="AN27" s="787"/>
      <c r="AO27" s="787"/>
      <c r="AP27" s="787"/>
      <c r="AQ27" s="787"/>
      <c r="AR27" s="787"/>
      <c r="AS27" s="787"/>
      <c r="AT27" s="788"/>
      <c r="AU27" s="240"/>
    </row>
    <row r="28" spans="2:48" ht="16.350000000000001" customHeight="1">
      <c r="B28" s="775"/>
      <c r="C28" s="776"/>
      <c r="D28" s="776"/>
      <c r="E28" s="776"/>
      <c r="F28" s="776"/>
      <c r="G28" s="776"/>
      <c r="H28" s="776"/>
      <c r="I28" s="776"/>
      <c r="J28" s="776"/>
      <c r="K28" s="776"/>
      <c r="L28" s="776"/>
      <c r="M28" s="776"/>
      <c r="N28" s="776"/>
      <c r="O28" s="776"/>
      <c r="P28" s="777"/>
      <c r="Q28" s="789"/>
      <c r="R28" s="790"/>
      <c r="S28" s="790"/>
      <c r="T28" s="790"/>
      <c r="U28" s="790"/>
      <c r="V28" s="790"/>
      <c r="W28" s="790"/>
      <c r="X28" s="790"/>
      <c r="Y28" s="790"/>
      <c r="Z28" s="790"/>
      <c r="AA28" s="790"/>
      <c r="AB28" s="790"/>
      <c r="AC28" s="790"/>
      <c r="AD28" s="790"/>
      <c r="AE28" s="791"/>
      <c r="AF28" s="789"/>
      <c r="AG28" s="790"/>
      <c r="AH28" s="790"/>
      <c r="AI28" s="790"/>
      <c r="AJ28" s="790"/>
      <c r="AK28" s="790"/>
      <c r="AL28" s="790"/>
      <c r="AM28" s="790"/>
      <c r="AN28" s="790"/>
      <c r="AO28" s="790"/>
      <c r="AP28" s="790"/>
      <c r="AQ28" s="790"/>
      <c r="AR28" s="790"/>
      <c r="AS28" s="790"/>
      <c r="AT28" s="791"/>
      <c r="AU28" s="240"/>
    </row>
    <row r="29" spans="2:48" ht="16.350000000000001" customHeight="1">
      <c r="B29" s="772" t="s">
        <v>824</v>
      </c>
      <c r="C29" s="773"/>
      <c r="D29" s="773"/>
      <c r="E29" s="773"/>
      <c r="F29" s="773"/>
      <c r="G29" s="773"/>
      <c r="H29" s="773"/>
      <c r="I29" s="773"/>
      <c r="J29" s="773"/>
      <c r="K29" s="773"/>
      <c r="L29" s="773"/>
      <c r="M29" s="773"/>
      <c r="N29" s="773"/>
      <c r="O29" s="773"/>
      <c r="P29" s="774"/>
      <c r="Q29" s="778">
        <f>Q25+Q27</f>
        <v>0</v>
      </c>
      <c r="R29" s="779"/>
      <c r="S29" s="779"/>
      <c r="T29" s="779"/>
      <c r="U29" s="779"/>
      <c r="V29" s="779"/>
      <c r="W29" s="779"/>
      <c r="X29" s="779"/>
      <c r="Y29" s="779"/>
      <c r="Z29" s="779"/>
      <c r="AA29" s="779"/>
      <c r="AB29" s="779"/>
      <c r="AC29" s="779"/>
      <c r="AD29" s="779"/>
      <c r="AE29" s="780"/>
      <c r="AF29" s="778">
        <f>Q29/12</f>
        <v>0</v>
      </c>
      <c r="AG29" s="779"/>
      <c r="AH29" s="779"/>
      <c r="AI29" s="779"/>
      <c r="AJ29" s="779"/>
      <c r="AK29" s="779"/>
      <c r="AL29" s="779"/>
      <c r="AM29" s="779"/>
      <c r="AN29" s="779"/>
      <c r="AO29" s="779"/>
      <c r="AP29" s="779"/>
      <c r="AQ29" s="779"/>
      <c r="AR29" s="779"/>
      <c r="AS29" s="779"/>
      <c r="AT29" s="780"/>
      <c r="AU29" s="234"/>
    </row>
    <row r="30" spans="2:48" ht="16.350000000000001" customHeight="1">
      <c r="B30" s="775"/>
      <c r="C30" s="776"/>
      <c r="D30" s="776"/>
      <c r="E30" s="776"/>
      <c r="F30" s="776"/>
      <c r="G30" s="776"/>
      <c r="H30" s="776"/>
      <c r="I30" s="776"/>
      <c r="J30" s="776"/>
      <c r="K30" s="776"/>
      <c r="L30" s="776"/>
      <c r="M30" s="776"/>
      <c r="N30" s="776"/>
      <c r="O30" s="776"/>
      <c r="P30" s="777"/>
      <c r="Q30" s="781"/>
      <c r="R30" s="782"/>
      <c r="S30" s="782"/>
      <c r="T30" s="782"/>
      <c r="U30" s="782"/>
      <c r="V30" s="782"/>
      <c r="W30" s="782"/>
      <c r="X30" s="782"/>
      <c r="Y30" s="782"/>
      <c r="Z30" s="782"/>
      <c r="AA30" s="782"/>
      <c r="AB30" s="782"/>
      <c r="AC30" s="782"/>
      <c r="AD30" s="782"/>
      <c r="AE30" s="783"/>
      <c r="AF30" s="781"/>
      <c r="AG30" s="782"/>
      <c r="AH30" s="782"/>
      <c r="AI30" s="782"/>
      <c r="AJ30" s="782"/>
      <c r="AK30" s="782"/>
      <c r="AL30" s="782"/>
      <c r="AM30" s="782"/>
      <c r="AN30" s="782"/>
      <c r="AO30" s="782"/>
      <c r="AP30" s="782"/>
      <c r="AQ30" s="782"/>
      <c r="AR30" s="782"/>
      <c r="AS30" s="782"/>
      <c r="AT30" s="783"/>
      <c r="AU30" s="234"/>
    </row>
    <row r="31" spans="2:48" ht="8.4499999999999993" customHeight="1">
      <c r="AK31" s="237"/>
      <c r="AL31" s="237"/>
      <c r="AM31" s="237"/>
      <c r="AN31" s="237"/>
      <c r="AO31" s="237"/>
      <c r="AP31" s="237"/>
      <c r="AQ31" s="237"/>
      <c r="AR31" s="237"/>
      <c r="AS31" s="237"/>
      <c r="AT31" s="236"/>
    </row>
    <row r="32" spans="2:48" ht="31.7" customHeight="1">
      <c r="AK32" s="237"/>
      <c r="AL32" s="237"/>
      <c r="AM32" s="237"/>
      <c r="AN32" s="237"/>
      <c r="AO32" s="237"/>
      <c r="AP32" s="237"/>
      <c r="AQ32" s="237"/>
      <c r="AR32" s="237"/>
      <c r="AS32" s="238" t="s">
        <v>243</v>
      </c>
      <c r="AT32" s="236"/>
    </row>
    <row r="33" spans="2:47" ht="16.350000000000001" hidden="1" customHeight="1">
      <c r="AK33" s="237"/>
      <c r="AL33" s="236"/>
      <c r="AM33" s="236"/>
      <c r="AN33" s="784"/>
      <c r="AO33" s="784"/>
      <c r="AP33" s="784"/>
      <c r="AQ33" s="784"/>
      <c r="AR33" s="784"/>
      <c r="AS33" s="784"/>
      <c r="AT33" s="377"/>
    </row>
    <row r="34" spans="2:47" ht="20.45" customHeight="1">
      <c r="B34" s="241" t="s">
        <v>61</v>
      </c>
      <c r="C34" s="241"/>
      <c r="Q34" s="785" t="s">
        <v>195</v>
      </c>
      <c r="R34" s="785"/>
      <c r="S34" s="785"/>
      <c r="T34" s="785"/>
      <c r="U34" s="785"/>
      <c r="V34" s="785"/>
      <c r="W34" s="785"/>
      <c r="X34" s="785"/>
      <c r="Y34" s="785"/>
      <c r="Z34" s="785"/>
      <c r="AA34" s="785"/>
      <c r="AB34" s="785"/>
      <c r="AC34" s="785"/>
      <c r="AD34" s="785"/>
      <c r="AE34" s="785"/>
      <c r="AF34" s="785" t="s">
        <v>196</v>
      </c>
      <c r="AG34" s="785"/>
      <c r="AH34" s="785"/>
      <c r="AI34" s="785"/>
      <c r="AJ34" s="785"/>
      <c r="AK34" s="785"/>
      <c r="AL34" s="785"/>
      <c r="AM34" s="785"/>
      <c r="AN34" s="785"/>
      <c r="AO34" s="785"/>
      <c r="AP34" s="785"/>
      <c r="AQ34" s="785"/>
      <c r="AR34" s="785"/>
      <c r="AS34" s="785"/>
      <c r="AT34" s="785"/>
      <c r="AU34" s="242"/>
    </row>
    <row r="35" spans="2:47" ht="20.45" customHeight="1">
      <c r="B35" s="792" t="s">
        <v>825</v>
      </c>
      <c r="C35" s="793"/>
      <c r="D35" s="793"/>
      <c r="E35" s="793"/>
      <c r="F35" s="793"/>
      <c r="G35" s="793"/>
      <c r="H35" s="793"/>
      <c r="I35" s="793"/>
      <c r="J35" s="793"/>
      <c r="K35" s="793"/>
      <c r="L35" s="793"/>
      <c r="M35" s="793"/>
      <c r="N35" s="793"/>
      <c r="O35" s="793"/>
      <c r="P35" s="794"/>
      <c r="Q35" s="798">
        <f ca="1">Q18-Q29</f>
        <v>0</v>
      </c>
      <c r="R35" s="799"/>
      <c r="S35" s="799"/>
      <c r="T35" s="799"/>
      <c r="U35" s="799"/>
      <c r="V35" s="799"/>
      <c r="W35" s="799"/>
      <c r="X35" s="799"/>
      <c r="Y35" s="799"/>
      <c r="Z35" s="799"/>
      <c r="AA35" s="799"/>
      <c r="AB35" s="799"/>
      <c r="AC35" s="799"/>
      <c r="AD35" s="799"/>
      <c r="AE35" s="800"/>
      <c r="AF35" s="798">
        <f ca="1">Q35/12</f>
        <v>0</v>
      </c>
      <c r="AG35" s="799"/>
      <c r="AH35" s="799"/>
      <c r="AI35" s="799"/>
      <c r="AJ35" s="799"/>
      <c r="AK35" s="799"/>
      <c r="AL35" s="799"/>
      <c r="AM35" s="799"/>
      <c r="AN35" s="799"/>
      <c r="AO35" s="799"/>
      <c r="AP35" s="799"/>
      <c r="AQ35" s="799"/>
      <c r="AR35" s="799"/>
      <c r="AS35" s="799"/>
      <c r="AT35" s="800"/>
      <c r="AU35" s="242"/>
    </row>
    <row r="36" spans="2:47" ht="4.7" customHeight="1">
      <c r="B36" s="795"/>
      <c r="C36" s="796"/>
      <c r="D36" s="796"/>
      <c r="E36" s="796"/>
      <c r="F36" s="796"/>
      <c r="G36" s="796"/>
      <c r="H36" s="796"/>
      <c r="I36" s="796"/>
      <c r="J36" s="796"/>
      <c r="K36" s="796"/>
      <c r="L36" s="796"/>
      <c r="M36" s="796"/>
      <c r="N36" s="796"/>
      <c r="O36" s="796"/>
      <c r="P36" s="797"/>
      <c r="Q36" s="801"/>
      <c r="R36" s="802"/>
      <c r="S36" s="802"/>
      <c r="T36" s="802"/>
      <c r="U36" s="802"/>
      <c r="V36" s="802"/>
      <c r="W36" s="802"/>
      <c r="X36" s="802"/>
      <c r="Y36" s="802"/>
      <c r="Z36" s="802"/>
      <c r="AA36" s="802"/>
      <c r="AB36" s="802"/>
      <c r="AC36" s="802"/>
      <c r="AD36" s="802"/>
      <c r="AE36" s="803"/>
      <c r="AF36" s="801"/>
      <c r="AG36" s="802"/>
      <c r="AH36" s="802"/>
      <c r="AI36" s="802"/>
      <c r="AJ36" s="802"/>
      <c r="AK36" s="802"/>
      <c r="AL36" s="802"/>
      <c r="AM36" s="802"/>
      <c r="AN36" s="802"/>
      <c r="AO36" s="802"/>
      <c r="AP36" s="802"/>
      <c r="AQ36" s="802"/>
      <c r="AR36" s="802"/>
      <c r="AS36" s="802"/>
      <c r="AT36" s="803"/>
      <c r="AU36" s="236"/>
    </row>
    <row r="37" spans="2:47" ht="20.45" customHeight="1">
      <c r="B37" s="497" t="s">
        <v>1098</v>
      </c>
      <c r="AK37" s="237"/>
      <c r="AL37" s="243"/>
      <c r="AM37" s="237"/>
      <c r="AN37" s="237"/>
      <c r="AO37" s="237"/>
      <c r="AP37" s="237"/>
      <c r="AQ37" s="237"/>
      <c r="AR37" s="237"/>
      <c r="AS37" s="237"/>
      <c r="AT37" s="236"/>
    </row>
    <row r="38" spans="2:47" ht="20.45" customHeight="1">
      <c r="B38" s="243" t="s">
        <v>875</v>
      </c>
      <c r="AK38" s="237"/>
      <c r="AL38" s="243"/>
      <c r="AM38" s="237"/>
      <c r="AN38" s="237"/>
      <c r="AO38" s="237"/>
      <c r="AP38" s="237"/>
      <c r="AQ38" s="237"/>
      <c r="AR38" s="237"/>
      <c r="AS38" s="237"/>
      <c r="AT38" s="236"/>
    </row>
    <row r="39" spans="2:47" ht="20.45" hidden="1" customHeight="1">
      <c r="AK39" s="237"/>
      <c r="AL39" s="237"/>
      <c r="AM39" s="237"/>
      <c r="AN39" s="237"/>
      <c r="AO39" s="237"/>
      <c r="AP39" s="237"/>
      <c r="AQ39" s="237"/>
      <c r="AR39" s="237"/>
      <c r="AS39" s="237"/>
      <c r="AT39" s="236"/>
    </row>
    <row r="40" spans="2:47" ht="20.45" hidden="1" customHeight="1"/>
    <row r="41" spans="2:47" ht="20.45" hidden="1" customHeight="1"/>
    <row r="42" spans="2:47" ht="20.45" hidden="1" customHeight="1"/>
    <row r="43" spans="2:47" ht="20.45" hidden="1" customHeight="1"/>
    <row r="44" spans="2:47" ht="20.45" hidden="1" customHeight="1"/>
    <row r="45" spans="2:47" ht="20.45" hidden="1" customHeight="1"/>
    <row r="46" spans="2:47" ht="18.75"/>
    <row r="47" spans="2:47" ht="18.75"/>
    <row r="48" spans="2:47" ht="18.75"/>
    <row r="49" spans="2:52" ht="18.75"/>
    <row r="50" spans="2:52" ht="18.75"/>
    <row r="51" spans="2:52" ht="18.75"/>
    <row r="52" spans="2:52" ht="18.75">
      <c r="B52" s="359" t="s">
        <v>783</v>
      </c>
    </row>
    <row r="53" spans="2:52" ht="18.75">
      <c r="B53" s="804" t="s">
        <v>782</v>
      </c>
      <c r="C53" s="805"/>
      <c r="D53" s="805"/>
      <c r="E53" s="805"/>
      <c r="F53" s="805"/>
      <c r="G53" s="805"/>
      <c r="H53" s="805"/>
      <c r="I53" s="805"/>
      <c r="J53" s="805"/>
      <c r="K53" s="806"/>
      <c r="L53" s="807" t="str">
        <f>IF(入力シート!L22&gt;0,入力シート!L22,"入力無し")</f>
        <v>入力無し</v>
      </c>
      <c r="M53" s="807"/>
      <c r="N53" s="807"/>
      <c r="O53" s="807"/>
      <c r="P53" s="807"/>
      <c r="Q53" s="807"/>
      <c r="R53" s="807"/>
      <c r="S53" s="807"/>
      <c r="T53" s="808" t="s">
        <v>197</v>
      </c>
      <c r="U53" s="808"/>
      <c r="V53" s="376"/>
      <c r="W53" s="809" t="s">
        <v>804</v>
      </c>
      <c r="X53" s="809"/>
      <c r="Y53" s="809"/>
      <c r="Z53" s="809"/>
      <c r="AA53" s="809"/>
      <c r="AB53" s="809"/>
      <c r="AC53" s="809"/>
      <c r="AD53" s="809"/>
      <c r="AE53" s="809"/>
      <c r="AF53" s="809"/>
      <c r="AG53" s="810">
        <f>入力シート!T51</f>
        <v>0</v>
      </c>
      <c r="AH53" s="807"/>
      <c r="AI53" s="807"/>
      <c r="AJ53" s="807"/>
      <c r="AK53" s="807"/>
      <c r="AL53" s="807"/>
      <c r="AM53" s="807"/>
      <c r="AN53" s="807"/>
      <c r="AO53" s="811" t="s">
        <v>806</v>
      </c>
      <c r="AP53" s="811"/>
      <c r="AR53" s="237"/>
      <c r="AS53" s="237"/>
      <c r="AT53" s="237"/>
      <c r="AU53" s="237"/>
      <c r="AV53" s="581"/>
      <c r="AW53" s="581"/>
      <c r="AX53" s="581"/>
      <c r="AZ53" s="280"/>
    </row>
    <row r="54" spans="2:52" ht="18.75">
      <c r="B54" s="804" t="s">
        <v>820</v>
      </c>
      <c r="C54" s="805"/>
      <c r="D54" s="805"/>
      <c r="E54" s="805"/>
      <c r="F54" s="805"/>
      <c r="G54" s="805"/>
      <c r="H54" s="805"/>
      <c r="I54" s="805"/>
      <c r="J54" s="805"/>
      <c r="K54" s="806"/>
      <c r="L54" s="812" t="str">
        <f>IFERROR(IF(入力シート!K37=0,入力シート!E37,入力シート!K37*100),"入力無し")</f>
        <v>入力無し</v>
      </c>
      <c r="M54" s="812"/>
      <c r="N54" s="812"/>
      <c r="O54" s="812"/>
      <c r="P54" s="812"/>
      <c r="Q54" s="812"/>
      <c r="R54" s="812"/>
      <c r="S54" s="812"/>
      <c r="T54" s="808" t="s">
        <v>805</v>
      </c>
      <c r="U54" s="808"/>
      <c r="V54" s="376"/>
      <c r="W54" s="813" t="s">
        <v>980</v>
      </c>
      <c r="X54" s="813"/>
      <c r="Y54" s="813"/>
      <c r="Z54" s="813"/>
      <c r="AA54" s="813"/>
      <c r="AB54" s="813"/>
      <c r="AC54" s="813"/>
      <c r="AD54" s="813"/>
      <c r="AE54" s="813"/>
      <c r="AF54" s="813"/>
      <c r="AG54" s="814">
        <f>IFERROR(AG53/L53/365*1000,0)</f>
        <v>0</v>
      </c>
      <c r="AH54" s="814"/>
      <c r="AI54" s="814"/>
      <c r="AJ54" s="814"/>
      <c r="AK54" s="814"/>
      <c r="AL54" s="814"/>
      <c r="AM54" s="814"/>
      <c r="AN54" s="814"/>
      <c r="AO54" s="808" t="s">
        <v>621</v>
      </c>
      <c r="AP54" s="808"/>
      <c r="AR54" s="237"/>
      <c r="AS54" s="237"/>
      <c r="AT54" s="581"/>
      <c r="AU54" s="581"/>
      <c r="AV54" s="581"/>
      <c r="AW54" s="581"/>
      <c r="AX54" s="581"/>
      <c r="AZ54" s="280"/>
    </row>
    <row r="55" spans="2:52" ht="18.75">
      <c r="B55" s="804" t="s">
        <v>784</v>
      </c>
      <c r="C55" s="805"/>
      <c r="D55" s="805"/>
      <c r="E55" s="805"/>
      <c r="F55" s="805"/>
      <c r="G55" s="805"/>
      <c r="H55" s="805"/>
      <c r="I55" s="805"/>
      <c r="J55" s="805"/>
      <c r="K55" s="806"/>
      <c r="L55" s="815" t="str">
        <f>IF(入力シート!K45="-",入力シート!E45,入力シート!K45)</f>
        <v/>
      </c>
      <c r="M55" s="815"/>
      <c r="N55" s="815"/>
      <c r="O55" s="815"/>
      <c r="P55" s="815"/>
      <c r="Q55" s="815"/>
      <c r="R55" s="815"/>
      <c r="S55" s="815"/>
      <c r="T55" s="816"/>
      <c r="U55" s="817"/>
      <c r="AO55" s="237"/>
      <c r="AP55" s="237"/>
      <c r="AQ55" s="237"/>
      <c r="AR55" s="237"/>
      <c r="AS55" s="237"/>
      <c r="AT55" s="237"/>
      <c r="AU55" s="237"/>
      <c r="AW55" s="280"/>
    </row>
    <row r="56" spans="2:52" ht="18.75"/>
    <row r="57" spans="2:52" ht="18.75">
      <c r="B57" s="740" t="s">
        <v>807</v>
      </c>
      <c r="C57" s="740"/>
      <c r="D57" s="740"/>
      <c r="E57" s="740"/>
      <c r="F57" s="740"/>
      <c r="G57" s="740"/>
      <c r="H57" s="740"/>
      <c r="I57" s="740"/>
      <c r="J57" s="740"/>
      <c r="K57" s="740"/>
      <c r="L57" s="740"/>
      <c r="M57" s="740"/>
      <c r="N57" s="740"/>
      <c r="O57" s="740"/>
      <c r="P57" s="740"/>
      <c r="Q57" s="740"/>
      <c r="R57" s="740"/>
      <c r="S57" s="740"/>
      <c r="T57" s="740"/>
      <c r="U57" s="740"/>
      <c r="V57" s="740"/>
      <c r="W57" s="740"/>
      <c r="X57" s="740"/>
      <c r="Y57" s="740"/>
      <c r="Z57" s="740"/>
      <c r="AA57" s="740"/>
      <c r="AB57" s="740"/>
      <c r="AC57" s="740"/>
      <c r="AD57" s="740"/>
      <c r="AE57" s="740"/>
      <c r="AF57" s="740"/>
      <c r="AG57" s="740"/>
      <c r="AH57" s="740"/>
      <c r="AI57" s="740"/>
      <c r="AJ57" s="740"/>
      <c r="AK57" s="740"/>
      <c r="AL57" s="740"/>
      <c r="AM57" s="740"/>
      <c r="AN57" s="740"/>
      <c r="AO57" s="740"/>
      <c r="AP57" s="740"/>
      <c r="AQ57" s="740"/>
      <c r="AR57" s="740"/>
      <c r="AS57" s="740"/>
      <c r="AT57" s="740"/>
    </row>
    <row r="58" spans="2:52" ht="18.75">
      <c r="B58" s="740" t="s">
        <v>973</v>
      </c>
      <c r="C58" s="740"/>
      <c r="D58" s="740"/>
      <c r="E58" s="740"/>
      <c r="F58" s="740"/>
      <c r="G58" s="740"/>
      <c r="H58" s="740"/>
      <c r="I58" s="740"/>
      <c r="J58" s="740"/>
      <c r="K58" s="740"/>
      <c r="L58" s="740"/>
      <c r="M58" s="740"/>
      <c r="N58" s="739" t="str">
        <f>IF('加算項目（A病棟）'!I5="有","〇","")</f>
        <v/>
      </c>
      <c r="O58" s="739"/>
      <c r="P58" s="739"/>
      <c r="Q58" s="741" t="s">
        <v>974</v>
      </c>
      <c r="R58" s="740"/>
      <c r="S58" s="740"/>
      <c r="T58" s="740"/>
      <c r="U58" s="740"/>
      <c r="V58" s="740"/>
      <c r="W58" s="740"/>
      <c r="X58" s="740"/>
      <c r="Y58" s="740"/>
      <c r="Z58" s="740"/>
      <c r="AA58" s="740"/>
      <c r="AB58" s="740"/>
      <c r="AC58" s="739" t="str">
        <f>IF('加算項目（A病棟）'!I6="有","〇","")</f>
        <v/>
      </c>
      <c r="AD58" s="739"/>
      <c r="AE58" s="739"/>
      <c r="AF58" s="741" t="s">
        <v>975</v>
      </c>
      <c r="AG58" s="740"/>
      <c r="AH58" s="740"/>
      <c r="AI58" s="740"/>
      <c r="AJ58" s="740"/>
      <c r="AK58" s="740"/>
      <c r="AL58" s="740"/>
      <c r="AM58" s="740"/>
      <c r="AN58" s="740"/>
      <c r="AO58" s="740"/>
      <c r="AP58" s="740"/>
      <c r="AQ58" s="740"/>
      <c r="AR58" s="818" t="str">
        <f>IF('加算項目（A病棟）'!I7="有","〇","")</f>
        <v/>
      </c>
      <c r="AS58" s="819"/>
      <c r="AT58" s="820"/>
    </row>
    <row r="59" spans="2:52" ht="18.75">
      <c r="B59" s="741" t="s">
        <v>976</v>
      </c>
      <c r="C59" s="740"/>
      <c r="D59" s="740"/>
      <c r="E59" s="740"/>
      <c r="F59" s="740"/>
      <c r="G59" s="740"/>
      <c r="H59" s="740"/>
      <c r="I59" s="740"/>
      <c r="J59" s="740"/>
      <c r="K59" s="740"/>
      <c r="L59" s="740"/>
      <c r="M59" s="740"/>
      <c r="N59" s="739" t="str">
        <f>IF('加算項目（A病棟）'!I8="有","〇","")</f>
        <v/>
      </c>
      <c r="O59" s="739"/>
      <c r="P59" s="739"/>
      <c r="Q59" s="741" t="s">
        <v>785</v>
      </c>
      <c r="R59" s="740"/>
      <c r="S59" s="740"/>
      <c r="T59" s="740"/>
      <c r="U59" s="740"/>
      <c r="V59" s="740"/>
      <c r="W59" s="740"/>
      <c r="X59" s="740"/>
      <c r="Y59" s="740"/>
      <c r="Z59" s="740"/>
      <c r="AA59" s="740"/>
      <c r="AB59" s="740"/>
      <c r="AC59" s="739" t="str">
        <f>IF('加算項目（A病棟）'!I9="有","〇","")</f>
        <v/>
      </c>
      <c r="AD59" s="739"/>
      <c r="AE59" s="739"/>
      <c r="AF59" s="741" t="s">
        <v>809</v>
      </c>
      <c r="AG59" s="740"/>
      <c r="AH59" s="740"/>
      <c r="AI59" s="740"/>
      <c r="AJ59" s="740"/>
      <c r="AK59" s="740"/>
      <c r="AL59" s="740"/>
      <c r="AM59" s="740"/>
      <c r="AN59" s="740"/>
      <c r="AO59" s="740"/>
      <c r="AP59" s="740"/>
      <c r="AQ59" s="740"/>
      <c r="AR59" s="818" t="str">
        <f>IF('加算項目（A病棟）'!I10="有","〇","")</f>
        <v/>
      </c>
      <c r="AS59" s="819"/>
      <c r="AT59" s="820"/>
    </row>
    <row r="60" spans="2:52" ht="18.75">
      <c r="B60" s="741" t="s">
        <v>156</v>
      </c>
      <c r="C60" s="741"/>
      <c r="D60" s="741"/>
      <c r="E60" s="741"/>
      <c r="F60" s="741"/>
      <c r="G60" s="741"/>
      <c r="H60" s="741"/>
      <c r="I60" s="741"/>
      <c r="J60" s="741"/>
      <c r="K60" s="741"/>
      <c r="L60" s="741"/>
      <c r="M60" s="741"/>
      <c r="N60" s="818" t="str">
        <f>IF('加算項目（A病棟）'!I11="有","〇","")</f>
        <v/>
      </c>
      <c r="O60" s="819"/>
      <c r="P60" s="820"/>
      <c r="Q60" s="741" t="s">
        <v>810</v>
      </c>
      <c r="R60" s="741"/>
      <c r="S60" s="741"/>
      <c r="T60" s="741"/>
      <c r="U60" s="741"/>
      <c r="V60" s="741"/>
      <c r="W60" s="741"/>
      <c r="X60" s="741"/>
      <c r="Y60" s="741"/>
      <c r="Z60" s="741"/>
      <c r="AA60" s="741"/>
      <c r="AB60" s="741"/>
      <c r="AC60" s="739" t="str">
        <f>IF('加算項目（A病棟）'!I12="有","〇","")</f>
        <v/>
      </c>
      <c r="AD60" s="739"/>
      <c r="AE60" s="739"/>
      <c r="AF60" s="741" t="s">
        <v>140</v>
      </c>
      <c r="AG60" s="741"/>
      <c r="AH60" s="741"/>
      <c r="AI60" s="741"/>
      <c r="AJ60" s="741"/>
      <c r="AK60" s="741"/>
      <c r="AL60" s="741"/>
      <c r="AM60" s="741"/>
      <c r="AN60" s="741"/>
      <c r="AO60" s="741"/>
      <c r="AP60" s="741"/>
      <c r="AQ60" s="741"/>
      <c r="AR60" s="739" t="str">
        <f>IF('加算項目（A病棟）'!I14="有","〇","")</f>
        <v/>
      </c>
      <c r="AS60" s="739"/>
      <c r="AT60" s="739"/>
    </row>
    <row r="61" spans="2:52" ht="18.75">
      <c r="B61" s="741" t="s">
        <v>811</v>
      </c>
      <c r="C61" s="740"/>
      <c r="D61" s="740"/>
      <c r="E61" s="740"/>
      <c r="F61" s="740"/>
      <c r="G61" s="740"/>
      <c r="H61" s="740"/>
      <c r="I61" s="740"/>
      <c r="J61" s="740"/>
      <c r="K61" s="740"/>
      <c r="L61" s="740"/>
      <c r="M61" s="740"/>
      <c r="N61" s="739" t="str">
        <f>IF('加算項目（A病棟）'!I15="有","〇","")</f>
        <v/>
      </c>
      <c r="O61" s="739"/>
      <c r="P61" s="739"/>
      <c r="Q61" s="741" t="s">
        <v>786</v>
      </c>
      <c r="R61" s="741"/>
      <c r="S61" s="741"/>
      <c r="T61" s="741"/>
      <c r="U61" s="741"/>
      <c r="V61" s="741"/>
      <c r="W61" s="741"/>
      <c r="X61" s="741"/>
      <c r="Y61" s="741"/>
      <c r="Z61" s="741"/>
      <c r="AA61" s="741"/>
      <c r="AB61" s="741"/>
      <c r="AC61" s="739" t="str">
        <f>IF('加算項目（A病棟）'!I16="有","〇","")</f>
        <v/>
      </c>
      <c r="AD61" s="739"/>
      <c r="AE61" s="739"/>
      <c r="AF61" s="741" t="s">
        <v>787</v>
      </c>
      <c r="AG61" s="741"/>
      <c r="AH61" s="741"/>
      <c r="AI61" s="741"/>
      <c r="AJ61" s="741"/>
      <c r="AK61" s="741"/>
      <c r="AL61" s="741"/>
      <c r="AM61" s="741"/>
      <c r="AN61" s="741"/>
      <c r="AO61" s="741"/>
      <c r="AP61" s="741"/>
      <c r="AQ61" s="741"/>
      <c r="AR61" s="739" t="str">
        <f>IF('加算項目（A病棟）'!I17="有","〇","")</f>
        <v/>
      </c>
      <c r="AS61" s="739"/>
      <c r="AT61" s="739"/>
    </row>
    <row r="62" spans="2:52" ht="18.75">
      <c r="B62" s="741" t="s">
        <v>788</v>
      </c>
      <c r="C62" s="741"/>
      <c r="D62" s="741"/>
      <c r="E62" s="741"/>
      <c r="F62" s="741"/>
      <c r="G62" s="741"/>
      <c r="H62" s="741"/>
      <c r="I62" s="741"/>
      <c r="J62" s="741"/>
      <c r="K62" s="741"/>
      <c r="L62" s="741"/>
      <c r="M62" s="741"/>
      <c r="N62" s="739" t="str">
        <f>IF('加算項目（A病棟）'!I18="有","〇","")</f>
        <v/>
      </c>
      <c r="O62" s="739"/>
      <c r="P62" s="739"/>
      <c r="Q62" s="741" t="s">
        <v>789</v>
      </c>
      <c r="R62" s="740"/>
      <c r="S62" s="740"/>
      <c r="T62" s="740"/>
      <c r="U62" s="740"/>
      <c r="V62" s="740"/>
      <c r="W62" s="740"/>
      <c r="X62" s="740"/>
      <c r="Y62" s="740"/>
      <c r="Z62" s="740"/>
      <c r="AA62" s="740"/>
      <c r="AB62" s="740"/>
      <c r="AC62" s="739" t="str">
        <f>IF('加算項目（A病棟）'!I19="有","〇","")</f>
        <v/>
      </c>
      <c r="AD62" s="739"/>
      <c r="AE62" s="739"/>
      <c r="AF62" s="741" t="s">
        <v>790</v>
      </c>
      <c r="AG62" s="740"/>
      <c r="AH62" s="740"/>
      <c r="AI62" s="740"/>
      <c r="AJ62" s="740"/>
      <c r="AK62" s="740"/>
      <c r="AL62" s="740"/>
      <c r="AM62" s="740"/>
      <c r="AN62" s="740"/>
      <c r="AO62" s="740"/>
      <c r="AP62" s="740"/>
      <c r="AQ62" s="740"/>
      <c r="AR62" s="739" t="str">
        <f>IF('加算項目（A病棟）'!I20="有","〇","")</f>
        <v/>
      </c>
      <c r="AS62" s="739"/>
      <c r="AT62" s="739"/>
    </row>
    <row r="63" spans="2:52" ht="18.75">
      <c r="B63" s="741" t="s">
        <v>802</v>
      </c>
      <c r="C63" s="740"/>
      <c r="D63" s="740"/>
      <c r="E63" s="740"/>
      <c r="F63" s="740"/>
      <c r="G63" s="740"/>
      <c r="H63" s="740"/>
      <c r="I63" s="740"/>
      <c r="J63" s="740"/>
      <c r="K63" s="740"/>
      <c r="L63" s="740"/>
      <c r="M63" s="740"/>
      <c r="N63" s="739" t="str">
        <f>IF('加算項目（A病棟）'!I21="有","〇","")</f>
        <v/>
      </c>
      <c r="O63" s="739"/>
      <c r="P63" s="739"/>
      <c r="Q63" s="741" t="s">
        <v>1072</v>
      </c>
      <c r="R63" s="740"/>
      <c r="S63" s="740"/>
      <c r="T63" s="740"/>
      <c r="U63" s="740"/>
      <c r="V63" s="740"/>
      <c r="W63" s="740"/>
      <c r="X63" s="740"/>
      <c r="Y63" s="740"/>
      <c r="Z63" s="740"/>
      <c r="AA63" s="740"/>
      <c r="AB63" s="740"/>
      <c r="AC63" s="739" t="str">
        <f>IF('加算項目（A病棟）'!I22="有","〇","")</f>
        <v/>
      </c>
      <c r="AD63" s="739"/>
      <c r="AE63" s="739"/>
      <c r="AF63" s="740" t="s">
        <v>791</v>
      </c>
      <c r="AG63" s="740"/>
      <c r="AH63" s="740"/>
      <c r="AI63" s="740"/>
      <c r="AJ63" s="740"/>
      <c r="AK63" s="740"/>
      <c r="AL63" s="740"/>
      <c r="AM63" s="740"/>
      <c r="AN63" s="740"/>
      <c r="AO63" s="740"/>
      <c r="AP63" s="740"/>
      <c r="AQ63" s="740"/>
      <c r="AR63" s="739" t="str">
        <f>IF('加算項目（A病棟）'!I23="有","〇","")</f>
        <v/>
      </c>
      <c r="AS63" s="739"/>
      <c r="AT63" s="739"/>
    </row>
    <row r="64" spans="2:52" ht="18.75">
      <c r="B64" s="740" t="s">
        <v>792</v>
      </c>
      <c r="C64" s="740"/>
      <c r="D64" s="740"/>
      <c r="E64" s="740"/>
      <c r="F64" s="740"/>
      <c r="G64" s="740"/>
      <c r="H64" s="740"/>
      <c r="I64" s="740"/>
      <c r="J64" s="740"/>
      <c r="K64" s="740"/>
      <c r="L64" s="740"/>
      <c r="M64" s="740"/>
      <c r="N64" s="739" t="str">
        <f>IF('加算項目（A病棟）'!I24="有","〇","")</f>
        <v/>
      </c>
      <c r="O64" s="739"/>
      <c r="P64" s="739"/>
      <c r="Q64" s="741" t="s">
        <v>1074</v>
      </c>
      <c r="R64" s="740"/>
      <c r="S64" s="740"/>
      <c r="T64" s="740"/>
      <c r="U64" s="740"/>
      <c r="V64" s="740"/>
      <c r="W64" s="740"/>
      <c r="X64" s="740"/>
      <c r="Y64" s="740"/>
      <c r="Z64" s="740"/>
      <c r="AA64" s="740"/>
      <c r="AB64" s="740"/>
      <c r="AC64" s="739" t="str">
        <f>IF('加算項目（A病棟）'!I25="有","〇","")</f>
        <v/>
      </c>
      <c r="AD64" s="739"/>
      <c r="AE64" s="739"/>
      <c r="AF64" s="741" t="s">
        <v>1073</v>
      </c>
      <c r="AG64" s="740"/>
      <c r="AH64" s="740"/>
      <c r="AI64" s="740"/>
      <c r="AJ64" s="740"/>
      <c r="AK64" s="740"/>
      <c r="AL64" s="740"/>
      <c r="AM64" s="740"/>
      <c r="AN64" s="740"/>
      <c r="AO64" s="740"/>
      <c r="AP64" s="740"/>
      <c r="AQ64" s="740"/>
      <c r="AR64" s="739" t="str">
        <f>IF('加算項目（A病棟）'!I26="有","〇","")</f>
        <v/>
      </c>
      <c r="AS64" s="739"/>
      <c r="AT64" s="739"/>
    </row>
    <row r="65" spans="2:46" ht="18.75">
      <c r="B65" s="741" t="s">
        <v>1075</v>
      </c>
      <c r="C65" s="740"/>
      <c r="D65" s="740"/>
      <c r="E65" s="740"/>
      <c r="F65" s="740"/>
      <c r="G65" s="740"/>
      <c r="H65" s="740"/>
      <c r="I65" s="740"/>
      <c r="J65" s="740"/>
      <c r="K65" s="740"/>
      <c r="L65" s="740"/>
      <c r="M65" s="740"/>
      <c r="N65" s="739" t="str">
        <f>IF('加算項目（A病棟）'!I27="有","〇","")</f>
        <v/>
      </c>
      <c r="O65" s="739"/>
      <c r="P65" s="739"/>
      <c r="Q65" s="741" t="s">
        <v>793</v>
      </c>
      <c r="R65" s="740"/>
      <c r="S65" s="740"/>
      <c r="T65" s="740"/>
      <c r="U65" s="740"/>
      <c r="V65" s="740"/>
      <c r="W65" s="740"/>
      <c r="X65" s="740"/>
      <c r="Y65" s="740"/>
      <c r="Z65" s="740"/>
      <c r="AA65" s="740"/>
      <c r="AB65" s="740"/>
      <c r="AC65" s="739" t="str">
        <f>IF('加算項目（A病棟）'!I28="有","〇","")</f>
        <v/>
      </c>
      <c r="AD65" s="739"/>
      <c r="AE65" s="739"/>
      <c r="AF65" s="741" t="s">
        <v>794</v>
      </c>
      <c r="AG65" s="740"/>
      <c r="AH65" s="740"/>
      <c r="AI65" s="740"/>
      <c r="AJ65" s="740"/>
      <c r="AK65" s="740"/>
      <c r="AL65" s="740"/>
      <c r="AM65" s="740"/>
      <c r="AN65" s="740"/>
      <c r="AO65" s="740"/>
      <c r="AP65" s="740"/>
      <c r="AQ65" s="740"/>
      <c r="AR65" s="739" t="str">
        <f>IF('加算項目（A病棟）'!I29="有","〇","")</f>
        <v/>
      </c>
      <c r="AS65" s="739"/>
      <c r="AT65" s="739"/>
    </row>
    <row r="66" spans="2:46" ht="18.75">
      <c r="B66" s="741" t="s">
        <v>151</v>
      </c>
      <c r="C66" s="740"/>
      <c r="D66" s="740"/>
      <c r="E66" s="740"/>
      <c r="F66" s="740"/>
      <c r="G66" s="740"/>
      <c r="H66" s="740"/>
      <c r="I66" s="740"/>
      <c r="J66" s="740"/>
      <c r="K66" s="740"/>
      <c r="L66" s="740"/>
      <c r="M66" s="740"/>
      <c r="N66" s="739" t="str">
        <f>IF('加算項目（A病棟）'!I31="有","〇","")</f>
        <v/>
      </c>
      <c r="O66" s="739"/>
      <c r="P66" s="739"/>
      <c r="Q66" s="741" t="s">
        <v>1076</v>
      </c>
      <c r="R66" s="740"/>
      <c r="S66" s="740"/>
      <c r="T66" s="740"/>
      <c r="U66" s="740"/>
      <c r="V66" s="740"/>
      <c r="W66" s="740"/>
      <c r="X66" s="740"/>
      <c r="Y66" s="740"/>
      <c r="Z66" s="740"/>
      <c r="AA66" s="740"/>
      <c r="AB66" s="740"/>
      <c r="AC66" s="739" t="str">
        <f>IF('加算項目（A病棟）'!I32="有","〇","")</f>
        <v/>
      </c>
      <c r="AD66" s="739"/>
      <c r="AE66" s="739"/>
      <c r="AF66" s="741" t="s">
        <v>795</v>
      </c>
      <c r="AG66" s="740"/>
      <c r="AH66" s="740"/>
      <c r="AI66" s="740"/>
      <c r="AJ66" s="740"/>
      <c r="AK66" s="740"/>
      <c r="AL66" s="740"/>
      <c r="AM66" s="740"/>
      <c r="AN66" s="740"/>
      <c r="AO66" s="740"/>
      <c r="AP66" s="740"/>
      <c r="AQ66" s="740"/>
      <c r="AR66" s="739" t="str">
        <f>IF('加算項目（A病棟）'!I33="有","〇","")</f>
        <v/>
      </c>
      <c r="AS66" s="739"/>
      <c r="AT66" s="739"/>
    </row>
    <row r="67" spans="2:46" ht="18.75">
      <c r="B67" s="741" t="s">
        <v>796</v>
      </c>
      <c r="C67" s="740"/>
      <c r="D67" s="740"/>
      <c r="E67" s="740"/>
      <c r="F67" s="740"/>
      <c r="G67" s="740"/>
      <c r="H67" s="740"/>
      <c r="I67" s="740"/>
      <c r="J67" s="740"/>
      <c r="K67" s="740"/>
      <c r="L67" s="740"/>
      <c r="M67" s="740"/>
      <c r="N67" s="739" t="str">
        <f>IF('加算項目（A病棟）'!I34="有","〇","")</f>
        <v/>
      </c>
      <c r="O67" s="739"/>
      <c r="P67" s="739"/>
      <c r="Q67" s="740" t="s">
        <v>797</v>
      </c>
      <c r="R67" s="740"/>
      <c r="S67" s="740"/>
      <c r="T67" s="740"/>
      <c r="U67" s="740"/>
      <c r="V67" s="740"/>
      <c r="W67" s="740"/>
      <c r="X67" s="740"/>
      <c r="Y67" s="740"/>
      <c r="Z67" s="740"/>
      <c r="AA67" s="740"/>
      <c r="AB67" s="740"/>
      <c r="AC67" s="739" t="str">
        <f>IF('加算項目（A病棟）'!I35="有","〇","")</f>
        <v/>
      </c>
      <c r="AD67" s="739"/>
      <c r="AE67" s="739"/>
      <c r="AF67" s="741" t="s">
        <v>803</v>
      </c>
      <c r="AG67" s="740"/>
      <c r="AH67" s="740"/>
      <c r="AI67" s="740"/>
      <c r="AJ67" s="740"/>
      <c r="AK67" s="740"/>
      <c r="AL67" s="740"/>
      <c r="AM67" s="740"/>
      <c r="AN67" s="740"/>
      <c r="AO67" s="740"/>
      <c r="AP67" s="740"/>
      <c r="AQ67" s="740"/>
      <c r="AR67" s="739" t="str">
        <f>IF('加算項目（A病棟）'!I36="有","〇","")</f>
        <v/>
      </c>
      <c r="AS67" s="739"/>
      <c r="AT67" s="739"/>
    </row>
    <row r="68" spans="2:46" ht="18.75">
      <c r="B68" s="740" t="s">
        <v>1077</v>
      </c>
      <c r="C68" s="740"/>
      <c r="D68" s="740"/>
      <c r="E68" s="740"/>
      <c r="F68" s="740"/>
      <c r="G68" s="740"/>
      <c r="H68" s="740"/>
      <c r="I68" s="740"/>
      <c r="J68" s="740"/>
      <c r="K68" s="740"/>
      <c r="L68" s="740"/>
      <c r="M68" s="740"/>
      <c r="N68" s="739" t="str">
        <f>IF('加算項目（A病棟）'!I37="有","〇","")</f>
        <v/>
      </c>
      <c r="O68" s="739"/>
      <c r="P68" s="739"/>
      <c r="Q68" s="740" t="s">
        <v>1078</v>
      </c>
      <c r="R68" s="740"/>
      <c r="S68" s="740"/>
      <c r="T68" s="740"/>
      <c r="U68" s="740"/>
      <c r="V68" s="740"/>
      <c r="W68" s="740"/>
      <c r="X68" s="740"/>
      <c r="Y68" s="740"/>
      <c r="Z68" s="740"/>
      <c r="AA68" s="740"/>
      <c r="AB68" s="740"/>
      <c r="AC68" s="739" t="str">
        <f>IF('加算項目（A病棟）'!I38="有","〇","")</f>
        <v/>
      </c>
      <c r="AD68" s="739"/>
      <c r="AE68" s="739"/>
      <c r="AF68" s="740" t="s">
        <v>1079</v>
      </c>
      <c r="AG68" s="740"/>
      <c r="AH68" s="740"/>
      <c r="AI68" s="740"/>
      <c r="AJ68" s="740"/>
      <c r="AK68" s="740"/>
      <c r="AL68" s="740"/>
      <c r="AM68" s="740"/>
      <c r="AN68" s="740"/>
      <c r="AO68" s="740"/>
      <c r="AP68" s="740"/>
      <c r="AQ68" s="740"/>
      <c r="AR68" s="739" t="str">
        <f>IF('加算項目（A病棟）'!I39="有","〇","")</f>
        <v/>
      </c>
      <c r="AS68" s="739"/>
      <c r="AT68" s="739"/>
    </row>
    <row r="69" spans="2:46" ht="18.75">
      <c r="B69" s="740" t="s">
        <v>1103</v>
      </c>
      <c r="C69" s="740"/>
      <c r="D69" s="740"/>
      <c r="E69" s="740"/>
      <c r="F69" s="740"/>
      <c r="G69" s="740"/>
      <c r="H69" s="740"/>
      <c r="I69" s="740"/>
      <c r="J69" s="740"/>
      <c r="K69" s="740"/>
      <c r="L69" s="740"/>
      <c r="M69" s="740"/>
      <c r="N69" s="739" t="str">
        <f>IF('加算項目（A病棟）'!I40="有","〇","")</f>
        <v/>
      </c>
      <c r="O69" s="739"/>
      <c r="P69" s="739"/>
      <c r="Q69" s="740" t="s">
        <v>1080</v>
      </c>
      <c r="R69" s="740"/>
      <c r="S69" s="740"/>
      <c r="T69" s="740"/>
      <c r="U69" s="740"/>
      <c r="V69" s="740"/>
      <c r="W69" s="740"/>
      <c r="X69" s="740"/>
      <c r="Y69" s="740"/>
      <c r="Z69" s="740"/>
      <c r="AA69" s="740"/>
      <c r="AB69" s="740"/>
      <c r="AC69" s="739" t="str">
        <f>IF('加算項目（A病棟）'!I41="有","〇","")</f>
        <v/>
      </c>
      <c r="AD69" s="739"/>
      <c r="AE69" s="739"/>
      <c r="AF69" s="740" t="s">
        <v>1081</v>
      </c>
      <c r="AG69" s="740"/>
      <c r="AH69" s="740"/>
      <c r="AI69" s="740"/>
      <c r="AJ69" s="740"/>
      <c r="AK69" s="740"/>
      <c r="AL69" s="740"/>
      <c r="AM69" s="740"/>
      <c r="AN69" s="740"/>
      <c r="AO69" s="740"/>
      <c r="AP69" s="740"/>
      <c r="AQ69" s="740"/>
      <c r="AR69" s="739" t="str">
        <f>IF('加算項目（A病棟）'!I42="有","〇","")</f>
        <v/>
      </c>
      <c r="AS69" s="739"/>
      <c r="AT69" s="739"/>
    </row>
    <row r="70" spans="2:46" ht="18.75">
      <c r="B70" s="740" t="s">
        <v>1082</v>
      </c>
      <c r="C70" s="740"/>
      <c r="D70" s="740"/>
      <c r="E70" s="740"/>
      <c r="F70" s="740"/>
      <c r="G70" s="740"/>
      <c r="H70" s="740"/>
      <c r="I70" s="740"/>
      <c r="J70" s="740"/>
      <c r="K70" s="740"/>
      <c r="L70" s="740"/>
      <c r="M70" s="740"/>
      <c r="N70" s="739" t="str">
        <f>IF('加算項目（A病棟）'!I43="有","〇","")</f>
        <v/>
      </c>
      <c r="O70" s="739"/>
      <c r="P70" s="739"/>
      <c r="Q70" s="740" t="s">
        <v>1083</v>
      </c>
      <c r="R70" s="740"/>
      <c r="S70" s="740"/>
      <c r="T70" s="740"/>
      <c r="U70" s="740"/>
      <c r="V70" s="740"/>
      <c r="W70" s="740"/>
      <c r="X70" s="740"/>
      <c r="Y70" s="740"/>
      <c r="Z70" s="740"/>
      <c r="AA70" s="740"/>
      <c r="AB70" s="740"/>
      <c r="AC70" s="739" t="str">
        <f>IF('加算項目（A病棟）'!I44="有","〇","")</f>
        <v/>
      </c>
      <c r="AD70" s="739"/>
      <c r="AE70" s="739"/>
      <c r="AF70" s="740" t="s">
        <v>1053</v>
      </c>
      <c r="AG70" s="740"/>
      <c r="AH70" s="740"/>
      <c r="AI70" s="740"/>
      <c r="AJ70" s="740"/>
      <c r="AK70" s="740"/>
      <c r="AL70" s="740"/>
      <c r="AM70" s="740"/>
      <c r="AN70" s="740"/>
      <c r="AO70" s="740"/>
      <c r="AP70" s="740"/>
      <c r="AQ70" s="740"/>
      <c r="AR70" s="739" t="str">
        <f>IF('加算項目（A病棟）'!I45="有","〇","")</f>
        <v/>
      </c>
      <c r="AS70" s="739"/>
      <c r="AT70" s="739"/>
    </row>
    <row r="71" spans="2:46" ht="18.75">
      <c r="B71" s="740" t="s">
        <v>1059</v>
      </c>
      <c r="C71" s="740"/>
      <c r="D71" s="740"/>
      <c r="E71" s="740"/>
      <c r="F71" s="740"/>
      <c r="G71" s="740"/>
      <c r="H71" s="740"/>
      <c r="I71" s="740"/>
      <c r="J71" s="740"/>
      <c r="K71" s="740"/>
      <c r="L71" s="740"/>
      <c r="M71" s="740"/>
      <c r="N71" s="739" t="str">
        <f>IF('加算項目（A病棟）'!I46="有","〇","")</f>
        <v/>
      </c>
      <c r="O71" s="739"/>
      <c r="P71" s="739"/>
      <c r="Q71" s="741" t="s">
        <v>798</v>
      </c>
      <c r="R71" s="740"/>
      <c r="S71" s="740"/>
      <c r="T71" s="740"/>
      <c r="U71" s="740"/>
      <c r="V71" s="740"/>
      <c r="W71" s="740"/>
      <c r="X71" s="740"/>
      <c r="Y71" s="740"/>
      <c r="Z71" s="740"/>
      <c r="AA71" s="740"/>
      <c r="AB71" s="740"/>
      <c r="AC71" s="739" t="str">
        <f>IF('加算項目（A病棟）'!I47="有","〇","")</f>
        <v/>
      </c>
      <c r="AD71" s="739"/>
      <c r="AE71" s="739"/>
      <c r="AF71" s="741" t="s">
        <v>799</v>
      </c>
      <c r="AG71" s="740"/>
      <c r="AH71" s="740"/>
      <c r="AI71" s="740"/>
      <c r="AJ71" s="740"/>
      <c r="AK71" s="740"/>
      <c r="AL71" s="740"/>
      <c r="AM71" s="740"/>
      <c r="AN71" s="740"/>
      <c r="AO71" s="740"/>
      <c r="AP71" s="740"/>
      <c r="AQ71" s="740"/>
      <c r="AR71" s="739" t="str">
        <f>IF('加算項目（A病棟）'!I48="有","〇","")</f>
        <v/>
      </c>
      <c r="AS71" s="739"/>
      <c r="AT71" s="739"/>
    </row>
    <row r="72" spans="2:46" ht="18.75">
      <c r="B72" s="741" t="s">
        <v>800</v>
      </c>
      <c r="C72" s="740"/>
      <c r="D72" s="740"/>
      <c r="E72" s="740"/>
      <c r="F72" s="740"/>
      <c r="G72" s="740"/>
      <c r="H72" s="740"/>
      <c r="I72" s="740"/>
      <c r="J72" s="740"/>
      <c r="K72" s="740"/>
      <c r="L72" s="740"/>
      <c r="M72" s="740"/>
      <c r="N72" s="739" t="str">
        <f>IF('加算項目（A病棟）'!I49="有","〇","")</f>
        <v>〇</v>
      </c>
      <c r="O72" s="739"/>
      <c r="P72" s="739"/>
      <c r="Q72" s="741" t="s">
        <v>801</v>
      </c>
      <c r="R72" s="740"/>
      <c r="S72" s="740"/>
      <c r="T72" s="740"/>
      <c r="U72" s="740"/>
      <c r="V72" s="740"/>
      <c r="W72" s="740"/>
      <c r="X72" s="740"/>
      <c r="Y72" s="740"/>
      <c r="Z72" s="740"/>
      <c r="AA72" s="740"/>
      <c r="AB72" s="740"/>
      <c r="AC72" s="739" t="str">
        <f>IF('加算項目（A病棟）'!I50="有","〇","")</f>
        <v/>
      </c>
      <c r="AD72" s="739"/>
      <c r="AE72" s="739"/>
      <c r="AF72" s="741" t="s">
        <v>863</v>
      </c>
      <c r="AG72" s="740"/>
      <c r="AH72" s="740"/>
      <c r="AI72" s="740"/>
      <c r="AJ72" s="740"/>
      <c r="AK72" s="740"/>
      <c r="AL72" s="740"/>
      <c r="AM72" s="740"/>
      <c r="AN72" s="740"/>
      <c r="AO72" s="740"/>
      <c r="AP72" s="740"/>
      <c r="AQ72" s="740"/>
      <c r="AR72" s="739" t="str">
        <f>IF('加算項目（A病棟）'!I51="有","〇","")</f>
        <v/>
      </c>
      <c r="AS72" s="739"/>
      <c r="AT72" s="739"/>
    </row>
    <row r="73" spans="2:46" ht="18.75">
      <c r="B73" s="741" t="s">
        <v>1102</v>
      </c>
      <c r="C73" s="740"/>
      <c r="D73" s="740"/>
      <c r="E73" s="740"/>
      <c r="F73" s="740"/>
      <c r="G73" s="740"/>
      <c r="H73" s="740"/>
      <c r="I73" s="740"/>
      <c r="J73" s="740"/>
      <c r="K73" s="740"/>
      <c r="L73" s="740"/>
      <c r="M73" s="740"/>
      <c r="N73" s="739" t="str">
        <f>IF('加算項目（A病棟）'!I52="有","〇","")</f>
        <v/>
      </c>
      <c r="O73" s="739"/>
      <c r="P73" s="739"/>
      <c r="Q73" s="741" t="s">
        <v>1101</v>
      </c>
      <c r="R73" s="740"/>
      <c r="S73" s="740"/>
      <c r="T73" s="740"/>
      <c r="U73" s="740"/>
      <c r="V73" s="740"/>
      <c r="W73" s="740"/>
      <c r="X73" s="740"/>
      <c r="Y73" s="740"/>
      <c r="Z73" s="740"/>
      <c r="AA73" s="740"/>
      <c r="AB73" s="740"/>
      <c r="AC73" s="739" t="str">
        <f>IF('加算項目（A病棟）'!I53="有","〇","")</f>
        <v/>
      </c>
      <c r="AD73" s="739"/>
      <c r="AE73" s="739"/>
      <c r="AF73" s="741" t="s">
        <v>977</v>
      </c>
      <c r="AG73" s="740"/>
      <c r="AH73" s="740"/>
      <c r="AI73" s="740"/>
      <c r="AJ73" s="740"/>
      <c r="AK73" s="740"/>
      <c r="AL73" s="740"/>
      <c r="AM73" s="740"/>
      <c r="AN73" s="740"/>
      <c r="AO73" s="740"/>
      <c r="AP73" s="740"/>
      <c r="AQ73" s="740"/>
      <c r="AR73" s="739" t="str">
        <f>IF('加算項目（A病棟）'!I54="有","〇","")</f>
        <v/>
      </c>
      <c r="AS73" s="739"/>
      <c r="AT73" s="739"/>
    </row>
    <row r="74" spans="2:46" ht="18.75">
      <c r="B74" s="741" t="s">
        <v>978</v>
      </c>
      <c r="C74" s="740"/>
      <c r="D74" s="740"/>
      <c r="E74" s="740"/>
      <c r="F74" s="740"/>
      <c r="G74" s="740"/>
      <c r="H74" s="740"/>
      <c r="I74" s="740"/>
      <c r="J74" s="740"/>
      <c r="K74" s="740"/>
      <c r="L74" s="740"/>
      <c r="M74" s="740"/>
      <c r="N74" s="818" t="str">
        <f>IF('加算項目（A病棟）'!I55="有","〇","")</f>
        <v/>
      </c>
      <c r="O74" s="819"/>
      <c r="P74" s="820"/>
      <c r="Q74" s="741" t="s">
        <v>1084</v>
      </c>
      <c r="R74" s="740"/>
      <c r="S74" s="740"/>
      <c r="T74" s="740"/>
      <c r="U74" s="740"/>
      <c r="V74" s="740"/>
      <c r="W74" s="740"/>
      <c r="X74" s="740"/>
      <c r="Y74" s="740"/>
      <c r="Z74" s="740"/>
      <c r="AA74" s="740"/>
      <c r="AB74" s="740"/>
      <c r="AC74" s="739" t="str">
        <f>IF('加算項目（A病棟）'!I57="有","〇","")</f>
        <v/>
      </c>
      <c r="AD74" s="739"/>
      <c r="AE74" s="739"/>
      <c r="AF74" s="741" t="s">
        <v>952</v>
      </c>
      <c r="AG74" s="740"/>
      <c r="AH74" s="740"/>
      <c r="AI74" s="740"/>
      <c r="AJ74" s="740"/>
      <c r="AK74" s="740"/>
      <c r="AL74" s="740"/>
      <c r="AM74" s="740"/>
      <c r="AN74" s="740"/>
      <c r="AO74" s="740"/>
      <c r="AP74" s="740"/>
      <c r="AQ74" s="740"/>
      <c r="AR74" s="739" t="str">
        <f>IF('加算項目（A病棟）'!I58="有","〇","")</f>
        <v/>
      </c>
      <c r="AS74" s="739"/>
      <c r="AT74" s="739"/>
    </row>
    <row r="75" spans="2:46" ht="18.75">
      <c r="B75" s="832" t="s">
        <v>950</v>
      </c>
      <c r="C75" s="833"/>
      <c r="D75" s="833"/>
      <c r="E75" s="833"/>
      <c r="F75" s="833"/>
      <c r="G75" s="833"/>
      <c r="H75" s="833"/>
      <c r="I75" s="833"/>
      <c r="J75" s="833"/>
      <c r="K75" s="833"/>
      <c r="L75" s="833"/>
      <c r="M75" s="834"/>
      <c r="N75" s="739" t="str">
        <f>IF('加算項目（A病棟）'!I59="有","〇","")</f>
        <v/>
      </c>
      <c r="O75" s="739"/>
      <c r="P75" s="739"/>
      <c r="Q75" s="832" t="s">
        <v>951</v>
      </c>
      <c r="R75" s="833"/>
      <c r="S75" s="833"/>
      <c r="T75" s="833"/>
      <c r="U75" s="833"/>
      <c r="V75" s="833"/>
      <c r="W75" s="833"/>
      <c r="X75" s="833"/>
      <c r="Y75" s="833"/>
      <c r="Z75" s="833"/>
      <c r="AA75" s="833"/>
      <c r="AB75" s="834"/>
      <c r="AC75" s="739" t="str">
        <f>IF('加算項目（A病棟）'!I60="有","〇","")</f>
        <v/>
      </c>
      <c r="AD75" s="739"/>
      <c r="AE75" s="739"/>
      <c r="AF75" s="832" t="s">
        <v>1100</v>
      </c>
      <c r="AG75" s="833"/>
      <c r="AH75" s="833"/>
      <c r="AI75" s="833"/>
      <c r="AJ75" s="833"/>
      <c r="AK75" s="833"/>
      <c r="AL75" s="833"/>
      <c r="AM75" s="833"/>
      <c r="AN75" s="833"/>
      <c r="AO75" s="833"/>
      <c r="AP75" s="833"/>
      <c r="AQ75" s="834"/>
      <c r="AR75" s="739" t="str">
        <f>IF('加算項目（A病棟）'!I61="有","〇","")</f>
        <v/>
      </c>
      <c r="AS75" s="739"/>
      <c r="AT75" s="739"/>
    </row>
    <row r="76" spans="2:46" ht="18.75"/>
    <row r="77" spans="2:46" ht="18.75">
      <c r="B77" s="740" t="s">
        <v>808</v>
      </c>
      <c r="C77" s="740"/>
      <c r="D77" s="740"/>
      <c r="E77" s="740"/>
      <c r="F77" s="740"/>
      <c r="G77" s="740"/>
      <c r="H77" s="740"/>
      <c r="I77" s="740"/>
      <c r="J77" s="740"/>
      <c r="K77" s="740"/>
      <c r="L77" s="740"/>
      <c r="M77" s="740"/>
      <c r="N77" s="740"/>
      <c r="O77" s="740"/>
      <c r="P77" s="740"/>
      <c r="Q77" s="740"/>
      <c r="R77" s="740"/>
      <c r="S77" s="740"/>
      <c r="T77" s="740"/>
      <c r="U77" s="740"/>
      <c r="V77" s="740"/>
      <c r="W77" s="740"/>
      <c r="X77" s="740"/>
      <c r="Y77" s="740"/>
      <c r="Z77" s="740"/>
      <c r="AA77" s="740"/>
      <c r="AB77" s="740"/>
      <c r="AC77" s="740"/>
      <c r="AD77" s="740"/>
      <c r="AE77" s="740"/>
      <c r="AF77" s="740"/>
      <c r="AG77" s="740"/>
      <c r="AH77" s="740"/>
      <c r="AI77" s="740"/>
      <c r="AJ77" s="740"/>
      <c r="AK77" s="740"/>
      <c r="AL77" s="740"/>
      <c r="AM77" s="740"/>
      <c r="AN77" s="740"/>
      <c r="AO77" s="740"/>
      <c r="AP77" s="740"/>
      <c r="AQ77" s="740"/>
      <c r="AR77" s="740"/>
      <c r="AS77" s="740"/>
      <c r="AT77" s="740"/>
    </row>
    <row r="78" spans="2:46" ht="18.75">
      <c r="B78" s="740" t="s">
        <v>812</v>
      </c>
      <c r="C78" s="740"/>
      <c r="D78" s="740"/>
      <c r="E78" s="740"/>
      <c r="F78" s="740"/>
      <c r="G78" s="740"/>
      <c r="H78" s="740"/>
      <c r="I78" s="740"/>
      <c r="J78" s="740"/>
      <c r="K78" s="740"/>
      <c r="L78" s="740"/>
      <c r="M78" s="740"/>
      <c r="N78" s="739" t="str">
        <f>IF('加算項目（A病棟）'!I69="有","〇","")</f>
        <v/>
      </c>
      <c r="O78" s="739"/>
      <c r="P78" s="739"/>
      <c r="Q78" s="741" t="s">
        <v>1085</v>
      </c>
      <c r="R78" s="740"/>
      <c r="S78" s="740"/>
      <c r="T78" s="740"/>
      <c r="U78" s="740"/>
      <c r="V78" s="740"/>
      <c r="W78" s="740"/>
      <c r="X78" s="740"/>
      <c r="Y78" s="740"/>
      <c r="Z78" s="740"/>
      <c r="AA78" s="740"/>
      <c r="AB78" s="740"/>
      <c r="AC78" s="739" t="str">
        <f>IF('加算項目（A病棟）'!I70="有","〇","")</f>
        <v/>
      </c>
      <c r="AD78" s="739"/>
      <c r="AE78" s="739"/>
      <c r="AF78" s="741" t="s">
        <v>1086</v>
      </c>
      <c r="AG78" s="740"/>
      <c r="AH78" s="740"/>
      <c r="AI78" s="740"/>
      <c r="AJ78" s="740"/>
      <c r="AK78" s="740"/>
      <c r="AL78" s="740"/>
      <c r="AM78" s="740"/>
      <c r="AN78" s="740"/>
      <c r="AO78" s="740"/>
      <c r="AP78" s="740"/>
      <c r="AQ78" s="740"/>
      <c r="AR78" s="739" t="str">
        <f>IF('加算項目（A病棟）'!I71="有","〇","")</f>
        <v/>
      </c>
      <c r="AS78" s="739"/>
      <c r="AT78" s="739"/>
    </row>
    <row r="79" spans="2:46" ht="18.75">
      <c r="B79" s="741" t="s">
        <v>168</v>
      </c>
      <c r="C79" s="740"/>
      <c r="D79" s="740"/>
      <c r="E79" s="740"/>
      <c r="F79" s="740"/>
      <c r="G79" s="740"/>
      <c r="H79" s="740"/>
      <c r="I79" s="740"/>
      <c r="J79" s="740"/>
      <c r="K79" s="740"/>
      <c r="L79" s="740"/>
      <c r="M79" s="740"/>
      <c r="N79" s="739" t="str">
        <f>IF('加算項目（A病棟）'!I72="有","〇","")</f>
        <v/>
      </c>
      <c r="O79" s="739"/>
      <c r="P79" s="739"/>
      <c r="Q79" s="741" t="s">
        <v>169</v>
      </c>
      <c r="R79" s="740"/>
      <c r="S79" s="740"/>
      <c r="T79" s="740"/>
      <c r="U79" s="740"/>
      <c r="V79" s="740"/>
      <c r="W79" s="740"/>
      <c r="X79" s="740"/>
      <c r="Y79" s="740"/>
      <c r="Z79" s="740"/>
      <c r="AA79" s="740"/>
      <c r="AB79" s="740"/>
      <c r="AC79" s="739" t="str">
        <f>IF('加算項目（A病棟）'!I73="有","〇","")</f>
        <v/>
      </c>
      <c r="AD79" s="739"/>
      <c r="AE79" s="739"/>
      <c r="AF79" s="741" t="s">
        <v>170</v>
      </c>
      <c r="AG79" s="740"/>
      <c r="AH79" s="740"/>
      <c r="AI79" s="740"/>
      <c r="AJ79" s="740"/>
      <c r="AK79" s="740"/>
      <c r="AL79" s="740"/>
      <c r="AM79" s="740"/>
      <c r="AN79" s="740"/>
      <c r="AO79" s="740"/>
      <c r="AP79" s="740"/>
      <c r="AQ79" s="740"/>
      <c r="AR79" s="739" t="str">
        <f>IF('加算項目（A病棟）'!I74="有","〇","")</f>
        <v/>
      </c>
      <c r="AS79" s="739"/>
      <c r="AT79" s="739"/>
    </row>
    <row r="80" spans="2:46" ht="18.75">
      <c r="B80" s="741" t="s">
        <v>813</v>
      </c>
      <c r="C80" s="740"/>
      <c r="D80" s="740"/>
      <c r="E80" s="740"/>
      <c r="F80" s="740"/>
      <c r="G80" s="740"/>
      <c r="H80" s="740"/>
      <c r="I80" s="740"/>
      <c r="J80" s="740"/>
      <c r="K80" s="740"/>
      <c r="L80" s="740"/>
      <c r="M80" s="740"/>
      <c r="N80" s="739" t="str">
        <f>IF('加算項目（A病棟）'!I77="有","〇","")</f>
        <v/>
      </c>
      <c r="O80" s="739"/>
      <c r="P80" s="739"/>
      <c r="Q80" s="741" t="s">
        <v>191</v>
      </c>
      <c r="R80" s="740"/>
      <c r="S80" s="740"/>
      <c r="T80" s="740"/>
      <c r="U80" s="740"/>
      <c r="V80" s="740"/>
      <c r="W80" s="740"/>
      <c r="X80" s="740"/>
      <c r="Y80" s="740"/>
      <c r="Z80" s="740"/>
      <c r="AA80" s="740"/>
      <c r="AB80" s="740"/>
      <c r="AC80" s="739" t="str">
        <f>IF('加算項目（A病棟）'!I78="有","〇","")</f>
        <v/>
      </c>
      <c r="AD80" s="739"/>
      <c r="AE80" s="739"/>
      <c r="AF80" s="741" t="s">
        <v>1087</v>
      </c>
      <c r="AG80" s="740"/>
      <c r="AH80" s="740"/>
      <c r="AI80" s="740"/>
      <c r="AJ80" s="740"/>
      <c r="AK80" s="740"/>
      <c r="AL80" s="740"/>
      <c r="AM80" s="740"/>
      <c r="AN80" s="740"/>
      <c r="AO80" s="740"/>
      <c r="AP80" s="740"/>
      <c r="AQ80" s="740"/>
      <c r="AR80" s="739" t="str">
        <f>IF('加算項目（A病棟）'!I79="有","〇","")</f>
        <v/>
      </c>
      <c r="AS80" s="739"/>
      <c r="AT80" s="739"/>
    </row>
    <row r="81" spans="2:47" ht="18.75">
      <c r="B81" s="741" t="s">
        <v>979</v>
      </c>
      <c r="C81" s="740"/>
      <c r="D81" s="740"/>
      <c r="E81" s="740"/>
      <c r="F81" s="740"/>
      <c r="G81" s="740"/>
      <c r="H81" s="740"/>
      <c r="I81" s="740"/>
      <c r="J81" s="740"/>
      <c r="K81" s="740"/>
      <c r="L81" s="740"/>
      <c r="M81" s="740"/>
      <c r="N81" s="739" t="str">
        <f>IF('加算項目（A病棟）'!I80="有","〇","")</f>
        <v/>
      </c>
      <c r="O81" s="739"/>
      <c r="P81" s="739"/>
      <c r="Q81" s="741" t="s">
        <v>174</v>
      </c>
      <c r="R81" s="740"/>
      <c r="S81" s="740"/>
      <c r="T81" s="740"/>
      <c r="U81" s="740"/>
      <c r="V81" s="740"/>
      <c r="W81" s="740"/>
      <c r="X81" s="740"/>
      <c r="Y81" s="740"/>
      <c r="Z81" s="740"/>
      <c r="AA81" s="740"/>
      <c r="AB81" s="740"/>
      <c r="AC81" s="739" t="str">
        <f>IF('加算項目（A病棟）'!I81="有","〇","")</f>
        <v/>
      </c>
      <c r="AD81" s="739"/>
      <c r="AE81" s="739"/>
      <c r="AF81" s="741" t="s">
        <v>175</v>
      </c>
      <c r="AG81" s="740"/>
      <c r="AH81" s="740"/>
      <c r="AI81" s="740"/>
      <c r="AJ81" s="740"/>
      <c r="AK81" s="740"/>
      <c r="AL81" s="740"/>
      <c r="AM81" s="740"/>
      <c r="AN81" s="740"/>
      <c r="AO81" s="740"/>
      <c r="AP81" s="740"/>
      <c r="AQ81" s="740"/>
      <c r="AR81" s="739" t="str">
        <f>IF('加算項目（A病棟）'!I82="有","〇","")</f>
        <v/>
      </c>
      <c r="AS81" s="739"/>
      <c r="AT81" s="739"/>
    </row>
    <row r="82" spans="2:47" ht="18.75">
      <c r="B82" s="741" t="s">
        <v>178</v>
      </c>
      <c r="C82" s="740"/>
      <c r="D82" s="740"/>
      <c r="E82" s="740"/>
      <c r="F82" s="740"/>
      <c r="G82" s="740"/>
      <c r="H82" s="740"/>
      <c r="I82" s="740"/>
      <c r="J82" s="740"/>
      <c r="K82" s="740"/>
      <c r="L82" s="740"/>
      <c r="M82" s="740"/>
      <c r="N82" s="739" t="str">
        <f>IF('加算項目（A病棟）'!I83="有","〇","")</f>
        <v/>
      </c>
      <c r="O82" s="739"/>
      <c r="P82" s="739"/>
      <c r="Q82" s="741" t="s">
        <v>982</v>
      </c>
      <c r="R82" s="740"/>
      <c r="S82" s="740"/>
      <c r="T82" s="740"/>
      <c r="U82" s="740"/>
      <c r="V82" s="740"/>
      <c r="W82" s="740"/>
      <c r="X82" s="740"/>
      <c r="Y82" s="740"/>
      <c r="Z82" s="740"/>
      <c r="AA82" s="740"/>
      <c r="AB82" s="740"/>
      <c r="AC82" s="739" t="str">
        <f>IF('加算項目（A病棟）'!I84="有","〇","")</f>
        <v/>
      </c>
      <c r="AD82" s="739"/>
      <c r="AE82" s="739"/>
      <c r="AF82" s="741" t="s">
        <v>983</v>
      </c>
      <c r="AG82" s="740"/>
      <c r="AH82" s="740"/>
      <c r="AI82" s="740"/>
      <c r="AJ82" s="740"/>
      <c r="AK82" s="740"/>
      <c r="AL82" s="740"/>
      <c r="AM82" s="740"/>
      <c r="AN82" s="740"/>
      <c r="AO82" s="740"/>
      <c r="AP82" s="740"/>
      <c r="AQ82" s="740"/>
      <c r="AR82" s="739" t="str">
        <f>IF('加算項目（A病棟）'!I85="有","〇","")</f>
        <v/>
      </c>
      <c r="AS82" s="739"/>
      <c r="AT82" s="739"/>
    </row>
    <row r="83" spans="2:47" ht="18.75">
      <c r="B83" s="741" t="s">
        <v>984</v>
      </c>
      <c r="C83" s="740"/>
      <c r="D83" s="740"/>
      <c r="E83" s="740"/>
      <c r="F83" s="740"/>
      <c r="G83" s="740"/>
      <c r="H83" s="740"/>
      <c r="I83" s="740"/>
      <c r="J83" s="740"/>
      <c r="K83" s="740"/>
      <c r="L83" s="740"/>
      <c r="M83" s="740"/>
      <c r="N83" s="739" t="str">
        <f>IF('加算項目（A病棟）'!I86="有","〇","")</f>
        <v/>
      </c>
      <c r="O83" s="739"/>
      <c r="P83" s="739"/>
      <c r="Q83" s="741" t="s">
        <v>985</v>
      </c>
      <c r="R83" s="740"/>
      <c r="S83" s="740"/>
      <c r="T83" s="740"/>
      <c r="U83" s="740"/>
      <c r="V83" s="740"/>
      <c r="W83" s="740"/>
      <c r="X83" s="740"/>
      <c r="Y83" s="740"/>
      <c r="Z83" s="740"/>
      <c r="AA83" s="740"/>
      <c r="AB83" s="740"/>
      <c r="AC83" s="739" t="str">
        <f>IF('加算項目（A病棟）'!I87="有","〇","")</f>
        <v/>
      </c>
      <c r="AD83" s="739"/>
      <c r="AE83" s="739"/>
      <c r="AF83" s="741" t="s">
        <v>986</v>
      </c>
      <c r="AG83" s="740"/>
      <c r="AH83" s="740"/>
      <c r="AI83" s="740"/>
      <c r="AJ83" s="740"/>
      <c r="AK83" s="740"/>
      <c r="AL83" s="740"/>
      <c r="AM83" s="740"/>
      <c r="AN83" s="740"/>
      <c r="AO83" s="740"/>
      <c r="AP83" s="740"/>
      <c r="AQ83" s="740"/>
      <c r="AR83" s="739" t="str">
        <f>IF('加算項目（A病棟）'!I88="有","〇","")</f>
        <v/>
      </c>
      <c r="AS83" s="739"/>
      <c r="AT83" s="739"/>
    </row>
    <row r="84" spans="2:47" ht="18.75">
      <c r="B84" s="741" t="s">
        <v>987</v>
      </c>
      <c r="C84" s="740"/>
      <c r="D84" s="740"/>
      <c r="E84" s="740"/>
      <c r="F84" s="740"/>
      <c r="G84" s="740"/>
      <c r="H84" s="740"/>
      <c r="I84" s="740"/>
      <c r="J84" s="740"/>
      <c r="K84" s="740"/>
      <c r="L84" s="740"/>
      <c r="M84" s="740"/>
      <c r="N84" s="739" t="str">
        <f>IF('加算項目（A病棟）'!I89="有","〇","")</f>
        <v/>
      </c>
      <c r="O84" s="739"/>
      <c r="P84" s="739"/>
      <c r="Q84" s="741" t="s">
        <v>988</v>
      </c>
      <c r="R84" s="740"/>
      <c r="S84" s="740"/>
      <c r="T84" s="740"/>
      <c r="U84" s="740"/>
      <c r="V84" s="740"/>
      <c r="W84" s="740"/>
      <c r="X84" s="740"/>
      <c r="Y84" s="740"/>
      <c r="Z84" s="740"/>
      <c r="AA84" s="740"/>
      <c r="AB84" s="740"/>
      <c r="AC84" s="739" t="str">
        <f>IF('加算項目（A病棟）'!I90="有","〇","")</f>
        <v/>
      </c>
      <c r="AD84" s="739"/>
      <c r="AE84" s="739"/>
      <c r="AF84" s="741" t="s">
        <v>988</v>
      </c>
      <c r="AG84" s="740"/>
      <c r="AH84" s="740"/>
      <c r="AI84" s="740"/>
      <c r="AJ84" s="740"/>
      <c r="AK84" s="740"/>
      <c r="AL84" s="740"/>
      <c r="AM84" s="740"/>
      <c r="AN84" s="740"/>
      <c r="AO84" s="740"/>
      <c r="AP84" s="740"/>
      <c r="AQ84" s="740"/>
      <c r="AR84" s="739" t="str">
        <f>IF('加算項目（A病棟）'!I91="有","〇","")</f>
        <v/>
      </c>
      <c r="AS84" s="739"/>
      <c r="AT84" s="739"/>
    </row>
    <row r="85" spans="2:47" ht="18.75">
      <c r="B85" s="740" t="s">
        <v>184</v>
      </c>
      <c r="C85" s="740"/>
      <c r="D85" s="740"/>
      <c r="E85" s="740"/>
      <c r="F85" s="740"/>
      <c r="G85" s="740"/>
      <c r="H85" s="740"/>
      <c r="I85" s="740"/>
      <c r="J85" s="740"/>
      <c r="K85" s="740"/>
      <c r="L85" s="740"/>
      <c r="M85" s="740"/>
      <c r="N85" s="739" t="str">
        <f>IF('加算項目（A病棟）'!I92="有","〇","")</f>
        <v/>
      </c>
      <c r="O85" s="739"/>
      <c r="P85" s="739"/>
      <c r="Q85" s="740" t="s">
        <v>989</v>
      </c>
      <c r="R85" s="740"/>
      <c r="S85" s="740"/>
      <c r="T85" s="740"/>
      <c r="U85" s="740"/>
      <c r="V85" s="740"/>
      <c r="W85" s="740"/>
      <c r="X85" s="740"/>
      <c r="Y85" s="740"/>
      <c r="Z85" s="740"/>
      <c r="AA85" s="740"/>
      <c r="AB85" s="740"/>
      <c r="AC85" s="739" t="str">
        <f>IF('加算項目（A病棟）'!I93="有","〇","")</f>
        <v/>
      </c>
      <c r="AD85" s="739"/>
      <c r="AE85" s="739"/>
      <c r="AF85" s="740" t="s">
        <v>185</v>
      </c>
      <c r="AG85" s="740"/>
      <c r="AH85" s="740"/>
      <c r="AI85" s="740"/>
      <c r="AJ85" s="740"/>
      <c r="AK85" s="740"/>
      <c r="AL85" s="740"/>
      <c r="AM85" s="740"/>
      <c r="AN85" s="740"/>
      <c r="AO85" s="740"/>
      <c r="AP85" s="740"/>
      <c r="AQ85" s="740"/>
      <c r="AR85" s="739" t="str">
        <f>IF('加算項目（A病棟）'!I94="有","〇","")</f>
        <v/>
      </c>
      <c r="AS85" s="739"/>
      <c r="AT85" s="739"/>
    </row>
    <row r="86" spans="2:47" ht="18.75">
      <c r="B86" s="741" t="s">
        <v>186</v>
      </c>
      <c r="C86" s="740"/>
      <c r="D86" s="740"/>
      <c r="E86" s="740"/>
      <c r="F86" s="740"/>
      <c r="G86" s="740"/>
      <c r="H86" s="740"/>
      <c r="I86" s="740"/>
      <c r="J86" s="740"/>
      <c r="K86" s="740"/>
      <c r="L86" s="740"/>
      <c r="M86" s="740"/>
      <c r="N86" s="739" t="str">
        <f>IF('加算項目（A病棟）'!I95="有","〇","")</f>
        <v/>
      </c>
      <c r="O86" s="739"/>
      <c r="P86" s="739"/>
      <c r="Q86" s="740" t="s">
        <v>187</v>
      </c>
      <c r="R86" s="740"/>
      <c r="S86" s="740"/>
      <c r="T86" s="740"/>
      <c r="U86" s="740"/>
      <c r="V86" s="740"/>
      <c r="W86" s="740"/>
      <c r="X86" s="740"/>
      <c r="Y86" s="740"/>
      <c r="Z86" s="740"/>
      <c r="AA86" s="740"/>
      <c r="AB86" s="740"/>
      <c r="AC86" s="739" t="str">
        <f>IF('加算項目（A病棟）'!I96="有","〇","")</f>
        <v/>
      </c>
      <c r="AD86" s="739"/>
      <c r="AE86" s="739"/>
      <c r="AF86" s="740" t="s">
        <v>188</v>
      </c>
      <c r="AG86" s="740"/>
      <c r="AH86" s="740"/>
      <c r="AI86" s="740"/>
      <c r="AJ86" s="740"/>
      <c r="AK86" s="740"/>
      <c r="AL86" s="740"/>
      <c r="AM86" s="740"/>
      <c r="AN86" s="740"/>
      <c r="AO86" s="740"/>
      <c r="AP86" s="740"/>
      <c r="AQ86" s="740"/>
      <c r="AR86" s="739" t="str">
        <f>IF('加算項目（A病棟）'!I97="有","〇","")</f>
        <v/>
      </c>
      <c r="AS86" s="739"/>
      <c r="AT86" s="739"/>
    </row>
    <row r="87" spans="2:47" ht="18.75">
      <c r="B87" s="740" t="s">
        <v>1088</v>
      </c>
      <c r="C87" s="740"/>
      <c r="D87" s="740"/>
      <c r="E87" s="740"/>
      <c r="F87" s="740"/>
      <c r="G87" s="740"/>
      <c r="H87" s="740"/>
      <c r="I87" s="740"/>
      <c r="J87" s="740"/>
      <c r="K87" s="740"/>
      <c r="L87" s="740"/>
      <c r="M87" s="740"/>
      <c r="N87" s="739" t="str">
        <f>IF('加算項目（A病棟）'!I98="有","〇","")</f>
        <v/>
      </c>
      <c r="O87" s="739"/>
      <c r="P87" s="739"/>
      <c r="Q87" s="741" t="s">
        <v>189</v>
      </c>
      <c r="R87" s="740"/>
      <c r="S87" s="740"/>
      <c r="T87" s="740"/>
      <c r="U87" s="740"/>
      <c r="V87" s="740"/>
      <c r="W87" s="740"/>
      <c r="X87" s="740"/>
      <c r="Y87" s="740"/>
      <c r="Z87" s="740"/>
      <c r="AA87" s="740"/>
      <c r="AB87" s="740"/>
      <c r="AC87" s="739" t="str">
        <f>IF('加算項目（A病棟）'!I99="有","〇","")</f>
        <v/>
      </c>
      <c r="AD87" s="739"/>
      <c r="AE87" s="739"/>
      <c r="AF87" s="740" t="s">
        <v>190</v>
      </c>
      <c r="AG87" s="740"/>
      <c r="AH87" s="740"/>
      <c r="AI87" s="740"/>
      <c r="AJ87" s="740"/>
      <c r="AK87" s="740"/>
      <c r="AL87" s="740"/>
      <c r="AM87" s="740"/>
      <c r="AN87" s="740"/>
      <c r="AO87" s="740"/>
      <c r="AP87" s="740"/>
      <c r="AQ87" s="740"/>
      <c r="AR87" s="739" t="str">
        <f>IF('加算項目（A病棟）'!I100="有","〇","")</f>
        <v/>
      </c>
      <c r="AS87" s="739"/>
      <c r="AT87" s="739"/>
    </row>
    <row r="88" spans="2:47" ht="18.75"/>
    <row r="89" spans="2:47" ht="18.75"/>
    <row r="90" spans="2:47" ht="18.75">
      <c r="B90" s="359" t="s">
        <v>816</v>
      </c>
      <c r="Q90" s="360" t="str">
        <f>IF(L91="入力無し","入力シートに入力がない病棟です","")</f>
        <v>入力シートに入力がない病棟です</v>
      </c>
    </row>
    <row r="91" spans="2:47" ht="18.75">
      <c r="B91" s="804" t="s">
        <v>782</v>
      </c>
      <c r="C91" s="805"/>
      <c r="D91" s="805"/>
      <c r="E91" s="805"/>
      <c r="F91" s="805"/>
      <c r="G91" s="805"/>
      <c r="H91" s="805"/>
      <c r="I91" s="805"/>
      <c r="J91" s="805"/>
      <c r="K91" s="806"/>
      <c r="L91" s="807" t="str">
        <f>IF(入力シート!L23&gt;0,入力シート!L23,"入力無し")</f>
        <v>入力無し</v>
      </c>
      <c r="M91" s="807"/>
      <c r="N91" s="807"/>
      <c r="O91" s="807"/>
      <c r="P91" s="807"/>
      <c r="Q91" s="807"/>
      <c r="R91" s="807"/>
      <c r="S91" s="807"/>
      <c r="T91" s="808" t="s">
        <v>197</v>
      </c>
      <c r="U91" s="808"/>
      <c r="V91" s="376"/>
      <c r="W91" s="809" t="s">
        <v>804</v>
      </c>
      <c r="X91" s="809"/>
      <c r="Y91" s="809"/>
      <c r="Z91" s="809"/>
      <c r="AA91" s="809"/>
      <c r="AB91" s="809"/>
      <c r="AC91" s="809"/>
      <c r="AD91" s="809"/>
      <c r="AE91" s="809"/>
      <c r="AF91" s="809"/>
      <c r="AG91" s="810">
        <f>入力シート!T74</f>
        <v>0</v>
      </c>
      <c r="AH91" s="807"/>
      <c r="AI91" s="807"/>
      <c r="AJ91" s="807"/>
      <c r="AK91" s="807"/>
      <c r="AL91" s="807"/>
      <c r="AM91" s="807"/>
      <c r="AN91" s="807"/>
      <c r="AO91" s="811" t="s">
        <v>806</v>
      </c>
      <c r="AP91" s="811"/>
      <c r="AR91" s="237"/>
      <c r="AS91" s="237"/>
      <c r="AT91" s="237"/>
      <c r="AU91" s="237"/>
    </row>
    <row r="92" spans="2:47" ht="18.75">
      <c r="B92" s="804" t="s">
        <v>820</v>
      </c>
      <c r="C92" s="805"/>
      <c r="D92" s="805"/>
      <c r="E92" s="805"/>
      <c r="F92" s="805"/>
      <c r="G92" s="805"/>
      <c r="H92" s="805"/>
      <c r="I92" s="805"/>
      <c r="J92" s="805"/>
      <c r="K92" s="806"/>
      <c r="L92" s="812" t="str">
        <f>IFERROR(IF(入力シート!K60=0,入力シート!E60,入力シート!K60*100),"入力無し")</f>
        <v>入力無し</v>
      </c>
      <c r="M92" s="812"/>
      <c r="N92" s="812"/>
      <c r="O92" s="812"/>
      <c r="P92" s="812"/>
      <c r="Q92" s="812"/>
      <c r="R92" s="812"/>
      <c r="S92" s="812"/>
      <c r="T92" s="808" t="s">
        <v>805</v>
      </c>
      <c r="U92" s="808"/>
      <c r="V92" s="376"/>
      <c r="W92" s="821" t="s">
        <v>981</v>
      </c>
      <c r="X92" s="822"/>
      <c r="Y92" s="822"/>
      <c r="Z92" s="822"/>
      <c r="AA92" s="822"/>
      <c r="AB92" s="822"/>
      <c r="AC92" s="822"/>
      <c r="AD92" s="822"/>
      <c r="AE92" s="822"/>
      <c r="AF92" s="823"/>
      <c r="AG92" s="814">
        <f>IFERROR(AG91/L91/365*1000,0)</f>
        <v>0</v>
      </c>
      <c r="AH92" s="814"/>
      <c r="AI92" s="814"/>
      <c r="AJ92" s="814"/>
      <c r="AK92" s="814"/>
      <c r="AL92" s="814"/>
      <c r="AM92" s="814"/>
      <c r="AN92" s="814"/>
      <c r="AO92" s="808" t="s">
        <v>621</v>
      </c>
      <c r="AP92" s="808"/>
      <c r="AR92" s="237"/>
      <c r="AS92" s="237"/>
      <c r="AT92" s="581"/>
      <c r="AU92" s="581"/>
    </row>
    <row r="93" spans="2:47" ht="18.75">
      <c r="B93" s="804" t="s">
        <v>784</v>
      </c>
      <c r="C93" s="805"/>
      <c r="D93" s="805"/>
      <c r="E93" s="805"/>
      <c r="F93" s="805"/>
      <c r="G93" s="805"/>
      <c r="H93" s="805"/>
      <c r="I93" s="805"/>
      <c r="J93" s="805"/>
      <c r="K93" s="806"/>
      <c r="L93" s="815" t="str">
        <f>IF(入力シート!K68="-",入力シート!E68,入力シート!K68)</f>
        <v/>
      </c>
      <c r="M93" s="815"/>
      <c r="N93" s="815"/>
      <c r="O93" s="815"/>
      <c r="P93" s="815"/>
      <c r="Q93" s="815"/>
      <c r="R93" s="815"/>
      <c r="S93" s="815"/>
      <c r="AO93" s="237"/>
      <c r="AP93" s="237"/>
      <c r="AQ93" s="237"/>
      <c r="AR93" s="237"/>
      <c r="AS93" s="237"/>
      <c r="AT93" s="237"/>
      <c r="AU93" s="237"/>
    </row>
    <row r="94" spans="2:47" ht="18.75"/>
    <row r="95" spans="2:47" ht="18.75">
      <c r="B95" s="740" t="s">
        <v>807</v>
      </c>
      <c r="C95" s="740"/>
      <c r="D95" s="740"/>
      <c r="E95" s="740"/>
      <c r="F95" s="740"/>
      <c r="G95" s="740"/>
      <c r="H95" s="740"/>
      <c r="I95" s="740"/>
      <c r="J95" s="740"/>
      <c r="K95" s="740"/>
      <c r="L95" s="740"/>
      <c r="M95" s="740"/>
      <c r="N95" s="740"/>
      <c r="O95" s="740"/>
      <c r="P95" s="740"/>
      <c r="Q95" s="740"/>
      <c r="R95" s="740"/>
      <c r="S95" s="740"/>
      <c r="T95" s="740"/>
      <c r="U95" s="740"/>
      <c r="V95" s="740"/>
      <c r="W95" s="740"/>
      <c r="X95" s="740"/>
      <c r="Y95" s="740"/>
      <c r="Z95" s="740"/>
      <c r="AA95" s="740"/>
      <c r="AB95" s="740"/>
      <c r="AC95" s="740"/>
      <c r="AD95" s="740"/>
      <c r="AE95" s="740"/>
      <c r="AF95" s="740"/>
      <c r="AG95" s="740"/>
      <c r="AH95" s="740"/>
      <c r="AI95" s="740"/>
      <c r="AJ95" s="740"/>
      <c r="AK95" s="740"/>
      <c r="AL95" s="740"/>
      <c r="AM95" s="740"/>
      <c r="AN95" s="740"/>
      <c r="AO95" s="740"/>
      <c r="AP95" s="740"/>
      <c r="AQ95" s="740"/>
      <c r="AR95" s="740"/>
      <c r="AS95" s="740"/>
      <c r="AT95" s="740"/>
    </row>
    <row r="96" spans="2:47" ht="18.75">
      <c r="B96" s="740" t="s">
        <v>973</v>
      </c>
      <c r="C96" s="740"/>
      <c r="D96" s="740"/>
      <c r="E96" s="740"/>
      <c r="F96" s="740"/>
      <c r="G96" s="740"/>
      <c r="H96" s="740"/>
      <c r="I96" s="740"/>
      <c r="J96" s="740"/>
      <c r="K96" s="740"/>
      <c r="L96" s="740"/>
      <c r="M96" s="740"/>
      <c r="N96" s="739" t="str">
        <f>IF('加算項目（B病棟）'!I5="有","〇","")</f>
        <v/>
      </c>
      <c r="O96" s="739"/>
      <c r="P96" s="739"/>
      <c r="Q96" s="741" t="s">
        <v>974</v>
      </c>
      <c r="R96" s="740"/>
      <c r="S96" s="740"/>
      <c r="T96" s="740"/>
      <c r="U96" s="740"/>
      <c r="V96" s="740"/>
      <c r="W96" s="740"/>
      <c r="X96" s="740"/>
      <c r="Y96" s="740"/>
      <c r="Z96" s="740"/>
      <c r="AA96" s="740"/>
      <c r="AB96" s="740"/>
      <c r="AC96" s="739" t="str">
        <f>IF('加算項目（B病棟）'!I6="有","〇","")</f>
        <v/>
      </c>
      <c r="AD96" s="739"/>
      <c r="AE96" s="739"/>
      <c r="AF96" s="741" t="s">
        <v>975</v>
      </c>
      <c r="AG96" s="740"/>
      <c r="AH96" s="740"/>
      <c r="AI96" s="740"/>
      <c r="AJ96" s="740"/>
      <c r="AK96" s="740"/>
      <c r="AL96" s="740"/>
      <c r="AM96" s="740"/>
      <c r="AN96" s="740"/>
      <c r="AO96" s="740"/>
      <c r="AP96" s="740"/>
      <c r="AQ96" s="740"/>
      <c r="AR96" s="818" t="str">
        <f>IF('加算項目（B病棟）'!I7="有","〇","")</f>
        <v/>
      </c>
      <c r="AS96" s="819"/>
      <c r="AT96" s="820"/>
    </row>
    <row r="97" spans="2:46" ht="18.75">
      <c r="B97" s="741" t="s">
        <v>976</v>
      </c>
      <c r="C97" s="740"/>
      <c r="D97" s="740"/>
      <c r="E97" s="740"/>
      <c r="F97" s="740"/>
      <c r="G97" s="740"/>
      <c r="H97" s="740"/>
      <c r="I97" s="740"/>
      <c r="J97" s="740"/>
      <c r="K97" s="740"/>
      <c r="L97" s="740"/>
      <c r="M97" s="740"/>
      <c r="N97" s="739" t="str">
        <f>IF('加算項目（B病棟）'!I8="有","〇","")</f>
        <v/>
      </c>
      <c r="O97" s="739"/>
      <c r="P97" s="739"/>
      <c r="Q97" s="741" t="s">
        <v>785</v>
      </c>
      <c r="R97" s="740"/>
      <c r="S97" s="740"/>
      <c r="T97" s="740"/>
      <c r="U97" s="740"/>
      <c r="V97" s="740"/>
      <c r="W97" s="740"/>
      <c r="X97" s="740"/>
      <c r="Y97" s="740"/>
      <c r="Z97" s="740"/>
      <c r="AA97" s="740"/>
      <c r="AB97" s="740"/>
      <c r="AC97" s="739" t="str">
        <f>IF('加算項目（B病棟）'!I9="有","〇","")</f>
        <v/>
      </c>
      <c r="AD97" s="739"/>
      <c r="AE97" s="739"/>
      <c r="AF97" s="741" t="s">
        <v>809</v>
      </c>
      <c r="AG97" s="740"/>
      <c r="AH97" s="740"/>
      <c r="AI97" s="740"/>
      <c r="AJ97" s="740"/>
      <c r="AK97" s="740"/>
      <c r="AL97" s="740"/>
      <c r="AM97" s="740"/>
      <c r="AN97" s="740"/>
      <c r="AO97" s="740"/>
      <c r="AP97" s="740"/>
      <c r="AQ97" s="740"/>
      <c r="AR97" s="818" t="str">
        <f>IF('加算項目（B病棟）'!I10="有","〇","")</f>
        <v/>
      </c>
      <c r="AS97" s="819"/>
      <c r="AT97" s="820"/>
    </row>
    <row r="98" spans="2:46" ht="18.75">
      <c r="B98" s="741" t="s">
        <v>156</v>
      </c>
      <c r="C98" s="741"/>
      <c r="D98" s="741"/>
      <c r="E98" s="741"/>
      <c r="F98" s="741"/>
      <c r="G98" s="741"/>
      <c r="H98" s="741"/>
      <c r="I98" s="741"/>
      <c r="J98" s="741"/>
      <c r="K98" s="741"/>
      <c r="L98" s="741"/>
      <c r="M98" s="741"/>
      <c r="N98" s="818" t="str">
        <f>IF('加算項目（B病棟）'!I11="有","〇","")</f>
        <v/>
      </c>
      <c r="O98" s="819"/>
      <c r="P98" s="820"/>
      <c r="Q98" s="741" t="s">
        <v>810</v>
      </c>
      <c r="R98" s="741"/>
      <c r="S98" s="741"/>
      <c r="T98" s="741"/>
      <c r="U98" s="741"/>
      <c r="V98" s="741"/>
      <c r="W98" s="741"/>
      <c r="X98" s="741"/>
      <c r="Y98" s="741"/>
      <c r="Z98" s="741"/>
      <c r="AA98" s="741"/>
      <c r="AB98" s="741"/>
      <c r="AC98" s="739" t="str">
        <f>IF('加算項目（B病棟）'!I12="有","〇","")</f>
        <v/>
      </c>
      <c r="AD98" s="739"/>
      <c r="AE98" s="739"/>
      <c r="AF98" s="741" t="s">
        <v>140</v>
      </c>
      <c r="AG98" s="741"/>
      <c r="AH98" s="741"/>
      <c r="AI98" s="741"/>
      <c r="AJ98" s="741"/>
      <c r="AK98" s="741"/>
      <c r="AL98" s="741"/>
      <c r="AM98" s="741"/>
      <c r="AN98" s="741"/>
      <c r="AO98" s="741"/>
      <c r="AP98" s="741"/>
      <c r="AQ98" s="741"/>
      <c r="AR98" s="739" t="str">
        <f>IF('加算項目（B病棟）'!I14="有","〇","")</f>
        <v/>
      </c>
      <c r="AS98" s="739"/>
      <c r="AT98" s="739"/>
    </row>
    <row r="99" spans="2:46" ht="18.75">
      <c r="B99" s="741" t="s">
        <v>811</v>
      </c>
      <c r="C99" s="740"/>
      <c r="D99" s="740"/>
      <c r="E99" s="740"/>
      <c r="F99" s="740"/>
      <c r="G99" s="740"/>
      <c r="H99" s="740"/>
      <c r="I99" s="740"/>
      <c r="J99" s="740"/>
      <c r="K99" s="740"/>
      <c r="L99" s="740"/>
      <c r="M99" s="740"/>
      <c r="N99" s="739" t="str">
        <f>IF('加算項目（B病棟）'!I15="有","〇","")</f>
        <v/>
      </c>
      <c r="O99" s="739"/>
      <c r="P99" s="739"/>
      <c r="Q99" s="741" t="s">
        <v>786</v>
      </c>
      <c r="R99" s="741"/>
      <c r="S99" s="741"/>
      <c r="T99" s="741"/>
      <c r="U99" s="741"/>
      <c r="V99" s="741"/>
      <c r="W99" s="741"/>
      <c r="X99" s="741"/>
      <c r="Y99" s="741"/>
      <c r="Z99" s="741"/>
      <c r="AA99" s="741"/>
      <c r="AB99" s="741"/>
      <c r="AC99" s="739" t="str">
        <f>IF('加算項目（B病棟）'!I16="有","〇","")</f>
        <v/>
      </c>
      <c r="AD99" s="739"/>
      <c r="AE99" s="739"/>
      <c r="AF99" s="741" t="s">
        <v>787</v>
      </c>
      <c r="AG99" s="741"/>
      <c r="AH99" s="741"/>
      <c r="AI99" s="741"/>
      <c r="AJ99" s="741"/>
      <c r="AK99" s="741"/>
      <c r="AL99" s="741"/>
      <c r="AM99" s="741"/>
      <c r="AN99" s="741"/>
      <c r="AO99" s="741"/>
      <c r="AP99" s="741"/>
      <c r="AQ99" s="741"/>
      <c r="AR99" s="739" t="str">
        <f>IF('加算項目（B病棟）'!I17="有","〇","")</f>
        <v/>
      </c>
      <c r="AS99" s="739"/>
      <c r="AT99" s="739"/>
    </row>
    <row r="100" spans="2:46" ht="18.75">
      <c r="B100" s="741" t="s">
        <v>788</v>
      </c>
      <c r="C100" s="741"/>
      <c r="D100" s="741"/>
      <c r="E100" s="741"/>
      <c r="F100" s="741"/>
      <c r="G100" s="741"/>
      <c r="H100" s="741"/>
      <c r="I100" s="741"/>
      <c r="J100" s="741"/>
      <c r="K100" s="741"/>
      <c r="L100" s="741"/>
      <c r="M100" s="741"/>
      <c r="N100" s="739" t="str">
        <f>IF('加算項目（B病棟）'!I18="有","〇","")</f>
        <v/>
      </c>
      <c r="O100" s="739"/>
      <c r="P100" s="739"/>
      <c r="Q100" s="741" t="s">
        <v>789</v>
      </c>
      <c r="R100" s="740"/>
      <c r="S100" s="740"/>
      <c r="T100" s="740"/>
      <c r="U100" s="740"/>
      <c r="V100" s="740"/>
      <c r="W100" s="740"/>
      <c r="X100" s="740"/>
      <c r="Y100" s="740"/>
      <c r="Z100" s="740"/>
      <c r="AA100" s="740"/>
      <c r="AB100" s="740"/>
      <c r="AC100" s="739" t="str">
        <f>IF('加算項目（B病棟）'!I19="有","〇","")</f>
        <v/>
      </c>
      <c r="AD100" s="739"/>
      <c r="AE100" s="739"/>
      <c r="AF100" s="741" t="s">
        <v>790</v>
      </c>
      <c r="AG100" s="740"/>
      <c r="AH100" s="740"/>
      <c r="AI100" s="740"/>
      <c r="AJ100" s="740"/>
      <c r="AK100" s="740"/>
      <c r="AL100" s="740"/>
      <c r="AM100" s="740"/>
      <c r="AN100" s="740"/>
      <c r="AO100" s="740"/>
      <c r="AP100" s="740"/>
      <c r="AQ100" s="740"/>
      <c r="AR100" s="739" t="str">
        <f>IF('加算項目（B病棟）'!I20="有","〇","")</f>
        <v/>
      </c>
      <c r="AS100" s="739"/>
      <c r="AT100" s="739"/>
    </row>
    <row r="101" spans="2:46" ht="18.75">
      <c r="B101" s="741" t="s">
        <v>802</v>
      </c>
      <c r="C101" s="740"/>
      <c r="D101" s="740"/>
      <c r="E101" s="740"/>
      <c r="F101" s="740"/>
      <c r="G101" s="740"/>
      <c r="H101" s="740"/>
      <c r="I101" s="740"/>
      <c r="J101" s="740"/>
      <c r="K101" s="740"/>
      <c r="L101" s="740"/>
      <c r="M101" s="740"/>
      <c r="N101" s="739" t="str">
        <f>IF('加算項目（B病棟）'!I21="有","〇","")</f>
        <v/>
      </c>
      <c r="O101" s="739"/>
      <c r="P101" s="739"/>
      <c r="Q101" s="741" t="s">
        <v>1047</v>
      </c>
      <c r="R101" s="740"/>
      <c r="S101" s="740"/>
      <c r="T101" s="740"/>
      <c r="U101" s="740"/>
      <c r="V101" s="740"/>
      <c r="W101" s="740"/>
      <c r="X101" s="740"/>
      <c r="Y101" s="740"/>
      <c r="Z101" s="740"/>
      <c r="AA101" s="740"/>
      <c r="AB101" s="740"/>
      <c r="AC101" s="739" t="str">
        <f>IF('加算項目（B病棟）'!I22="有","〇","")</f>
        <v/>
      </c>
      <c r="AD101" s="739"/>
      <c r="AE101" s="739"/>
      <c r="AF101" s="740" t="s">
        <v>791</v>
      </c>
      <c r="AG101" s="740"/>
      <c r="AH101" s="740"/>
      <c r="AI101" s="740"/>
      <c r="AJ101" s="740"/>
      <c r="AK101" s="740"/>
      <c r="AL101" s="740"/>
      <c r="AM101" s="740"/>
      <c r="AN101" s="740"/>
      <c r="AO101" s="740"/>
      <c r="AP101" s="740"/>
      <c r="AQ101" s="740"/>
      <c r="AR101" s="739" t="str">
        <f>IF('加算項目（B病棟）'!I23="有","〇","")</f>
        <v/>
      </c>
      <c r="AS101" s="739"/>
      <c r="AT101" s="739"/>
    </row>
    <row r="102" spans="2:46" ht="18.75">
      <c r="B102" s="740" t="s">
        <v>792</v>
      </c>
      <c r="C102" s="740"/>
      <c r="D102" s="740"/>
      <c r="E102" s="740"/>
      <c r="F102" s="740"/>
      <c r="G102" s="740"/>
      <c r="H102" s="740"/>
      <c r="I102" s="740"/>
      <c r="J102" s="740"/>
      <c r="K102" s="740"/>
      <c r="L102" s="740"/>
      <c r="M102" s="740"/>
      <c r="N102" s="739" t="str">
        <f>IF('加算項目（B病棟）'!I24="有","〇","")</f>
        <v/>
      </c>
      <c r="O102" s="739"/>
      <c r="P102" s="739"/>
      <c r="Q102" s="741" t="s">
        <v>1074</v>
      </c>
      <c r="R102" s="740"/>
      <c r="S102" s="740"/>
      <c r="T102" s="740"/>
      <c r="U102" s="740"/>
      <c r="V102" s="740"/>
      <c r="W102" s="740"/>
      <c r="X102" s="740"/>
      <c r="Y102" s="740"/>
      <c r="Z102" s="740"/>
      <c r="AA102" s="740"/>
      <c r="AB102" s="740"/>
      <c r="AC102" s="739" t="str">
        <f>IF('加算項目（B病棟）'!I25="有","〇","")</f>
        <v/>
      </c>
      <c r="AD102" s="739"/>
      <c r="AE102" s="739"/>
      <c r="AF102" s="741" t="s">
        <v>1045</v>
      </c>
      <c r="AG102" s="740"/>
      <c r="AH102" s="740"/>
      <c r="AI102" s="740"/>
      <c r="AJ102" s="740"/>
      <c r="AK102" s="740"/>
      <c r="AL102" s="740"/>
      <c r="AM102" s="740"/>
      <c r="AN102" s="740"/>
      <c r="AO102" s="740"/>
      <c r="AP102" s="740"/>
      <c r="AQ102" s="740"/>
      <c r="AR102" s="739" t="str">
        <f>IF('加算項目（B病棟）'!I26="有","〇","")</f>
        <v/>
      </c>
      <c r="AS102" s="739"/>
      <c r="AT102" s="739"/>
    </row>
    <row r="103" spans="2:46" ht="18.75">
      <c r="B103" s="741" t="s">
        <v>1046</v>
      </c>
      <c r="C103" s="740"/>
      <c r="D103" s="740"/>
      <c r="E103" s="740"/>
      <c r="F103" s="740"/>
      <c r="G103" s="740"/>
      <c r="H103" s="740"/>
      <c r="I103" s="740"/>
      <c r="J103" s="740"/>
      <c r="K103" s="740"/>
      <c r="L103" s="740"/>
      <c r="M103" s="740"/>
      <c r="N103" s="739" t="str">
        <f>IF('加算項目（B病棟）'!I27="有","〇","")</f>
        <v/>
      </c>
      <c r="O103" s="739"/>
      <c r="P103" s="739"/>
      <c r="Q103" s="741" t="s">
        <v>793</v>
      </c>
      <c r="R103" s="740"/>
      <c r="S103" s="740"/>
      <c r="T103" s="740"/>
      <c r="U103" s="740"/>
      <c r="V103" s="740"/>
      <c r="W103" s="740"/>
      <c r="X103" s="740"/>
      <c r="Y103" s="740"/>
      <c r="Z103" s="740"/>
      <c r="AA103" s="740"/>
      <c r="AB103" s="740"/>
      <c r="AC103" s="739" t="str">
        <f>IF('加算項目（B病棟）'!I28="有","〇","")</f>
        <v/>
      </c>
      <c r="AD103" s="739"/>
      <c r="AE103" s="739"/>
      <c r="AF103" s="741" t="s">
        <v>794</v>
      </c>
      <c r="AG103" s="740"/>
      <c r="AH103" s="740"/>
      <c r="AI103" s="740"/>
      <c r="AJ103" s="740"/>
      <c r="AK103" s="740"/>
      <c r="AL103" s="740"/>
      <c r="AM103" s="740"/>
      <c r="AN103" s="740"/>
      <c r="AO103" s="740"/>
      <c r="AP103" s="740"/>
      <c r="AQ103" s="740"/>
      <c r="AR103" s="739" t="str">
        <f>IF('加算項目（B病棟）'!I29="有","〇","")</f>
        <v/>
      </c>
      <c r="AS103" s="739"/>
      <c r="AT103" s="739"/>
    </row>
    <row r="104" spans="2:46" ht="18.75">
      <c r="B104" s="741" t="s">
        <v>151</v>
      </c>
      <c r="C104" s="740"/>
      <c r="D104" s="740"/>
      <c r="E104" s="740"/>
      <c r="F104" s="740"/>
      <c r="G104" s="740"/>
      <c r="H104" s="740"/>
      <c r="I104" s="740"/>
      <c r="J104" s="740"/>
      <c r="K104" s="740"/>
      <c r="L104" s="740"/>
      <c r="M104" s="740"/>
      <c r="N104" s="739" t="str">
        <f>IF('加算項目（B病棟）'!I31="有","〇","")</f>
        <v/>
      </c>
      <c r="O104" s="739"/>
      <c r="P104" s="739"/>
      <c r="Q104" s="741" t="s">
        <v>1076</v>
      </c>
      <c r="R104" s="740"/>
      <c r="S104" s="740"/>
      <c r="T104" s="740"/>
      <c r="U104" s="740"/>
      <c r="V104" s="740"/>
      <c r="W104" s="740"/>
      <c r="X104" s="740"/>
      <c r="Y104" s="740"/>
      <c r="Z104" s="740"/>
      <c r="AA104" s="740"/>
      <c r="AB104" s="740"/>
      <c r="AC104" s="739" t="str">
        <f>IF('加算項目（B病棟）'!I32="有","〇","")</f>
        <v/>
      </c>
      <c r="AD104" s="739"/>
      <c r="AE104" s="739"/>
      <c r="AF104" s="741" t="s">
        <v>795</v>
      </c>
      <c r="AG104" s="740"/>
      <c r="AH104" s="740"/>
      <c r="AI104" s="740"/>
      <c r="AJ104" s="740"/>
      <c r="AK104" s="740"/>
      <c r="AL104" s="740"/>
      <c r="AM104" s="740"/>
      <c r="AN104" s="740"/>
      <c r="AO104" s="740"/>
      <c r="AP104" s="740"/>
      <c r="AQ104" s="740"/>
      <c r="AR104" s="739" t="str">
        <f>IF('加算項目（B病棟）'!I33="有","〇","")</f>
        <v/>
      </c>
      <c r="AS104" s="739"/>
      <c r="AT104" s="739"/>
    </row>
    <row r="105" spans="2:46" ht="18.75">
      <c r="B105" s="741" t="s">
        <v>796</v>
      </c>
      <c r="C105" s="740"/>
      <c r="D105" s="740"/>
      <c r="E105" s="740"/>
      <c r="F105" s="740"/>
      <c r="G105" s="740"/>
      <c r="H105" s="740"/>
      <c r="I105" s="740"/>
      <c r="J105" s="740"/>
      <c r="K105" s="740"/>
      <c r="L105" s="740"/>
      <c r="M105" s="740"/>
      <c r="N105" s="739" t="str">
        <f>IF('加算項目（B病棟）'!I34="有","〇","")</f>
        <v/>
      </c>
      <c r="O105" s="739"/>
      <c r="P105" s="739"/>
      <c r="Q105" s="740" t="s">
        <v>797</v>
      </c>
      <c r="R105" s="740"/>
      <c r="S105" s="740"/>
      <c r="T105" s="740"/>
      <c r="U105" s="740"/>
      <c r="V105" s="740"/>
      <c r="W105" s="740"/>
      <c r="X105" s="740"/>
      <c r="Y105" s="740"/>
      <c r="Z105" s="740"/>
      <c r="AA105" s="740"/>
      <c r="AB105" s="740"/>
      <c r="AC105" s="739" t="str">
        <f>IF('加算項目（B病棟）'!I35="有","〇","")</f>
        <v/>
      </c>
      <c r="AD105" s="739"/>
      <c r="AE105" s="739"/>
      <c r="AF105" s="741" t="s">
        <v>803</v>
      </c>
      <c r="AG105" s="740"/>
      <c r="AH105" s="740"/>
      <c r="AI105" s="740"/>
      <c r="AJ105" s="740"/>
      <c r="AK105" s="740"/>
      <c r="AL105" s="740"/>
      <c r="AM105" s="740"/>
      <c r="AN105" s="740"/>
      <c r="AO105" s="740"/>
      <c r="AP105" s="740"/>
      <c r="AQ105" s="740"/>
      <c r="AR105" s="739" t="str">
        <f>IF('加算項目（B病棟）'!I36="有","〇","")</f>
        <v/>
      </c>
      <c r="AS105" s="739"/>
      <c r="AT105" s="739"/>
    </row>
    <row r="106" spans="2:46" ht="18.75">
      <c r="B106" s="740" t="s">
        <v>1077</v>
      </c>
      <c r="C106" s="740"/>
      <c r="D106" s="740"/>
      <c r="E106" s="740"/>
      <c r="F106" s="740"/>
      <c r="G106" s="740"/>
      <c r="H106" s="740"/>
      <c r="I106" s="740"/>
      <c r="J106" s="740"/>
      <c r="K106" s="740"/>
      <c r="L106" s="740"/>
      <c r="M106" s="740"/>
      <c r="N106" s="739" t="str">
        <f>IF('加算項目（B病棟）'!I37="有","〇","")</f>
        <v/>
      </c>
      <c r="O106" s="739"/>
      <c r="P106" s="739"/>
      <c r="Q106" s="740" t="s">
        <v>1078</v>
      </c>
      <c r="R106" s="740"/>
      <c r="S106" s="740"/>
      <c r="T106" s="740"/>
      <c r="U106" s="740"/>
      <c r="V106" s="740"/>
      <c r="W106" s="740"/>
      <c r="X106" s="740"/>
      <c r="Y106" s="740"/>
      <c r="Z106" s="740"/>
      <c r="AA106" s="740"/>
      <c r="AB106" s="740"/>
      <c r="AC106" s="739" t="str">
        <f>IF('加算項目（B病棟）'!I38="有","〇","")</f>
        <v/>
      </c>
      <c r="AD106" s="739"/>
      <c r="AE106" s="739"/>
      <c r="AF106" s="740" t="s">
        <v>1079</v>
      </c>
      <c r="AG106" s="740"/>
      <c r="AH106" s="740"/>
      <c r="AI106" s="740"/>
      <c r="AJ106" s="740"/>
      <c r="AK106" s="740"/>
      <c r="AL106" s="740"/>
      <c r="AM106" s="740"/>
      <c r="AN106" s="740"/>
      <c r="AO106" s="740"/>
      <c r="AP106" s="740"/>
      <c r="AQ106" s="740"/>
      <c r="AR106" s="739" t="str">
        <f>IF('加算項目（B病棟）'!I39="有","〇","")</f>
        <v/>
      </c>
      <c r="AS106" s="739"/>
      <c r="AT106" s="739"/>
    </row>
    <row r="107" spans="2:46" ht="18.75">
      <c r="B107" s="740" t="s">
        <v>1103</v>
      </c>
      <c r="C107" s="740"/>
      <c r="D107" s="740"/>
      <c r="E107" s="740"/>
      <c r="F107" s="740"/>
      <c r="G107" s="740"/>
      <c r="H107" s="740"/>
      <c r="I107" s="740"/>
      <c r="J107" s="740"/>
      <c r="K107" s="740"/>
      <c r="L107" s="740"/>
      <c r="M107" s="740"/>
      <c r="N107" s="739" t="str">
        <f>IF('加算項目（B病棟）'!I40="有","〇","")</f>
        <v/>
      </c>
      <c r="O107" s="739"/>
      <c r="P107" s="739"/>
      <c r="Q107" s="740" t="s">
        <v>1080</v>
      </c>
      <c r="R107" s="740"/>
      <c r="S107" s="740"/>
      <c r="T107" s="740"/>
      <c r="U107" s="740"/>
      <c r="V107" s="740"/>
      <c r="W107" s="740"/>
      <c r="X107" s="740"/>
      <c r="Y107" s="740"/>
      <c r="Z107" s="740"/>
      <c r="AA107" s="740"/>
      <c r="AB107" s="740"/>
      <c r="AC107" s="739" t="str">
        <f>IF('加算項目（B病棟）'!I41="有","〇","")</f>
        <v/>
      </c>
      <c r="AD107" s="739"/>
      <c r="AE107" s="739"/>
      <c r="AF107" s="740" t="s">
        <v>1081</v>
      </c>
      <c r="AG107" s="740"/>
      <c r="AH107" s="740"/>
      <c r="AI107" s="740"/>
      <c r="AJ107" s="740"/>
      <c r="AK107" s="740"/>
      <c r="AL107" s="740"/>
      <c r="AM107" s="740"/>
      <c r="AN107" s="740"/>
      <c r="AO107" s="740"/>
      <c r="AP107" s="740"/>
      <c r="AQ107" s="740"/>
      <c r="AR107" s="739" t="str">
        <f>IF('加算項目（B病棟）'!I42="有","〇","")</f>
        <v/>
      </c>
      <c r="AS107" s="739"/>
      <c r="AT107" s="739"/>
    </row>
    <row r="108" spans="2:46" ht="18.75">
      <c r="B108" s="740" t="s">
        <v>1082</v>
      </c>
      <c r="C108" s="740"/>
      <c r="D108" s="740"/>
      <c r="E108" s="740"/>
      <c r="F108" s="740"/>
      <c r="G108" s="740"/>
      <c r="H108" s="740"/>
      <c r="I108" s="740"/>
      <c r="J108" s="740"/>
      <c r="K108" s="740"/>
      <c r="L108" s="740"/>
      <c r="M108" s="740"/>
      <c r="N108" s="739" t="str">
        <f>IF('加算項目（B病棟）'!I43="有","〇","")</f>
        <v/>
      </c>
      <c r="O108" s="739"/>
      <c r="P108" s="739"/>
      <c r="Q108" s="740" t="s">
        <v>1083</v>
      </c>
      <c r="R108" s="740"/>
      <c r="S108" s="740"/>
      <c r="T108" s="740"/>
      <c r="U108" s="740"/>
      <c r="V108" s="740"/>
      <c r="W108" s="740"/>
      <c r="X108" s="740"/>
      <c r="Y108" s="740"/>
      <c r="Z108" s="740"/>
      <c r="AA108" s="740"/>
      <c r="AB108" s="740"/>
      <c r="AC108" s="739" t="str">
        <f>IF('加算項目（B病棟）'!I44="有","〇","")</f>
        <v/>
      </c>
      <c r="AD108" s="739"/>
      <c r="AE108" s="739"/>
      <c r="AF108" s="740" t="s">
        <v>1053</v>
      </c>
      <c r="AG108" s="740"/>
      <c r="AH108" s="740"/>
      <c r="AI108" s="740"/>
      <c r="AJ108" s="740"/>
      <c r="AK108" s="740"/>
      <c r="AL108" s="740"/>
      <c r="AM108" s="740"/>
      <c r="AN108" s="740"/>
      <c r="AO108" s="740"/>
      <c r="AP108" s="740"/>
      <c r="AQ108" s="740"/>
      <c r="AR108" s="739" t="str">
        <f>IF('加算項目（B病棟）'!I45="有","〇","")</f>
        <v/>
      </c>
      <c r="AS108" s="739"/>
      <c r="AT108" s="739"/>
    </row>
    <row r="109" spans="2:46" ht="18.75">
      <c r="B109" s="740" t="s">
        <v>1059</v>
      </c>
      <c r="C109" s="740"/>
      <c r="D109" s="740"/>
      <c r="E109" s="740"/>
      <c r="F109" s="740"/>
      <c r="G109" s="740"/>
      <c r="H109" s="740"/>
      <c r="I109" s="740"/>
      <c r="J109" s="740"/>
      <c r="K109" s="740"/>
      <c r="L109" s="740"/>
      <c r="M109" s="740"/>
      <c r="N109" s="739" t="str">
        <f>IF('加算項目（B病棟）'!I46="有","〇","")</f>
        <v/>
      </c>
      <c r="O109" s="739"/>
      <c r="P109" s="739"/>
      <c r="Q109" s="741" t="s">
        <v>798</v>
      </c>
      <c r="R109" s="740"/>
      <c r="S109" s="740"/>
      <c r="T109" s="740"/>
      <c r="U109" s="740"/>
      <c r="V109" s="740"/>
      <c r="W109" s="740"/>
      <c r="X109" s="740"/>
      <c r="Y109" s="740"/>
      <c r="Z109" s="740"/>
      <c r="AA109" s="740"/>
      <c r="AB109" s="740"/>
      <c r="AC109" s="739" t="str">
        <f>IF('加算項目（B病棟）'!I47="有","〇","")</f>
        <v/>
      </c>
      <c r="AD109" s="739"/>
      <c r="AE109" s="739"/>
      <c r="AF109" s="741" t="s">
        <v>799</v>
      </c>
      <c r="AG109" s="740"/>
      <c r="AH109" s="740"/>
      <c r="AI109" s="740"/>
      <c r="AJ109" s="740"/>
      <c r="AK109" s="740"/>
      <c r="AL109" s="740"/>
      <c r="AM109" s="740"/>
      <c r="AN109" s="740"/>
      <c r="AO109" s="740"/>
      <c r="AP109" s="740"/>
      <c r="AQ109" s="740"/>
      <c r="AR109" s="739" t="str">
        <f>IF('加算項目（B病棟）'!I48="有","〇","")</f>
        <v/>
      </c>
      <c r="AS109" s="739"/>
      <c r="AT109" s="739"/>
    </row>
    <row r="110" spans="2:46" ht="18.75">
      <c r="B110" s="741" t="s">
        <v>800</v>
      </c>
      <c r="C110" s="740"/>
      <c r="D110" s="740"/>
      <c r="E110" s="740"/>
      <c r="F110" s="740"/>
      <c r="G110" s="740"/>
      <c r="H110" s="740"/>
      <c r="I110" s="740"/>
      <c r="J110" s="740"/>
      <c r="K110" s="740"/>
      <c r="L110" s="740"/>
      <c r="M110" s="740"/>
      <c r="N110" s="739" t="str">
        <f>IF('加算項目（B病棟）'!I49="有","〇","")</f>
        <v/>
      </c>
      <c r="O110" s="739"/>
      <c r="P110" s="739"/>
      <c r="Q110" s="741" t="s">
        <v>801</v>
      </c>
      <c r="R110" s="740"/>
      <c r="S110" s="740"/>
      <c r="T110" s="740"/>
      <c r="U110" s="740"/>
      <c r="V110" s="740"/>
      <c r="W110" s="740"/>
      <c r="X110" s="740"/>
      <c r="Y110" s="740"/>
      <c r="Z110" s="740"/>
      <c r="AA110" s="740"/>
      <c r="AB110" s="740"/>
      <c r="AC110" s="739" t="str">
        <f>IF('加算項目（B病棟）'!I50="有","〇","")</f>
        <v/>
      </c>
      <c r="AD110" s="739"/>
      <c r="AE110" s="739"/>
      <c r="AF110" s="741" t="s">
        <v>863</v>
      </c>
      <c r="AG110" s="740"/>
      <c r="AH110" s="740"/>
      <c r="AI110" s="740"/>
      <c r="AJ110" s="740"/>
      <c r="AK110" s="740"/>
      <c r="AL110" s="740"/>
      <c r="AM110" s="740"/>
      <c r="AN110" s="740"/>
      <c r="AO110" s="740"/>
      <c r="AP110" s="740"/>
      <c r="AQ110" s="740"/>
      <c r="AR110" s="739" t="str">
        <f>IF('加算項目（B病棟）'!I51="有","〇","")</f>
        <v/>
      </c>
      <c r="AS110" s="739"/>
      <c r="AT110" s="739"/>
    </row>
    <row r="111" spans="2:46" ht="18.75">
      <c r="B111" s="741" t="s">
        <v>1102</v>
      </c>
      <c r="C111" s="740"/>
      <c r="D111" s="740"/>
      <c r="E111" s="740"/>
      <c r="F111" s="740"/>
      <c r="G111" s="740"/>
      <c r="H111" s="740"/>
      <c r="I111" s="740"/>
      <c r="J111" s="740"/>
      <c r="K111" s="740"/>
      <c r="L111" s="740"/>
      <c r="M111" s="740"/>
      <c r="N111" s="739" t="str">
        <f>IF('加算項目（B病棟）'!I52="有","〇","")</f>
        <v/>
      </c>
      <c r="O111" s="739"/>
      <c r="P111" s="739"/>
      <c r="Q111" s="741" t="s">
        <v>1101</v>
      </c>
      <c r="R111" s="740"/>
      <c r="S111" s="740"/>
      <c r="T111" s="740"/>
      <c r="U111" s="740"/>
      <c r="V111" s="740"/>
      <c r="W111" s="740"/>
      <c r="X111" s="740"/>
      <c r="Y111" s="740"/>
      <c r="Z111" s="740"/>
      <c r="AA111" s="740"/>
      <c r="AB111" s="740"/>
      <c r="AC111" s="739" t="str">
        <f>IF('加算項目（B病棟）'!I53="有","〇","")</f>
        <v/>
      </c>
      <c r="AD111" s="739"/>
      <c r="AE111" s="739"/>
      <c r="AF111" s="741" t="s">
        <v>977</v>
      </c>
      <c r="AG111" s="740"/>
      <c r="AH111" s="740"/>
      <c r="AI111" s="740"/>
      <c r="AJ111" s="740"/>
      <c r="AK111" s="740"/>
      <c r="AL111" s="740"/>
      <c r="AM111" s="740"/>
      <c r="AN111" s="740"/>
      <c r="AO111" s="740"/>
      <c r="AP111" s="740"/>
      <c r="AQ111" s="740"/>
      <c r="AR111" s="739" t="str">
        <f>IF('加算項目（B病棟）'!I54="有","〇","")</f>
        <v/>
      </c>
      <c r="AS111" s="739"/>
      <c r="AT111" s="739"/>
    </row>
    <row r="112" spans="2:46" ht="18.75">
      <c r="B112" s="741" t="s">
        <v>978</v>
      </c>
      <c r="C112" s="740"/>
      <c r="D112" s="740"/>
      <c r="E112" s="740"/>
      <c r="F112" s="740"/>
      <c r="G112" s="740"/>
      <c r="H112" s="740"/>
      <c r="I112" s="740"/>
      <c r="J112" s="740"/>
      <c r="K112" s="740"/>
      <c r="L112" s="740"/>
      <c r="M112" s="740"/>
      <c r="N112" s="818" t="str">
        <f>IF('加算項目（B病棟）'!I55="有","〇","")</f>
        <v/>
      </c>
      <c r="O112" s="819"/>
      <c r="P112" s="820"/>
      <c r="Q112" s="741" t="s">
        <v>1084</v>
      </c>
      <c r="R112" s="740"/>
      <c r="S112" s="740"/>
      <c r="T112" s="740"/>
      <c r="U112" s="740"/>
      <c r="V112" s="740"/>
      <c r="W112" s="740"/>
      <c r="X112" s="740"/>
      <c r="Y112" s="740"/>
      <c r="Z112" s="740"/>
      <c r="AA112" s="740"/>
      <c r="AB112" s="740"/>
      <c r="AC112" s="739" t="str">
        <f>IF('加算項目（B病棟）'!I57="有","〇","")</f>
        <v/>
      </c>
      <c r="AD112" s="739"/>
      <c r="AE112" s="739"/>
      <c r="AF112" s="741" t="s">
        <v>952</v>
      </c>
      <c r="AG112" s="740"/>
      <c r="AH112" s="740"/>
      <c r="AI112" s="740"/>
      <c r="AJ112" s="740"/>
      <c r="AK112" s="740"/>
      <c r="AL112" s="740"/>
      <c r="AM112" s="740"/>
      <c r="AN112" s="740"/>
      <c r="AO112" s="740"/>
      <c r="AP112" s="740"/>
      <c r="AQ112" s="740"/>
      <c r="AR112" s="739" t="str">
        <f>IF('加算項目（B病棟）'!I58="有","〇","")</f>
        <v/>
      </c>
      <c r="AS112" s="739"/>
      <c r="AT112" s="739"/>
    </row>
    <row r="113" spans="2:46" ht="18.75">
      <c r="B113" s="832" t="s">
        <v>950</v>
      </c>
      <c r="C113" s="833"/>
      <c r="D113" s="833"/>
      <c r="E113" s="833"/>
      <c r="F113" s="833"/>
      <c r="G113" s="833"/>
      <c r="H113" s="833"/>
      <c r="I113" s="833"/>
      <c r="J113" s="833"/>
      <c r="K113" s="833"/>
      <c r="L113" s="833"/>
      <c r="M113" s="834"/>
      <c r="N113" s="739" t="str">
        <f>IF('加算項目（B病棟）'!I59="有","〇","")</f>
        <v/>
      </c>
      <c r="O113" s="739"/>
      <c r="P113" s="739"/>
      <c r="Q113" s="832" t="s">
        <v>951</v>
      </c>
      <c r="R113" s="833"/>
      <c r="S113" s="833"/>
      <c r="T113" s="833"/>
      <c r="U113" s="833"/>
      <c r="V113" s="833"/>
      <c r="W113" s="833"/>
      <c r="X113" s="833"/>
      <c r="Y113" s="833"/>
      <c r="Z113" s="833"/>
      <c r="AA113" s="833"/>
      <c r="AB113" s="834"/>
      <c r="AC113" s="739" t="str">
        <f>IF('加算項目（B病棟）'!I60="有","〇","")</f>
        <v/>
      </c>
      <c r="AD113" s="739"/>
      <c r="AE113" s="739"/>
      <c r="AF113" s="832" t="s">
        <v>1100</v>
      </c>
      <c r="AG113" s="833"/>
      <c r="AH113" s="833"/>
      <c r="AI113" s="833"/>
      <c r="AJ113" s="833"/>
      <c r="AK113" s="833"/>
      <c r="AL113" s="833"/>
      <c r="AM113" s="833"/>
      <c r="AN113" s="833"/>
      <c r="AO113" s="833"/>
      <c r="AP113" s="833"/>
      <c r="AQ113" s="834"/>
      <c r="AR113" s="739" t="str">
        <f>IF('加算項目（B病棟）'!I61="有","〇","")</f>
        <v/>
      </c>
      <c r="AS113" s="739"/>
      <c r="AT113" s="739"/>
    </row>
    <row r="114" spans="2:46" ht="18.75"/>
    <row r="115" spans="2:46" ht="18.75">
      <c r="B115" s="740" t="s">
        <v>808</v>
      </c>
      <c r="C115" s="740"/>
      <c r="D115" s="740"/>
      <c r="E115" s="740"/>
      <c r="F115" s="740"/>
      <c r="G115" s="740"/>
      <c r="H115" s="740"/>
      <c r="I115" s="740"/>
      <c r="J115" s="740"/>
      <c r="K115" s="740"/>
      <c r="L115" s="740"/>
      <c r="M115" s="740"/>
      <c r="N115" s="740"/>
      <c r="O115" s="740"/>
      <c r="P115" s="740"/>
      <c r="Q115" s="740"/>
      <c r="R115" s="740"/>
      <c r="S115" s="740"/>
      <c r="T115" s="740"/>
      <c r="U115" s="740"/>
      <c r="V115" s="740"/>
      <c r="W115" s="740"/>
      <c r="X115" s="740"/>
      <c r="Y115" s="740"/>
      <c r="Z115" s="740"/>
      <c r="AA115" s="740"/>
      <c r="AB115" s="740"/>
      <c r="AC115" s="740"/>
      <c r="AD115" s="740"/>
      <c r="AE115" s="740"/>
      <c r="AF115" s="740"/>
      <c r="AG115" s="740"/>
      <c r="AH115" s="740"/>
      <c r="AI115" s="740"/>
      <c r="AJ115" s="740"/>
      <c r="AK115" s="740"/>
      <c r="AL115" s="740"/>
      <c r="AM115" s="740"/>
      <c r="AN115" s="740"/>
      <c r="AO115" s="740"/>
      <c r="AP115" s="740"/>
      <c r="AQ115" s="740"/>
      <c r="AR115" s="740"/>
      <c r="AS115" s="740"/>
      <c r="AT115" s="740"/>
    </row>
    <row r="116" spans="2:46" ht="18.75">
      <c r="B116" s="740" t="s">
        <v>812</v>
      </c>
      <c r="C116" s="740"/>
      <c r="D116" s="740"/>
      <c r="E116" s="740"/>
      <c r="F116" s="740"/>
      <c r="G116" s="740"/>
      <c r="H116" s="740"/>
      <c r="I116" s="740"/>
      <c r="J116" s="740"/>
      <c r="K116" s="740"/>
      <c r="L116" s="740"/>
      <c r="M116" s="740"/>
      <c r="N116" s="739" t="str">
        <f>IF('加算項目（B病棟）'!I69="有","〇","")</f>
        <v/>
      </c>
      <c r="O116" s="739"/>
      <c r="P116" s="739"/>
      <c r="Q116" s="741" t="s">
        <v>1085</v>
      </c>
      <c r="R116" s="740"/>
      <c r="S116" s="740"/>
      <c r="T116" s="740"/>
      <c r="U116" s="740"/>
      <c r="V116" s="740"/>
      <c r="W116" s="740"/>
      <c r="X116" s="740"/>
      <c r="Y116" s="740"/>
      <c r="Z116" s="740"/>
      <c r="AA116" s="740"/>
      <c r="AB116" s="740"/>
      <c r="AC116" s="739" t="str">
        <f>IF('加算項目（B病棟）'!I70="有","〇","")</f>
        <v/>
      </c>
      <c r="AD116" s="739"/>
      <c r="AE116" s="739"/>
      <c r="AF116" s="741" t="s">
        <v>1086</v>
      </c>
      <c r="AG116" s="740"/>
      <c r="AH116" s="740"/>
      <c r="AI116" s="740"/>
      <c r="AJ116" s="740"/>
      <c r="AK116" s="740"/>
      <c r="AL116" s="740"/>
      <c r="AM116" s="740"/>
      <c r="AN116" s="740"/>
      <c r="AO116" s="740"/>
      <c r="AP116" s="740"/>
      <c r="AQ116" s="740"/>
      <c r="AR116" s="739" t="str">
        <f>IF('加算項目（B病棟）'!I71="有","〇","")</f>
        <v/>
      </c>
      <c r="AS116" s="739"/>
      <c r="AT116" s="739"/>
    </row>
    <row r="117" spans="2:46" ht="18.75">
      <c r="B117" s="741" t="s">
        <v>168</v>
      </c>
      <c r="C117" s="740"/>
      <c r="D117" s="740"/>
      <c r="E117" s="740"/>
      <c r="F117" s="740"/>
      <c r="G117" s="740"/>
      <c r="H117" s="740"/>
      <c r="I117" s="740"/>
      <c r="J117" s="740"/>
      <c r="K117" s="740"/>
      <c r="L117" s="740"/>
      <c r="M117" s="740"/>
      <c r="N117" s="739" t="str">
        <f>IF('加算項目（B病棟）'!I72="有","〇","")</f>
        <v/>
      </c>
      <c r="O117" s="739"/>
      <c r="P117" s="739"/>
      <c r="Q117" s="741" t="s">
        <v>169</v>
      </c>
      <c r="R117" s="740"/>
      <c r="S117" s="740"/>
      <c r="T117" s="740"/>
      <c r="U117" s="740"/>
      <c r="V117" s="740"/>
      <c r="W117" s="740"/>
      <c r="X117" s="740"/>
      <c r="Y117" s="740"/>
      <c r="Z117" s="740"/>
      <c r="AA117" s="740"/>
      <c r="AB117" s="740"/>
      <c r="AC117" s="739" t="str">
        <f>IF('加算項目（B病棟）'!I73="有","〇","")</f>
        <v/>
      </c>
      <c r="AD117" s="739"/>
      <c r="AE117" s="739"/>
      <c r="AF117" s="741" t="s">
        <v>170</v>
      </c>
      <c r="AG117" s="740"/>
      <c r="AH117" s="740"/>
      <c r="AI117" s="740"/>
      <c r="AJ117" s="740"/>
      <c r="AK117" s="740"/>
      <c r="AL117" s="740"/>
      <c r="AM117" s="740"/>
      <c r="AN117" s="740"/>
      <c r="AO117" s="740"/>
      <c r="AP117" s="740"/>
      <c r="AQ117" s="740"/>
      <c r="AR117" s="739" t="str">
        <f>IF('加算項目（B病棟）'!I74="有","〇","")</f>
        <v/>
      </c>
      <c r="AS117" s="739"/>
      <c r="AT117" s="739"/>
    </row>
    <row r="118" spans="2:46" ht="18.75">
      <c r="B118" s="741" t="s">
        <v>813</v>
      </c>
      <c r="C118" s="740"/>
      <c r="D118" s="740"/>
      <c r="E118" s="740"/>
      <c r="F118" s="740"/>
      <c r="G118" s="740"/>
      <c r="H118" s="740"/>
      <c r="I118" s="740"/>
      <c r="J118" s="740"/>
      <c r="K118" s="740"/>
      <c r="L118" s="740"/>
      <c r="M118" s="740"/>
      <c r="N118" s="739" t="str">
        <f>IF('加算項目（B病棟）'!I77="有","〇","")</f>
        <v/>
      </c>
      <c r="O118" s="739"/>
      <c r="P118" s="739"/>
      <c r="Q118" s="741" t="s">
        <v>191</v>
      </c>
      <c r="R118" s="740"/>
      <c r="S118" s="740"/>
      <c r="T118" s="740"/>
      <c r="U118" s="740"/>
      <c r="V118" s="740"/>
      <c r="W118" s="740"/>
      <c r="X118" s="740"/>
      <c r="Y118" s="740"/>
      <c r="Z118" s="740"/>
      <c r="AA118" s="740"/>
      <c r="AB118" s="740"/>
      <c r="AC118" s="739" t="str">
        <f>IF('加算項目（B病棟）'!I78="有","〇","")</f>
        <v/>
      </c>
      <c r="AD118" s="739"/>
      <c r="AE118" s="739"/>
      <c r="AF118" s="741" t="s">
        <v>1087</v>
      </c>
      <c r="AG118" s="740"/>
      <c r="AH118" s="740"/>
      <c r="AI118" s="740"/>
      <c r="AJ118" s="740"/>
      <c r="AK118" s="740"/>
      <c r="AL118" s="740"/>
      <c r="AM118" s="740"/>
      <c r="AN118" s="740"/>
      <c r="AO118" s="740"/>
      <c r="AP118" s="740"/>
      <c r="AQ118" s="740"/>
      <c r="AR118" s="739" t="str">
        <f>IF('加算項目（B病棟）'!I79="有","〇","")</f>
        <v/>
      </c>
      <c r="AS118" s="739"/>
      <c r="AT118" s="739"/>
    </row>
    <row r="119" spans="2:46" ht="18.75">
      <c r="B119" s="741" t="s">
        <v>979</v>
      </c>
      <c r="C119" s="740"/>
      <c r="D119" s="740"/>
      <c r="E119" s="740"/>
      <c r="F119" s="740"/>
      <c r="G119" s="740"/>
      <c r="H119" s="740"/>
      <c r="I119" s="740"/>
      <c r="J119" s="740"/>
      <c r="K119" s="740"/>
      <c r="L119" s="740"/>
      <c r="M119" s="740"/>
      <c r="N119" s="739" t="str">
        <f>IF('加算項目（B病棟）'!I80="有","〇","")</f>
        <v/>
      </c>
      <c r="O119" s="739"/>
      <c r="P119" s="739"/>
      <c r="Q119" s="741" t="s">
        <v>174</v>
      </c>
      <c r="R119" s="740"/>
      <c r="S119" s="740"/>
      <c r="T119" s="740"/>
      <c r="U119" s="740"/>
      <c r="V119" s="740"/>
      <c r="W119" s="740"/>
      <c r="X119" s="740"/>
      <c r="Y119" s="740"/>
      <c r="Z119" s="740"/>
      <c r="AA119" s="740"/>
      <c r="AB119" s="740"/>
      <c r="AC119" s="739" t="str">
        <f>IF('加算項目（B病棟）'!I81="有","〇","")</f>
        <v/>
      </c>
      <c r="AD119" s="739"/>
      <c r="AE119" s="739"/>
      <c r="AF119" s="741" t="s">
        <v>175</v>
      </c>
      <c r="AG119" s="740"/>
      <c r="AH119" s="740"/>
      <c r="AI119" s="740"/>
      <c r="AJ119" s="740"/>
      <c r="AK119" s="740"/>
      <c r="AL119" s="740"/>
      <c r="AM119" s="740"/>
      <c r="AN119" s="740"/>
      <c r="AO119" s="740"/>
      <c r="AP119" s="740"/>
      <c r="AQ119" s="740"/>
      <c r="AR119" s="739" t="str">
        <f>IF('加算項目（B病棟）'!I82="有","〇","")</f>
        <v/>
      </c>
      <c r="AS119" s="739"/>
      <c r="AT119" s="739"/>
    </row>
    <row r="120" spans="2:46" ht="18.75">
      <c r="B120" s="741" t="s">
        <v>178</v>
      </c>
      <c r="C120" s="740"/>
      <c r="D120" s="740"/>
      <c r="E120" s="740"/>
      <c r="F120" s="740"/>
      <c r="G120" s="740"/>
      <c r="H120" s="740"/>
      <c r="I120" s="740"/>
      <c r="J120" s="740"/>
      <c r="K120" s="740"/>
      <c r="L120" s="740"/>
      <c r="M120" s="740"/>
      <c r="N120" s="739" t="str">
        <f>IF('加算項目（B病棟）'!I83="有","〇","")</f>
        <v/>
      </c>
      <c r="O120" s="739"/>
      <c r="P120" s="739"/>
      <c r="Q120" s="741" t="s">
        <v>982</v>
      </c>
      <c r="R120" s="740"/>
      <c r="S120" s="740"/>
      <c r="T120" s="740"/>
      <c r="U120" s="740"/>
      <c r="V120" s="740"/>
      <c r="W120" s="740"/>
      <c r="X120" s="740"/>
      <c r="Y120" s="740"/>
      <c r="Z120" s="740"/>
      <c r="AA120" s="740"/>
      <c r="AB120" s="740"/>
      <c r="AC120" s="739" t="str">
        <f>IF('加算項目（B病棟）'!I84="有","〇","")</f>
        <v/>
      </c>
      <c r="AD120" s="739"/>
      <c r="AE120" s="739"/>
      <c r="AF120" s="741" t="s">
        <v>983</v>
      </c>
      <c r="AG120" s="740"/>
      <c r="AH120" s="740"/>
      <c r="AI120" s="740"/>
      <c r="AJ120" s="740"/>
      <c r="AK120" s="740"/>
      <c r="AL120" s="740"/>
      <c r="AM120" s="740"/>
      <c r="AN120" s="740"/>
      <c r="AO120" s="740"/>
      <c r="AP120" s="740"/>
      <c r="AQ120" s="740"/>
      <c r="AR120" s="739" t="str">
        <f>IF('加算項目（B病棟）'!I85="有","〇","")</f>
        <v/>
      </c>
      <c r="AS120" s="739"/>
      <c r="AT120" s="739"/>
    </row>
    <row r="121" spans="2:46" ht="18.75">
      <c r="B121" s="741" t="s">
        <v>984</v>
      </c>
      <c r="C121" s="740"/>
      <c r="D121" s="740"/>
      <c r="E121" s="740"/>
      <c r="F121" s="740"/>
      <c r="G121" s="740"/>
      <c r="H121" s="740"/>
      <c r="I121" s="740"/>
      <c r="J121" s="740"/>
      <c r="K121" s="740"/>
      <c r="L121" s="740"/>
      <c r="M121" s="740"/>
      <c r="N121" s="739" t="str">
        <f>IF('加算項目（B病棟）'!I86="有","〇","")</f>
        <v/>
      </c>
      <c r="O121" s="739"/>
      <c r="P121" s="739"/>
      <c r="Q121" s="741" t="s">
        <v>985</v>
      </c>
      <c r="R121" s="740"/>
      <c r="S121" s="740"/>
      <c r="T121" s="740"/>
      <c r="U121" s="740"/>
      <c r="V121" s="740"/>
      <c r="W121" s="740"/>
      <c r="X121" s="740"/>
      <c r="Y121" s="740"/>
      <c r="Z121" s="740"/>
      <c r="AA121" s="740"/>
      <c r="AB121" s="740"/>
      <c r="AC121" s="739" t="str">
        <f>IF('加算項目（B病棟）'!I87="有","〇","")</f>
        <v/>
      </c>
      <c r="AD121" s="739"/>
      <c r="AE121" s="739"/>
      <c r="AF121" s="741" t="s">
        <v>986</v>
      </c>
      <c r="AG121" s="740"/>
      <c r="AH121" s="740"/>
      <c r="AI121" s="740"/>
      <c r="AJ121" s="740"/>
      <c r="AK121" s="740"/>
      <c r="AL121" s="740"/>
      <c r="AM121" s="740"/>
      <c r="AN121" s="740"/>
      <c r="AO121" s="740"/>
      <c r="AP121" s="740"/>
      <c r="AQ121" s="740"/>
      <c r="AR121" s="739" t="str">
        <f>IF('加算項目（B病棟）'!I88="有","〇","")</f>
        <v/>
      </c>
      <c r="AS121" s="739"/>
      <c r="AT121" s="739"/>
    </row>
    <row r="122" spans="2:46" ht="18.75">
      <c r="B122" s="741" t="s">
        <v>987</v>
      </c>
      <c r="C122" s="740"/>
      <c r="D122" s="740"/>
      <c r="E122" s="740"/>
      <c r="F122" s="740"/>
      <c r="G122" s="740"/>
      <c r="H122" s="740"/>
      <c r="I122" s="740"/>
      <c r="J122" s="740"/>
      <c r="K122" s="740"/>
      <c r="L122" s="740"/>
      <c r="M122" s="740"/>
      <c r="N122" s="739" t="str">
        <f>IF('加算項目（B病棟）'!I89="有","〇","")</f>
        <v/>
      </c>
      <c r="O122" s="739"/>
      <c r="P122" s="739"/>
      <c r="Q122" s="741" t="s">
        <v>988</v>
      </c>
      <c r="R122" s="740"/>
      <c r="S122" s="740"/>
      <c r="T122" s="740"/>
      <c r="U122" s="740"/>
      <c r="V122" s="740"/>
      <c r="W122" s="740"/>
      <c r="X122" s="740"/>
      <c r="Y122" s="740"/>
      <c r="Z122" s="740"/>
      <c r="AA122" s="740"/>
      <c r="AB122" s="740"/>
      <c r="AC122" s="739" t="str">
        <f>IF('加算項目（B病棟）'!I90="有","〇","")</f>
        <v/>
      </c>
      <c r="AD122" s="739"/>
      <c r="AE122" s="739"/>
      <c r="AF122" s="741" t="s">
        <v>988</v>
      </c>
      <c r="AG122" s="740"/>
      <c r="AH122" s="740"/>
      <c r="AI122" s="740"/>
      <c r="AJ122" s="740"/>
      <c r="AK122" s="740"/>
      <c r="AL122" s="740"/>
      <c r="AM122" s="740"/>
      <c r="AN122" s="740"/>
      <c r="AO122" s="740"/>
      <c r="AP122" s="740"/>
      <c r="AQ122" s="740"/>
      <c r="AR122" s="739" t="str">
        <f>IF('加算項目（B病棟）'!I91="有","〇","")</f>
        <v/>
      </c>
      <c r="AS122" s="739"/>
      <c r="AT122" s="739"/>
    </row>
    <row r="123" spans="2:46" ht="18.75">
      <c r="B123" s="740" t="s">
        <v>184</v>
      </c>
      <c r="C123" s="740"/>
      <c r="D123" s="740"/>
      <c r="E123" s="740"/>
      <c r="F123" s="740"/>
      <c r="G123" s="740"/>
      <c r="H123" s="740"/>
      <c r="I123" s="740"/>
      <c r="J123" s="740"/>
      <c r="K123" s="740"/>
      <c r="L123" s="740"/>
      <c r="M123" s="740"/>
      <c r="N123" s="739" t="str">
        <f>IF('加算項目（B病棟）'!I92="有","〇","")</f>
        <v/>
      </c>
      <c r="O123" s="739"/>
      <c r="P123" s="739"/>
      <c r="Q123" s="740" t="s">
        <v>989</v>
      </c>
      <c r="R123" s="740"/>
      <c r="S123" s="740"/>
      <c r="T123" s="740"/>
      <c r="U123" s="740"/>
      <c r="V123" s="740"/>
      <c r="W123" s="740"/>
      <c r="X123" s="740"/>
      <c r="Y123" s="740"/>
      <c r="Z123" s="740"/>
      <c r="AA123" s="740"/>
      <c r="AB123" s="740"/>
      <c r="AC123" s="739" t="str">
        <f>IF('加算項目（B病棟）'!I93="有","〇","")</f>
        <v/>
      </c>
      <c r="AD123" s="739"/>
      <c r="AE123" s="739"/>
      <c r="AF123" s="740" t="s">
        <v>185</v>
      </c>
      <c r="AG123" s="740"/>
      <c r="AH123" s="740"/>
      <c r="AI123" s="740"/>
      <c r="AJ123" s="740"/>
      <c r="AK123" s="740"/>
      <c r="AL123" s="740"/>
      <c r="AM123" s="740"/>
      <c r="AN123" s="740"/>
      <c r="AO123" s="740"/>
      <c r="AP123" s="740"/>
      <c r="AQ123" s="740"/>
      <c r="AR123" s="739" t="str">
        <f>IF('加算項目（B病棟）'!I94="有","〇","")</f>
        <v/>
      </c>
      <c r="AS123" s="739"/>
      <c r="AT123" s="739"/>
    </row>
    <row r="124" spans="2:46" ht="18.75">
      <c r="B124" s="741" t="s">
        <v>186</v>
      </c>
      <c r="C124" s="740"/>
      <c r="D124" s="740"/>
      <c r="E124" s="740"/>
      <c r="F124" s="740"/>
      <c r="G124" s="740"/>
      <c r="H124" s="740"/>
      <c r="I124" s="740"/>
      <c r="J124" s="740"/>
      <c r="K124" s="740"/>
      <c r="L124" s="740"/>
      <c r="M124" s="740"/>
      <c r="N124" s="739" t="str">
        <f>IF('加算項目（B病棟）'!I95="有","〇","")</f>
        <v/>
      </c>
      <c r="O124" s="739"/>
      <c r="P124" s="739"/>
      <c r="Q124" s="740" t="s">
        <v>187</v>
      </c>
      <c r="R124" s="740"/>
      <c r="S124" s="740"/>
      <c r="T124" s="740"/>
      <c r="U124" s="740"/>
      <c r="V124" s="740"/>
      <c r="W124" s="740"/>
      <c r="X124" s="740"/>
      <c r="Y124" s="740"/>
      <c r="Z124" s="740"/>
      <c r="AA124" s="740"/>
      <c r="AB124" s="740"/>
      <c r="AC124" s="739" t="str">
        <f>IF('加算項目（B病棟）'!I96="有","〇","")</f>
        <v/>
      </c>
      <c r="AD124" s="739"/>
      <c r="AE124" s="739"/>
      <c r="AF124" s="740" t="s">
        <v>188</v>
      </c>
      <c r="AG124" s="740"/>
      <c r="AH124" s="740"/>
      <c r="AI124" s="740"/>
      <c r="AJ124" s="740"/>
      <c r="AK124" s="740"/>
      <c r="AL124" s="740"/>
      <c r="AM124" s="740"/>
      <c r="AN124" s="740"/>
      <c r="AO124" s="740"/>
      <c r="AP124" s="740"/>
      <c r="AQ124" s="740"/>
      <c r="AR124" s="739" t="str">
        <f>IF('加算項目（B病棟）'!I97="有","〇","")</f>
        <v/>
      </c>
      <c r="AS124" s="739"/>
      <c r="AT124" s="739"/>
    </row>
    <row r="125" spans="2:46" ht="18.75">
      <c r="B125" s="740" t="s">
        <v>1088</v>
      </c>
      <c r="C125" s="740"/>
      <c r="D125" s="740"/>
      <c r="E125" s="740"/>
      <c r="F125" s="740"/>
      <c r="G125" s="740"/>
      <c r="H125" s="740"/>
      <c r="I125" s="740"/>
      <c r="J125" s="740"/>
      <c r="K125" s="740"/>
      <c r="L125" s="740"/>
      <c r="M125" s="740"/>
      <c r="N125" s="739" t="str">
        <f>IF('加算項目（B病棟）'!I98="有","〇","")</f>
        <v/>
      </c>
      <c r="O125" s="739"/>
      <c r="P125" s="739"/>
      <c r="Q125" s="741" t="s">
        <v>189</v>
      </c>
      <c r="R125" s="740"/>
      <c r="S125" s="740"/>
      <c r="T125" s="740"/>
      <c r="U125" s="740"/>
      <c r="V125" s="740"/>
      <c r="W125" s="740"/>
      <c r="X125" s="740"/>
      <c r="Y125" s="740"/>
      <c r="Z125" s="740"/>
      <c r="AA125" s="740"/>
      <c r="AB125" s="740"/>
      <c r="AC125" s="739" t="str">
        <f>IF('加算項目（B病棟）'!I99="有","〇","")</f>
        <v/>
      </c>
      <c r="AD125" s="739"/>
      <c r="AE125" s="739"/>
      <c r="AF125" s="740" t="s">
        <v>190</v>
      </c>
      <c r="AG125" s="740"/>
      <c r="AH125" s="740"/>
      <c r="AI125" s="740"/>
      <c r="AJ125" s="740"/>
      <c r="AK125" s="740"/>
      <c r="AL125" s="740"/>
      <c r="AM125" s="740"/>
      <c r="AN125" s="740"/>
      <c r="AO125" s="740"/>
      <c r="AP125" s="740"/>
      <c r="AQ125" s="740"/>
      <c r="AR125" s="739" t="str">
        <f>IF('加算項目（B病棟）'!I100="有","〇","")</f>
        <v/>
      </c>
      <c r="AS125" s="739"/>
      <c r="AT125" s="739"/>
    </row>
    <row r="126" spans="2:46" ht="18.75">
      <c r="B126" s="485"/>
      <c r="C126" s="485"/>
      <c r="D126" s="485"/>
      <c r="E126" s="485"/>
      <c r="F126" s="485"/>
      <c r="G126" s="485"/>
      <c r="H126" s="485"/>
      <c r="I126" s="485"/>
      <c r="J126" s="485"/>
      <c r="K126" s="485"/>
      <c r="L126" s="485"/>
      <c r="M126" s="485"/>
      <c r="N126" s="244"/>
      <c r="O126" s="244"/>
      <c r="P126" s="244"/>
      <c r="Q126" s="484"/>
      <c r="R126" s="485"/>
      <c r="S126" s="485"/>
      <c r="T126" s="485"/>
      <c r="U126" s="485"/>
      <c r="V126" s="485"/>
      <c r="W126" s="485"/>
      <c r="X126" s="485"/>
      <c r="Y126" s="485"/>
      <c r="Z126" s="485"/>
      <c r="AA126" s="485"/>
      <c r="AB126" s="485"/>
      <c r="AC126" s="244"/>
      <c r="AD126" s="244"/>
      <c r="AE126" s="244"/>
      <c r="AF126" s="485"/>
      <c r="AG126" s="485"/>
      <c r="AH126" s="485"/>
      <c r="AI126" s="485"/>
      <c r="AJ126" s="485"/>
      <c r="AK126" s="485"/>
      <c r="AL126" s="485"/>
      <c r="AM126" s="485"/>
      <c r="AN126" s="485"/>
      <c r="AO126" s="485"/>
      <c r="AP126" s="485"/>
      <c r="AQ126" s="485"/>
      <c r="AR126" s="244"/>
      <c r="AS126" s="244"/>
      <c r="AT126" s="244"/>
    </row>
    <row r="127" spans="2:46" ht="18.75">
      <c r="B127" s="485"/>
      <c r="C127" s="485"/>
      <c r="D127" s="485"/>
      <c r="E127" s="485"/>
      <c r="F127" s="485"/>
      <c r="G127" s="485"/>
      <c r="H127" s="485"/>
      <c r="I127" s="485"/>
      <c r="J127" s="485"/>
      <c r="K127" s="485"/>
      <c r="L127" s="485"/>
      <c r="M127" s="485"/>
      <c r="N127" s="483"/>
      <c r="O127" s="483"/>
      <c r="P127" s="483"/>
      <c r="Q127" s="484"/>
      <c r="R127" s="485"/>
      <c r="S127" s="485"/>
      <c r="T127" s="485"/>
      <c r="U127" s="485"/>
      <c r="V127" s="485"/>
      <c r="W127" s="485"/>
      <c r="X127" s="485"/>
      <c r="Y127" s="485"/>
      <c r="Z127" s="485"/>
      <c r="AA127" s="485"/>
      <c r="AB127" s="485"/>
      <c r="AC127" s="483"/>
      <c r="AD127" s="483"/>
      <c r="AE127" s="483"/>
      <c r="AF127" s="485"/>
      <c r="AG127" s="485"/>
      <c r="AH127" s="485"/>
      <c r="AI127" s="485"/>
      <c r="AJ127" s="485"/>
      <c r="AK127" s="485"/>
      <c r="AL127" s="485"/>
      <c r="AM127" s="485"/>
      <c r="AN127" s="485"/>
      <c r="AO127" s="485"/>
      <c r="AP127" s="485"/>
      <c r="AQ127" s="485"/>
      <c r="AR127" s="483"/>
      <c r="AS127" s="483"/>
      <c r="AT127" s="483"/>
    </row>
    <row r="128" spans="2:46" ht="18.75">
      <c r="B128" s="359" t="s">
        <v>818</v>
      </c>
      <c r="Q128" s="361" t="str">
        <f>IF(L129="入力無し","入力シートに入力がない病棟です","")</f>
        <v>入力シートに入力がない病棟です</v>
      </c>
    </row>
    <row r="129" spans="2:47" ht="18.75">
      <c r="B129" s="804" t="s">
        <v>782</v>
      </c>
      <c r="C129" s="805"/>
      <c r="D129" s="805"/>
      <c r="E129" s="805"/>
      <c r="F129" s="805"/>
      <c r="G129" s="805"/>
      <c r="H129" s="805"/>
      <c r="I129" s="805"/>
      <c r="J129" s="805"/>
      <c r="K129" s="806"/>
      <c r="L129" s="807" t="str">
        <f>IF(入力シート!L24&gt;0,入力シート!L24,"入力無し")</f>
        <v>入力無し</v>
      </c>
      <c r="M129" s="807"/>
      <c r="N129" s="807"/>
      <c r="O129" s="807"/>
      <c r="P129" s="807"/>
      <c r="Q129" s="807"/>
      <c r="R129" s="807"/>
      <c r="S129" s="807"/>
      <c r="T129" s="808" t="s">
        <v>197</v>
      </c>
      <c r="U129" s="808"/>
      <c r="V129" s="376"/>
      <c r="W129" s="809" t="s">
        <v>804</v>
      </c>
      <c r="X129" s="809"/>
      <c r="Y129" s="809"/>
      <c r="Z129" s="809"/>
      <c r="AA129" s="809"/>
      <c r="AB129" s="809"/>
      <c r="AC129" s="809"/>
      <c r="AD129" s="809"/>
      <c r="AE129" s="809"/>
      <c r="AF129" s="809"/>
      <c r="AG129" s="810">
        <f>入力シート!T97</f>
        <v>0</v>
      </c>
      <c r="AH129" s="807"/>
      <c r="AI129" s="807"/>
      <c r="AJ129" s="807"/>
      <c r="AK129" s="807"/>
      <c r="AL129" s="807"/>
      <c r="AM129" s="807"/>
      <c r="AN129" s="807"/>
      <c r="AO129" s="811" t="s">
        <v>806</v>
      </c>
      <c r="AP129" s="811"/>
      <c r="AR129" s="237"/>
      <c r="AS129" s="237"/>
      <c r="AT129" s="237"/>
      <c r="AU129" s="237"/>
    </row>
    <row r="130" spans="2:47" ht="18.75">
      <c r="B130" s="804" t="s">
        <v>820</v>
      </c>
      <c r="C130" s="805"/>
      <c r="D130" s="805"/>
      <c r="E130" s="805"/>
      <c r="F130" s="805"/>
      <c r="G130" s="805"/>
      <c r="H130" s="805"/>
      <c r="I130" s="805"/>
      <c r="J130" s="805"/>
      <c r="K130" s="806"/>
      <c r="L130" s="825" t="str">
        <f>IFERROR(IF(入力シート!K83=0,入力シート!E83,入力シート!K83*100),"入力無し")</f>
        <v>入力無し</v>
      </c>
      <c r="M130" s="825"/>
      <c r="N130" s="825"/>
      <c r="O130" s="825"/>
      <c r="P130" s="825"/>
      <c r="Q130" s="825"/>
      <c r="R130" s="825"/>
      <c r="S130" s="825"/>
      <c r="T130" s="808" t="s">
        <v>805</v>
      </c>
      <c r="U130" s="808"/>
      <c r="V130" s="376"/>
      <c r="W130" s="826" t="s">
        <v>981</v>
      </c>
      <c r="X130" s="827"/>
      <c r="Y130" s="827"/>
      <c r="Z130" s="827"/>
      <c r="AA130" s="827"/>
      <c r="AB130" s="827"/>
      <c r="AC130" s="827"/>
      <c r="AD130" s="827"/>
      <c r="AE130" s="827"/>
      <c r="AF130" s="828"/>
      <c r="AG130" s="814">
        <f>IFERROR(AG129/L129/365*1000,0)</f>
        <v>0</v>
      </c>
      <c r="AH130" s="814"/>
      <c r="AI130" s="814"/>
      <c r="AJ130" s="814"/>
      <c r="AK130" s="814"/>
      <c r="AL130" s="814"/>
      <c r="AM130" s="814"/>
      <c r="AN130" s="814"/>
      <c r="AO130" s="808" t="s">
        <v>621</v>
      </c>
      <c r="AP130" s="808"/>
      <c r="AR130" s="237"/>
      <c r="AS130" s="237"/>
      <c r="AT130" s="581"/>
      <c r="AU130" s="581"/>
    </row>
    <row r="131" spans="2:47" ht="18.75">
      <c r="B131" s="804" t="s">
        <v>784</v>
      </c>
      <c r="C131" s="805"/>
      <c r="D131" s="805"/>
      <c r="E131" s="805"/>
      <c r="F131" s="805"/>
      <c r="G131" s="805"/>
      <c r="H131" s="805"/>
      <c r="I131" s="805"/>
      <c r="J131" s="805"/>
      <c r="K131" s="806"/>
      <c r="L131" s="815" t="str">
        <f>IF(入力シート!K91="-",入力シート!E91,入力シート!K91)</f>
        <v/>
      </c>
      <c r="M131" s="815"/>
      <c r="N131" s="815"/>
      <c r="O131" s="815"/>
      <c r="P131" s="815"/>
      <c r="Q131" s="815"/>
      <c r="R131" s="815"/>
      <c r="S131" s="815"/>
      <c r="T131" s="824"/>
      <c r="U131" s="816"/>
      <c r="AO131" s="237"/>
      <c r="AP131" s="237"/>
      <c r="AQ131" s="237"/>
      <c r="AR131" s="237"/>
      <c r="AS131" s="237"/>
      <c r="AT131" s="237"/>
      <c r="AU131" s="237"/>
    </row>
    <row r="132" spans="2:47" ht="18.75"/>
    <row r="133" spans="2:47" ht="18.75">
      <c r="B133" s="740" t="s">
        <v>807</v>
      </c>
      <c r="C133" s="740"/>
      <c r="D133" s="740"/>
      <c r="E133" s="740"/>
      <c r="F133" s="740"/>
      <c r="G133" s="740"/>
      <c r="H133" s="740"/>
      <c r="I133" s="740"/>
      <c r="J133" s="740"/>
      <c r="K133" s="740"/>
      <c r="L133" s="740"/>
      <c r="M133" s="740"/>
      <c r="N133" s="740"/>
      <c r="O133" s="740"/>
      <c r="P133" s="740"/>
      <c r="Q133" s="740"/>
      <c r="R133" s="740"/>
      <c r="S133" s="740"/>
      <c r="T133" s="740"/>
      <c r="U133" s="740"/>
      <c r="V133" s="740"/>
      <c r="W133" s="740"/>
      <c r="X133" s="740"/>
      <c r="Y133" s="740"/>
      <c r="Z133" s="740"/>
      <c r="AA133" s="740"/>
      <c r="AB133" s="740"/>
      <c r="AC133" s="740"/>
      <c r="AD133" s="740"/>
      <c r="AE133" s="740"/>
      <c r="AF133" s="740"/>
      <c r="AG133" s="740"/>
      <c r="AH133" s="740"/>
      <c r="AI133" s="740"/>
      <c r="AJ133" s="740"/>
      <c r="AK133" s="740"/>
      <c r="AL133" s="740"/>
      <c r="AM133" s="740"/>
      <c r="AN133" s="740"/>
      <c r="AO133" s="740"/>
      <c r="AP133" s="740"/>
      <c r="AQ133" s="740"/>
      <c r="AR133" s="740"/>
      <c r="AS133" s="740"/>
      <c r="AT133" s="740"/>
    </row>
    <row r="134" spans="2:47" ht="18.75">
      <c r="B134" s="740" t="s">
        <v>973</v>
      </c>
      <c r="C134" s="740"/>
      <c r="D134" s="740"/>
      <c r="E134" s="740"/>
      <c r="F134" s="740"/>
      <c r="G134" s="740"/>
      <c r="H134" s="740"/>
      <c r="I134" s="740"/>
      <c r="J134" s="740"/>
      <c r="K134" s="740"/>
      <c r="L134" s="740"/>
      <c r="M134" s="740"/>
      <c r="N134" s="739" t="str">
        <f>IF('加算項目（C病棟）'!I5="有","〇","")</f>
        <v/>
      </c>
      <c r="O134" s="739"/>
      <c r="P134" s="739"/>
      <c r="Q134" s="741" t="s">
        <v>974</v>
      </c>
      <c r="R134" s="740"/>
      <c r="S134" s="740"/>
      <c r="T134" s="740"/>
      <c r="U134" s="740"/>
      <c r="V134" s="740"/>
      <c r="W134" s="740"/>
      <c r="X134" s="740"/>
      <c r="Y134" s="740"/>
      <c r="Z134" s="740"/>
      <c r="AA134" s="740"/>
      <c r="AB134" s="740"/>
      <c r="AC134" s="739" t="str">
        <f>IF('加算項目（C病棟）'!I6="有","〇","")</f>
        <v/>
      </c>
      <c r="AD134" s="739"/>
      <c r="AE134" s="739"/>
      <c r="AF134" s="741" t="s">
        <v>975</v>
      </c>
      <c r="AG134" s="740"/>
      <c r="AH134" s="740"/>
      <c r="AI134" s="740"/>
      <c r="AJ134" s="740"/>
      <c r="AK134" s="740"/>
      <c r="AL134" s="740"/>
      <c r="AM134" s="740"/>
      <c r="AN134" s="740"/>
      <c r="AO134" s="740"/>
      <c r="AP134" s="740"/>
      <c r="AQ134" s="740"/>
      <c r="AR134" s="818" t="str">
        <f>IF('加算項目（C病棟）'!I7="有","〇","")</f>
        <v/>
      </c>
      <c r="AS134" s="819"/>
      <c r="AT134" s="820"/>
    </row>
    <row r="135" spans="2:47" ht="18.75">
      <c r="B135" s="741" t="s">
        <v>976</v>
      </c>
      <c r="C135" s="740"/>
      <c r="D135" s="740"/>
      <c r="E135" s="740"/>
      <c r="F135" s="740"/>
      <c r="G135" s="740"/>
      <c r="H135" s="740"/>
      <c r="I135" s="740"/>
      <c r="J135" s="740"/>
      <c r="K135" s="740"/>
      <c r="L135" s="740"/>
      <c r="M135" s="740"/>
      <c r="N135" s="739" t="str">
        <f>IF('加算項目（C病棟）'!I8="有","〇","")</f>
        <v/>
      </c>
      <c r="O135" s="739"/>
      <c r="P135" s="739"/>
      <c r="Q135" s="741" t="s">
        <v>785</v>
      </c>
      <c r="R135" s="740"/>
      <c r="S135" s="740"/>
      <c r="T135" s="740"/>
      <c r="U135" s="740"/>
      <c r="V135" s="740"/>
      <c r="W135" s="740"/>
      <c r="X135" s="740"/>
      <c r="Y135" s="740"/>
      <c r="Z135" s="740"/>
      <c r="AA135" s="740"/>
      <c r="AB135" s="740"/>
      <c r="AC135" s="739" t="str">
        <f>IF('加算項目（C病棟）'!I9="有","〇","")</f>
        <v/>
      </c>
      <c r="AD135" s="739"/>
      <c r="AE135" s="739"/>
      <c r="AF135" s="741" t="s">
        <v>809</v>
      </c>
      <c r="AG135" s="740"/>
      <c r="AH135" s="740"/>
      <c r="AI135" s="740"/>
      <c r="AJ135" s="740"/>
      <c r="AK135" s="740"/>
      <c r="AL135" s="740"/>
      <c r="AM135" s="740"/>
      <c r="AN135" s="740"/>
      <c r="AO135" s="740"/>
      <c r="AP135" s="740"/>
      <c r="AQ135" s="740"/>
      <c r="AR135" s="818" t="str">
        <f>IF('加算項目（C病棟）'!I10="有","〇","")</f>
        <v/>
      </c>
      <c r="AS135" s="819"/>
      <c r="AT135" s="820"/>
    </row>
    <row r="136" spans="2:47" ht="18.75">
      <c r="B136" s="741" t="s">
        <v>156</v>
      </c>
      <c r="C136" s="741"/>
      <c r="D136" s="741"/>
      <c r="E136" s="741"/>
      <c r="F136" s="741"/>
      <c r="G136" s="741"/>
      <c r="H136" s="741"/>
      <c r="I136" s="741"/>
      <c r="J136" s="741"/>
      <c r="K136" s="741"/>
      <c r="L136" s="741"/>
      <c r="M136" s="741"/>
      <c r="N136" s="818" t="str">
        <f>IF('加算項目（C病棟）'!I11="有","〇","")</f>
        <v/>
      </c>
      <c r="O136" s="819"/>
      <c r="P136" s="820"/>
      <c r="Q136" s="741" t="s">
        <v>810</v>
      </c>
      <c r="R136" s="741"/>
      <c r="S136" s="741"/>
      <c r="T136" s="741"/>
      <c r="U136" s="741"/>
      <c r="V136" s="741"/>
      <c r="W136" s="741"/>
      <c r="X136" s="741"/>
      <c r="Y136" s="741"/>
      <c r="Z136" s="741"/>
      <c r="AA136" s="741"/>
      <c r="AB136" s="741"/>
      <c r="AC136" s="739" t="str">
        <f>IF('加算項目（C病棟）'!I12="有","〇","")</f>
        <v/>
      </c>
      <c r="AD136" s="739"/>
      <c r="AE136" s="739"/>
      <c r="AF136" s="741" t="s">
        <v>140</v>
      </c>
      <c r="AG136" s="741"/>
      <c r="AH136" s="741"/>
      <c r="AI136" s="741"/>
      <c r="AJ136" s="741"/>
      <c r="AK136" s="741"/>
      <c r="AL136" s="741"/>
      <c r="AM136" s="741"/>
      <c r="AN136" s="741"/>
      <c r="AO136" s="741"/>
      <c r="AP136" s="741"/>
      <c r="AQ136" s="741"/>
      <c r="AR136" s="739" t="str">
        <f>IF('加算項目（C病棟）'!I14="有","〇","")</f>
        <v/>
      </c>
      <c r="AS136" s="739"/>
      <c r="AT136" s="739"/>
    </row>
    <row r="137" spans="2:47" ht="18.75">
      <c r="B137" s="741" t="s">
        <v>811</v>
      </c>
      <c r="C137" s="740"/>
      <c r="D137" s="740"/>
      <c r="E137" s="740"/>
      <c r="F137" s="740"/>
      <c r="G137" s="740"/>
      <c r="H137" s="740"/>
      <c r="I137" s="740"/>
      <c r="J137" s="740"/>
      <c r="K137" s="740"/>
      <c r="L137" s="740"/>
      <c r="M137" s="740"/>
      <c r="N137" s="739" t="str">
        <f>IF('加算項目（C病棟）'!I15="有","〇","")</f>
        <v/>
      </c>
      <c r="O137" s="739"/>
      <c r="P137" s="739"/>
      <c r="Q137" s="741" t="s">
        <v>786</v>
      </c>
      <c r="R137" s="741"/>
      <c r="S137" s="741"/>
      <c r="T137" s="741"/>
      <c r="U137" s="741"/>
      <c r="V137" s="741"/>
      <c r="W137" s="741"/>
      <c r="X137" s="741"/>
      <c r="Y137" s="741"/>
      <c r="Z137" s="741"/>
      <c r="AA137" s="741"/>
      <c r="AB137" s="741"/>
      <c r="AC137" s="739" t="str">
        <f>IF('加算項目（C病棟）'!I16="有","〇","")</f>
        <v/>
      </c>
      <c r="AD137" s="739"/>
      <c r="AE137" s="739"/>
      <c r="AF137" s="741" t="s">
        <v>787</v>
      </c>
      <c r="AG137" s="741"/>
      <c r="AH137" s="741"/>
      <c r="AI137" s="741"/>
      <c r="AJ137" s="741"/>
      <c r="AK137" s="741"/>
      <c r="AL137" s="741"/>
      <c r="AM137" s="741"/>
      <c r="AN137" s="741"/>
      <c r="AO137" s="741"/>
      <c r="AP137" s="741"/>
      <c r="AQ137" s="741"/>
      <c r="AR137" s="739" t="str">
        <f>IF('加算項目（C病棟）'!I17="有","〇","")</f>
        <v/>
      </c>
      <c r="AS137" s="739"/>
      <c r="AT137" s="739"/>
    </row>
    <row r="138" spans="2:47" ht="18.75">
      <c r="B138" s="741" t="s">
        <v>788</v>
      </c>
      <c r="C138" s="741"/>
      <c r="D138" s="741"/>
      <c r="E138" s="741"/>
      <c r="F138" s="741"/>
      <c r="G138" s="741"/>
      <c r="H138" s="741"/>
      <c r="I138" s="741"/>
      <c r="J138" s="741"/>
      <c r="K138" s="741"/>
      <c r="L138" s="741"/>
      <c r="M138" s="741"/>
      <c r="N138" s="739" t="str">
        <f>IF('加算項目（C病棟）'!I18="有","〇","")</f>
        <v/>
      </c>
      <c r="O138" s="739"/>
      <c r="P138" s="739"/>
      <c r="Q138" s="741" t="s">
        <v>789</v>
      </c>
      <c r="R138" s="740"/>
      <c r="S138" s="740"/>
      <c r="T138" s="740"/>
      <c r="U138" s="740"/>
      <c r="V138" s="740"/>
      <c r="W138" s="740"/>
      <c r="X138" s="740"/>
      <c r="Y138" s="740"/>
      <c r="Z138" s="740"/>
      <c r="AA138" s="740"/>
      <c r="AB138" s="740"/>
      <c r="AC138" s="739" t="str">
        <f>IF('加算項目（C病棟）'!I19="有","〇","")</f>
        <v/>
      </c>
      <c r="AD138" s="739"/>
      <c r="AE138" s="739"/>
      <c r="AF138" s="741" t="s">
        <v>790</v>
      </c>
      <c r="AG138" s="740"/>
      <c r="AH138" s="740"/>
      <c r="AI138" s="740"/>
      <c r="AJ138" s="740"/>
      <c r="AK138" s="740"/>
      <c r="AL138" s="740"/>
      <c r="AM138" s="740"/>
      <c r="AN138" s="740"/>
      <c r="AO138" s="740"/>
      <c r="AP138" s="740"/>
      <c r="AQ138" s="740"/>
      <c r="AR138" s="739" t="str">
        <f>IF('加算項目（C病棟）'!I20="有","〇","")</f>
        <v/>
      </c>
      <c r="AS138" s="739"/>
      <c r="AT138" s="739"/>
    </row>
    <row r="139" spans="2:47" ht="18.75">
      <c r="B139" s="741" t="s">
        <v>802</v>
      </c>
      <c r="C139" s="740"/>
      <c r="D139" s="740"/>
      <c r="E139" s="740"/>
      <c r="F139" s="740"/>
      <c r="G139" s="740"/>
      <c r="H139" s="740"/>
      <c r="I139" s="740"/>
      <c r="J139" s="740"/>
      <c r="K139" s="740"/>
      <c r="L139" s="740"/>
      <c r="M139" s="740"/>
      <c r="N139" s="739" t="str">
        <f>IF('加算項目（C病棟）'!I21="有","〇","")</f>
        <v/>
      </c>
      <c r="O139" s="739"/>
      <c r="P139" s="739"/>
      <c r="Q139" s="741" t="s">
        <v>1047</v>
      </c>
      <c r="R139" s="740"/>
      <c r="S139" s="740"/>
      <c r="T139" s="740"/>
      <c r="U139" s="740"/>
      <c r="V139" s="740"/>
      <c r="W139" s="740"/>
      <c r="X139" s="740"/>
      <c r="Y139" s="740"/>
      <c r="Z139" s="740"/>
      <c r="AA139" s="740"/>
      <c r="AB139" s="740"/>
      <c r="AC139" s="739" t="str">
        <f>IF('加算項目（C病棟）'!I22="有","〇","")</f>
        <v/>
      </c>
      <c r="AD139" s="739"/>
      <c r="AE139" s="739"/>
      <c r="AF139" s="740" t="s">
        <v>791</v>
      </c>
      <c r="AG139" s="740"/>
      <c r="AH139" s="740"/>
      <c r="AI139" s="740"/>
      <c r="AJ139" s="740"/>
      <c r="AK139" s="740"/>
      <c r="AL139" s="740"/>
      <c r="AM139" s="740"/>
      <c r="AN139" s="740"/>
      <c r="AO139" s="740"/>
      <c r="AP139" s="740"/>
      <c r="AQ139" s="740"/>
      <c r="AR139" s="739" t="str">
        <f>IF('加算項目（C病棟）'!I23="有","〇","")</f>
        <v/>
      </c>
      <c r="AS139" s="739"/>
      <c r="AT139" s="739"/>
    </row>
    <row r="140" spans="2:47" ht="18.75">
      <c r="B140" s="740" t="s">
        <v>792</v>
      </c>
      <c r="C140" s="740"/>
      <c r="D140" s="740"/>
      <c r="E140" s="740"/>
      <c r="F140" s="740"/>
      <c r="G140" s="740"/>
      <c r="H140" s="740"/>
      <c r="I140" s="740"/>
      <c r="J140" s="740"/>
      <c r="K140" s="740"/>
      <c r="L140" s="740"/>
      <c r="M140" s="740"/>
      <c r="N140" s="739" t="str">
        <f>IF('加算項目（C病棟）'!I24="有","〇","")</f>
        <v/>
      </c>
      <c r="O140" s="739"/>
      <c r="P140" s="739"/>
      <c r="Q140" s="741" t="s">
        <v>1074</v>
      </c>
      <c r="R140" s="740"/>
      <c r="S140" s="740"/>
      <c r="T140" s="740"/>
      <c r="U140" s="740"/>
      <c r="V140" s="740"/>
      <c r="W140" s="740"/>
      <c r="X140" s="740"/>
      <c r="Y140" s="740"/>
      <c r="Z140" s="740"/>
      <c r="AA140" s="740"/>
      <c r="AB140" s="740"/>
      <c r="AC140" s="739" t="str">
        <f>IF('加算項目（C病棟）'!I25="有","〇","")</f>
        <v/>
      </c>
      <c r="AD140" s="739"/>
      <c r="AE140" s="739"/>
      <c r="AF140" s="741" t="s">
        <v>1045</v>
      </c>
      <c r="AG140" s="740"/>
      <c r="AH140" s="740"/>
      <c r="AI140" s="740"/>
      <c r="AJ140" s="740"/>
      <c r="AK140" s="740"/>
      <c r="AL140" s="740"/>
      <c r="AM140" s="740"/>
      <c r="AN140" s="740"/>
      <c r="AO140" s="740"/>
      <c r="AP140" s="740"/>
      <c r="AQ140" s="740"/>
      <c r="AR140" s="739" t="str">
        <f>IF('加算項目（C病棟）'!I26="有","〇","")</f>
        <v/>
      </c>
      <c r="AS140" s="739"/>
      <c r="AT140" s="739"/>
    </row>
    <row r="141" spans="2:47" ht="18.75">
      <c r="B141" s="741" t="s">
        <v>1046</v>
      </c>
      <c r="C141" s="740"/>
      <c r="D141" s="740"/>
      <c r="E141" s="740"/>
      <c r="F141" s="740"/>
      <c r="G141" s="740"/>
      <c r="H141" s="740"/>
      <c r="I141" s="740"/>
      <c r="J141" s="740"/>
      <c r="K141" s="740"/>
      <c r="L141" s="740"/>
      <c r="M141" s="740"/>
      <c r="N141" s="739" t="str">
        <f>IF('加算項目（C病棟）'!I27="有","〇","")</f>
        <v/>
      </c>
      <c r="O141" s="739"/>
      <c r="P141" s="739"/>
      <c r="Q141" s="741" t="s">
        <v>793</v>
      </c>
      <c r="R141" s="740"/>
      <c r="S141" s="740"/>
      <c r="T141" s="740"/>
      <c r="U141" s="740"/>
      <c r="V141" s="740"/>
      <c r="W141" s="740"/>
      <c r="X141" s="740"/>
      <c r="Y141" s="740"/>
      <c r="Z141" s="740"/>
      <c r="AA141" s="740"/>
      <c r="AB141" s="740"/>
      <c r="AC141" s="739" t="str">
        <f>IF('加算項目（C病棟）'!I28="有","〇","")</f>
        <v/>
      </c>
      <c r="AD141" s="739"/>
      <c r="AE141" s="739"/>
      <c r="AF141" s="741" t="s">
        <v>794</v>
      </c>
      <c r="AG141" s="740"/>
      <c r="AH141" s="740"/>
      <c r="AI141" s="740"/>
      <c r="AJ141" s="740"/>
      <c r="AK141" s="740"/>
      <c r="AL141" s="740"/>
      <c r="AM141" s="740"/>
      <c r="AN141" s="740"/>
      <c r="AO141" s="740"/>
      <c r="AP141" s="740"/>
      <c r="AQ141" s="740"/>
      <c r="AR141" s="739" t="str">
        <f>IF('加算項目（C病棟）'!I29="有","〇","")</f>
        <v/>
      </c>
      <c r="AS141" s="739"/>
      <c r="AT141" s="739"/>
    </row>
    <row r="142" spans="2:47" ht="18.75">
      <c r="B142" s="741" t="s">
        <v>151</v>
      </c>
      <c r="C142" s="740"/>
      <c r="D142" s="740"/>
      <c r="E142" s="740"/>
      <c r="F142" s="740"/>
      <c r="G142" s="740"/>
      <c r="H142" s="740"/>
      <c r="I142" s="740"/>
      <c r="J142" s="740"/>
      <c r="K142" s="740"/>
      <c r="L142" s="740"/>
      <c r="M142" s="740"/>
      <c r="N142" s="739" t="str">
        <f>IF('加算項目（C病棟）'!I31="有","〇","")</f>
        <v/>
      </c>
      <c r="O142" s="739"/>
      <c r="P142" s="739"/>
      <c r="Q142" s="741" t="s">
        <v>1076</v>
      </c>
      <c r="R142" s="740"/>
      <c r="S142" s="740"/>
      <c r="T142" s="740"/>
      <c r="U142" s="740"/>
      <c r="V142" s="740"/>
      <c r="W142" s="740"/>
      <c r="X142" s="740"/>
      <c r="Y142" s="740"/>
      <c r="Z142" s="740"/>
      <c r="AA142" s="740"/>
      <c r="AB142" s="740"/>
      <c r="AC142" s="739" t="str">
        <f>IF('加算項目（C病棟）'!I32="有","〇","")</f>
        <v/>
      </c>
      <c r="AD142" s="739"/>
      <c r="AE142" s="739"/>
      <c r="AF142" s="741" t="s">
        <v>795</v>
      </c>
      <c r="AG142" s="740"/>
      <c r="AH142" s="740"/>
      <c r="AI142" s="740"/>
      <c r="AJ142" s="740"/>
      <c r="AK142" s="740"/>
      <c r="AL142" s="740"/>
      <c r="AM142" s="740"/>
      <c r="AN142" s="740"/>
      <c r="AO142" s="740"/>
      <c r="AP142" s="740"/>
      <c r="AQ142" s="740"/>
      <c r="AR142" s="739" t="str">
        <f>IF('加算項目（C病棟）'!I33="有","〇","")</f>
        <v/>
      </c>
      <c r="AS142" s="739"/>
      <c r="AT142" s="739"/>
    </row>
    <row r="143" spans="2:47" ht="18.75">
      <c r="B143" s="741" t="s">
        <v>796</v>
      </c>
      <c r="C143" s="740"/>
      <c r="D143" s="740"/>
      <c r="E143" s="740"/>
      <c r="F143" s="740"/>
      <c r="G143" s="740"/>
      <c r="H143" s="740"/>
      <c r="I143" s="740"/>
      <c r="J143" s="740"/>
      <c r="K143" s="740"/>
      <c r="L143" s="740"/>
      <c r="M143" s="740"/>
      <c r="N143" s="739" t="str">
        <f>IF('加算項目（C病棟）'!I34="有","〇","")</f>
        <v/>
      </c>
      <c r="O143" s="739"/>
      <c r="P143" s="739"/>
      <c r="Q143" s="740" t="s">
        <v>797</v>
      </c>
      <c r="R143" s="740"/>
      <c r="S143" s="740"/>
      <c r="T143" s="740"/>
      <c r="U143" s="740"/>
      <c r="V143" s="740"/>
      <c r="W143" s="740"/>
      <c r="X143" s="740"/>
      <c r="Y143" s="740"/>
      <c r="Z143" s="740"/>
      <c r="AA143" s="740"/>
      <c r="AB143" s="740"/>
      <c r="AC143" s="739" t="str">
        <f>IF('加算項目（C病棟）'!I35="有","〇","")</f>
        <v/>
      </c>
      <c r="AD143" s="739"/>
      <c r="AE143" s="739"/>
      <c r="AF143" s="741" t="s">
        <v>803</v>
      </c>
      <c r="AG143" s="740"/>
      <c r="AH143" s="740"/>
      <c r="AI143" s="740"/>
      <c r="AJ143" s="740"/>
      <c r="AK143" s="740"/>
      <c r="AL143" s="740"/>
      <c r="AM143" s="740"/>
      <c r="AN143" s="740"/>
      <c r="AO143" s="740"/>
      <c r="AP143" s="740"/>
      <c r="AQ143" s="740"/>
      <c r="AR143" s="739" t="str">
        <f>IF('加算項目（C病棟）'!I36="有","〇","")</f>
        <v/>
      </c>
      <c r="AS143" s="739"/>
      <c r="AT143" s="739"/>
    </row>
    <row r="144" spans="2:47" ht="18.75">
      <c r="B144" s="740" t="s">
        <v>1077</v>
      </c>
      <c r="C144" s="740"/>
      <c r="D144" s="740"/>
      <c r="E144" s="740"/>
      <c r="F144" s="740"/>
      <c r="G144" s="740"/>
      <c r="H144" s="740"/>
      <c r="I144" s="740"/>
      <c r="J144" s="740"/>
      <c r="K144" s="740"/>
      <c r="L144" s="740"/>
      <c r="M144" s="740"/>
      <c r="N144" s="739" t="str">
        <f>IF('加算項目（C病棟）'!I37="有","〇","")</f>
        <v/>
      </c>
      <c r="O144" s="739"/>
      <c r="P144" s="739"/>
      <c r="Q144" s="740" t="s">
        <v>1078</v>
      </c>
      <c r="R144" s="740"/>
      <c r="S144" s="740"/>
      <c r="T144" s="740"/>
      <c r="U144" s="740"/>
      <c r="V144" s="740"/>
      <c r="W144" s="740"/>
      <c r="X144" s="740"/>
      <c r="Y144" s="740"/>
      <c r="Z144" s="740"/>
      <c r="AA144" s="740"/>
      <c r="AB144" s="740"/>
      <c r="AC144" s="739" t="str">
        <f>IF('加算項目（C病棟）'!I38="有","〇","")</f>
        <v/>
      </c>
      <c r="AD144" s="739"/>
      <c r="AE144" s="739"/>
      <c r="AF144" s="740" t="s">
        <v>1079</v>
      </c>
      <c r="AG144" s="740"/>
      <c r="AH144" s="740"/>
      <c r="AI144" s="740"/>
      <c r="AJ144" s="740"/>
      <c r="AK144" s="740"/>
      <c r="AL144" s="740"/>
      <c r="AM144" s="740"/>
      <c r="AN144" s="740"/>
      <c r="AO144" s="740"/>
      <c r="AP144" s="740"/>
      <c r="AQ144" s="740"/>
      <c r="AR144" s="739" t="str">
        <f>IF('加算項目（C病棟）'!I39="有","〇","")</f>
        <v/>
      </c>
      <c r="AS144" s="739"/>
      <c r="AT144" s="739"/>
    </row>
    <row r="145" spans="2:46" ht="18.75">
      <c r="B145" s="740" t="s">
        <v>1103</v>
      </c>
      <c r="C145" s="740"/>
      <c r="D145" s="740"/>
      <c r="E145" s="740"/>
      <c r="F145" s="740"/>
      <c r="G145" s="740"/>
      <c r="H145" s="740"/>
      <c r="I145" s="740"/>
      <c r="J145" s="740"/>
      <c r="K145" s="740"/>
      <c r="L145" s="740"/>
      <c r="M145" s="740"/>
      <c r="N145" s="739" t="str">
        <f>IF('加算項目（C病棟）'!I40="有","〇","")</f>
        <v/>
      </c>
      <c r="O145" s="739"/>
      <c r="P145" s="739"/>
      <c r="Q145" s="740" t="s">
        <v>1080</v>
      </c>
      <c r="R145" s="740"/>
      <c r="S145" s="740"/>
      <c r="T145" s="740"/>
      <c r="U145" s="740"/>
      <c r="V145" s="740"/>
      <c r="W145" s="740"/>
      <c r="X145" s="740"/>
      <c r="Y145" s="740"/>
      <c r="Z145" s="740"/>
      <c r="AA145" s="740"/>
      <c r="AB145" s="740"/>
      <c r="AC145" s="739" t="str">
        <f>IF('加算項目（C病棟）'!I41="有","〇","")</f>
        <v/>
      </c>
      <c r="AD145" s="739"/>
      <c r="AE145" s="739"/>
      <c r="AF145" s="740" t="s">
        <v>1081</v>
      </c>
      <c r="AG145" s="740"/>
      <c r="AH145" s="740"/>
      <c r="AI145" s="740"/>
      <c r="AJ145" s="740"/>
      <c r="AK145" s="740"/>
      <c r="AL145" s="740"/>
      <c r="AM145" s="740"/>
      <c r="AN145" s="740"/>
      <c r="AO145" s="740"/>
      <c r="AP145" s="740"/>
      <c r="AQ145" s="740"/>
      <c r="AR145" s="739" t="str">
        <f>IF('加算項目（C病棟）'!I42="有","〇","")</f>
        <v/>
      </c>
      <c r="AS145" s="739"/>
      <c r="AT145" s="739"/>
    </row>
    <row r="146" spans="2:46" ht="18.75">
      <c r="B146" s="740" t="s">
        <v>1082</v>
      </c>
      <c r="C146" s="740"/>
      <c r="D146" s="740"/>
      <c r="E146" s="740"/>
      <c r="F146" s="740"/>
      <c r="G146" s="740"/>
      <c r="H146" s="740"/>
      <c r="I146" s="740"/>
      <c r="J146" s="740"/>
      <c r="K146" s="740"/>
      <c r="L146" s="740"/>
      <c r="M146" s="740"/>
      <c r="N146" s="739" t="str">
        <f>IF('加算項目（C病棟）'!I43="有","〇","")</f>
        <v/>
      </c>
      <c r="O146" s="739"/>
      <c r="P146" s="739"/>
      <c r="Q146" s="740" t="s">
        <v>1083</v>
      </c>
      <c r="R146" s="740"/>
      <c r="S146" s="740"/>
      <c r="T146" s="740"/>
      <c r="U146" s="740"/>
      <c r="V146" s="740"/>
      <c r="W146" s="740"/>
      <c r="X146" s="740"/>
      <c r="Y146" s="740"/>
      <c r="Z146" s="740"/>
      <c r="AA146" s="740"/>
      <c r="AB146" s="740"/>
      <c r="AC146" s="739" t="str">
        <f>IF('加算項目（C病棟）'!I44="有","〇","")</f>
        <v/>
      </c>
      <c r="AD146" s="739"/>
      <c r="AE146" s="739"/>
      <c r="AF146" s="740" t="s">
        <v>1053</v>
      </c>
      <c r="AG146" s="740"/>
      <c r="AH146" s="740"/>
      <c r="AI146" s="740"/>
      <c r="AJ146" s="740"/>
      <c r="AK146" s="740"/>
      <c r="AL146" s="740"/>
      <c r="AM146" s="740"/>
      <c r="AN146" s="740"/>
      <c r="AO146" s="740"/>
      <c r="AP146" s="740"/>
      <c r="AQ146" s="740"/>
      <c r="AR146" s="739" t="str">
        <f>IF('加算項目（C病棟）'!I45="有","〇","")</f>
        <v/>
      </c>
      <c r="AS146" s="739"/>
      <c r="AT146" s="739"/>
    </row>
    <row r="147" spans="2:46" ht="18.75">
      <c r="B147" s="740" t="s">
        <v>1059</v>
      </c>
      <c r="C147" s="740"/>
      <c r="D147" s="740"/>
      <c r="E147" s="740"/>
      <c r="F147" s="740"/>
      <c r="G147" s="740"/>
      <c r="H147" s="740"/>
      <c r="I147" s="740"/>
      <c r="J147" s="740"/>
      <c r="K147" s="740"/>
      <c r="L147" s="740"/>
      <c r="M147" s="740"/>
      <c r="N147" s="739" t="str">
        <f>IF('加算項目（C病棟）'!I46="有","〇","")</f>
        <v/>
      </c>
      <c r="O147" s="739"/>
      <c r="P147" s="739"/>
      <c r="Q147" s="741" t="s">
        <v>798</v>
      </c>
      <c r="R147" s="740"/>
      <c r="S147" s="740"/>
      <c r="T147" s="740"/>
      <c r="U147" s="740"/>
      <c r="V147" s="740"/>
      <c r="W147" s="740"/>
      <c r="X147" s="740"/>
      <c r="Y147" s="740"/>
      <c r="Z147" s="740"/>
      <c r="AA147" s="740"/>
      <c r="AB147" s="740"/>
      <c r="AC147" s="739" t="str">
        <f>IF('加算項目（C病棟）'!I47="有","〇","")</f>
        <v/>
      </c>
      <c r="AD147" s="739"/>
      <c r="AE147" s="739"/>
      <c r="AF147" s="741" t="s">
        <v>799</v>
      </c>
      <c r="AG147" s="740"/>
      <c r="AH147" s="740"/>
      <c r="AI147" s="740"/>
      <c r="AJ147" s="740"/>
      <c r="AK147" s="740"/>
      <c r="AL147" s="740"/>
      <c r="AM147" s="740"/>
      <c r="AN147" s="740"/>
      <c r="AO147" s="740"/>
      <c r="AP147" s="740"/>
      <c r="AQ147" s="740"/>
      <c r="AR147" s="739" t="str">
        <f>IF('加算項目（C病棟）'!I48="有","〇","")</f>
        <v/>
      </c>
      <c r="AS147" s="739"/>
      <c r="AT147" s="739"/>
    </row>
    <row r="148" spans="2:46" ht="18.75">
      <c r="B148" s="741" t="s">
        <v>800</v>
      </c>
      <c r="C148" s="740"/>
      <c r="D148" s="740"/>
      <c r="E148" s="740"/>
      <c r="F148" s="740"/>
      <c r="G148" s="740"/>
      <c r="H148" s="740"/>
      <c r="I148" s="740"/>
      <c r="J148" s="740"/>
      <c r="K148" s="740"/>
      <c r="L148" s="740"/>
      <c r="M148" s="740"/>
      <c r="N148" s="739" t="str">
        <f>IF('加算項目（C病棟）'!I49="有","〇","")</f>
        <v/>
      </c>
      <c r="O148" s="739"/>
      <c r="P148" s="739"/>
      <c r="Q148" s="741" t="s">
        <v>801</v>
      </c>
      <c r="R148" s="740"/>
      <c r="S148" s="740"/>
      <c r="T148" s="740"/>
      <c r="U148" s="740"/>
      <c r="V148" s="740"/>
      <c r="W148" s="740"/>
      <c r="X148" s="740"/>
      <c r="Y148" s="740"/>
      <c r="Z148" s="740"/>
      <c r="AA148" s="740"/>
      <c r="AB148" s="740"/>
      <c r="AC148" s="739" t="str">
        <f>IF('加算項目（C病棟）'!I50="有","〇","")</f>
        <v/>
      </c>
      <c r="AD148" s="739"/>
      <c r="AE148" s="739"/>
      <c r="AF148" s="741" t="s">
        <v>863</v>
      </c>
      <c r="AG148" s="740"/>
      <c r="AH148" s="740"/>
      <c r="AI148" s="740"/>
      <c r="AJ148" s="740"/>
      <c r="AK148" s="740"/>
      <c r="AL148" s="740"/>
      <c r="AM148" s="740"/>
      <c r="AN148" s="740"/>
      <c r="AO148" s="740"/>
      <c r="AP148" s="740"/>
      <c r="AQ148" s="740"/>
      <c r="AR148" s="739" t="str">
        <f>IF('加算項目（C病棟）'!I51="有","〇","")</f>
        <v/>
      </c>
      <c r="AS148" s="739"/>
      <c r="AT148" s="739"/>
    </row>
    <row r="149" spans="2:46" ht="18.75">
      <c r="B149" s="741" t="s">
        <v>1102</v>
      </c>
      <c r="C149" s="740"/>
      <c r="D149" s="740"/>
      <c r="E149" s="740"/>
      <c r="F149" s="740"/>
      <c r="G149" s="740"/>
      <c r="H149" s="740"/>
      <c r="I149" s="740"/>
      <c r="J149" s="740"/>
      <c r="K149" s="740"/>
      <c r="L149" s="740"/>
      <c r="M149" s="740"/>
      <c r="N149" s="739" t="str">
        <f>IF('加算項目（C病棟）'!I52="有","〇","")</f>
        <v/>
      </c>
      <c r="O149" s="739"/>
      <c r="P149" s="739"/>
      <c r="Q149" s="741" t="s">
        <v>1101</v>
      </c>
      <c r="R149" s="740"/>
      <c r="S149" s="740"/>
      <c r="T149" s="740"/>
      <c r="U149" s="740"/>
      <c r="V149" s="740"/>
      <c r="W149" s="740"/>
      <c r="X149" s="740"/>
      <c r="Y149" s="740"/>
      <c r="Z149" s="740"/>
      <c r="AA149" s="740"/>
      <c r="AB149" s="740"/>
      <c r="AC149" s="739" t="str">
        <f>IF('加算項目（C病棟）'!I53="有","〇","")</f>
        <v/>
      </c>
      <c r="AD149" s="739"/>
      <c r="AE149" s="739"/>
      <c r="AF149" s="741" t="s">
        <v>977</v>
      </c>
      <c r="AG149" s="740"/>
      <c r="AH149" s="740"/>
      <c r="AI149" s="740"/>
      <c r="AJ149" s="740"/>
      <c r="AK149" s="740"/>
      <c r="AL149" s="740"/>
      <c r="AM149" s="740"/>
      <c r="AN149" s="740"/>
      <c r="AO149" s="740"/>
      <c r="AP149" s="740"/>
      <c r="AQ149" s="740"/>
      <c r="AR149" s="739" t="str">
        <f>IF('加算項目（C病棟）'!I54="有","〇","")</f>
        <v/>
      </c>
      <c r="AS149" s="739"/>
      <c r="AT149" s="739"/>
    </row>
    <row r="150" spans="2:46" ht="18.75">
      <c r="B150" s="741" t="s">
        <v>978</v>
      </c>
      <c r="C150" s="740"/>
      <c r="D150" s="740"/>
      <c r="E150" s="740"/>
      <c r="F150" s="740"/>
      <c r="G150" s="740"/>
      <c r="H150" s="740"/>
      <c r="I150" s="740"/>
      <c r="J150" s="740"/>
      <c r="K150" s="740"/>
      <c r="L150" s="740"/>
      <c r="M150" s="740"/>
      <c r="N150" s="818" t="str">
        <f>IF('加算項目（C病棟）'!I55="有","〇","")</f>
        <v/>
      </c>
      <c r="O150" s="819"/>
      <c r="P150" s="820"/>
      <c r="Q150" s="741" t="s">
        <v>1084</v>
      </c>
      <c r="R150" s="740"/>
      <c r="S150" s="740"/>
      <c r="T150" s="740"/>
      <c r="U150" s="740"/>
      <c r="V150" s="740"/>
      <c r="W150" s="740"/>
      <c r="X150" s="740"/>
      <c r="Y150" s="740"/>
      <c r="Z150" s="740"/>
      <c r="AA150" s="740"/>
      <c r="AB150" s="740"/>
      <c r="AC150" s="739" t="str">
        <f>IF('加算項目（C病棟）'!I57="有","〇","")</f>
        <v/>
      </c>
      <c r="AD150" s="739"/>
      <c r="AE150" s="739"/>
      <c r="AF150" s="741" t="s">
        <v>952</v>
      </c>
      <c r="AG150" s="740"/>
      <c r="AH150" s="740"/>
      <c r="AI150" s="740"/>
      <c r="AJ150" s="740"/>
      <c r="AK150" s="740"/>
      <c r="AL150" s="740"/>
      <c r="AM150" s="740"/>
      <c r="AN150" s="740"/>
      <c r="AO150" s="740"/>
      <c r="AP150" s="740"/>
      <c r="AQ150" s="740"/>
      <c r="AR150" s="739" t="str">
        <f>IF('加算項目（C病棟）'!I58="有","〇","")</f>
        <v/>
      </c>
      <c r="AS150" s="739"/>
      <c r="AT150" s="739"/>
    </row>
    <row r="151" spans="2:46" ht="18.75">
      <c r="B151" s="832" t="s">
        <v>950</v>
      </c>
      <c r="C151" s="833"/>
      <c r="D151" s="833"/>
      <c r="E151" s="833"/>
      <c r="F151" s="833"/>
      <c r="G151" s="833"/>
      <c r="H151" s="833"/>
      <c r="I151" s="833"/>
      <c r="J151" s="833"/>
      <c r="K151" s="833"/>
      <c r="L151" s="833"/>
      <c r="M151" s="834"/>
      <c r="N151" s="739" t="str">
        <f>IF('加算項目（C病棟）'!I59="有","〇","")</f>
        <v/>
      </c>
      <c r="O151" s="739"/>
      <c r="P151" s="739"/>
      <c r="Q151" s="832" t="s">
        <v>951</v>
      </c>
      <c r="R151" s="833"/>
      <c r="S151" s="833"/>
      <c r="T151" s="833"/>
      <c r="U151" s="833"/>
      <c r="V151" s="833"/>
      <c r="W151" s="833"/>
      <c r="X151" s="833"/>
      <c r="Y151" s="833"/>
      <c r="Z151" s="833"/>
      <c r="AA151" s="833"/>
      <c r="AB151" s="834"/>
      <c r="AC151" s="739" t="str">
        <f>IF('加算項目（C病棟）'!I60="有","〇","")</f>
        <v/>
      </c>
      <c r="AD151" s="739"/>
      <c r="AE151" s="739"/>
      <c r="AF151" s="832" t="s">
        <v>1100</v>
      </c>
      <c r="AG151" s="833"/>
      <c r="AH151" s="833"/>
      <c r="AI151" s="833"/>
      <c r="AJ151" s="833"/>
      <c r="AK151" s="833"/>
      <c r="AL151" s="833"/>
      <c r="AM151" s="833"/>
      <c r="AN151" s="833"/>
      <c r="AO151" s="833"/>
      <c r="AP151" s="833"/>
      <c r="AQ151" s="834"/>
      <c r="AR151" s="739" t="str">
        <f>IF('加算項目（C病棟）'!I61="有","〇","")</f>
        <v/>
      </c>
      <c r="AS151" s="739"/>
      <c r="AT151" s="739"/>
    </row>
    <row r="152" spans="2:46" ht="18.75"/>
    <row r="153" spans="2:46" ht="18.75">
      <c r="B153" s="740" t="s">
        <v>808</v>
      </c>
      <c r="C153" s="740"/>
      <c r="D153" s="740"/>
      <c r="E153" s="740"/>
      <c r="F153" s="740"/>
      <c r="G153" s="740"/>
      <c r="H153" s="740"/>
      <c r="I153" s="740"/>
      <c r="J153" s="740"/>
      <c r="K153" s="740"/>
      <c r="L153" s="740"/>
      <c r="M153" s="740"/>
      <c r="N153" s="740"/>
      <c r="O153" s="740"/>
      <c r="P153" s="740"/>
      <c r="Q153" s="740"/>
      <c r="R153" s="740"/>
      <c r="S153" s="740"/>
      <c r="T153" s="740"/>
      <c r="U153" s="740"/>
      <c r="V153" s="740"/>
      <c r="W153" s="740"/>
      <c r="X153" s="740"/>
      <c r="Y153" s="740"/>
      <c r="Z153" s="740"/>
      <c r="AA153" s="740"/>
      <c r="AB153" s="740"/>
      <c r="AC153" s="740"/>
      <c r="AD153" s="740"/>
      <c r="AE153" s="740"/>
      <c r="AF153" s="740"/>
      <c r="AG153" s="740"/>
      <c r="AH153" s="740"/>
      <c r="AI153" s="740"/>
      <c r="AJ153" s="740"/>
      <c r="AK153" s="740"/>
      <c r="AL153" s="740"/>
      <c r="AM153" s="740"/>
      <c r="AN153" s="740"/>
      <c r="AO153" s="740"/>
      <c r="AP153" s="740"/>
      <c r="AQ153" s="740"/>
      <c r="AR153" s="740"/>
      <c r="AS153" s="740"/>
      <c r="AT153" s="740"/>
    </row>
    <row r="154" spans="2:46" ht="18.75">
      <c r="B154" s="740" t="s">
        <v>812</v>
      </c>
      <c r="C154" s="740"/>
      <c r="D154" s="740"/>
      <c r="E154" s="740"/>
      <c r="F154" s="740"/>
      <c r="G154" s="740"/>
      <c r="H154" s="740"/>
      <c r="I154" s="740"/>
      <c r="J154" s="740"/>
      <c r="K154" s="740"/>
      <c r="L154" s="740"/>
      <c r="M154" s="740"/>
      <c r="N154" s="739" t="str">
        <f>IF('加算項目（C病棟）'!I69="有","〇","")</f>
        <v/>
      </c>
      <c r="O154" s="739"/>
      <c r="P154" s="739"/>
      <c r="Q154" s="741" t="s">
        <v>1085</v>
      </c>
      <c r="R154" s="740"/>
      <c r="S154" s="740"/>
      <c r="T154" s="740"/>
      <c r="U154" s="740"/>
      <c r="V154" s="740"/>
      <c r="W154" s="740"/>
      <c r="X154" s="740"/>
      <c r="Y154" s="740"/>
      <c r="Z154" s="740"/>
      <c r="AA154" s="740"/>
      <c r="AB154" s="740"/>
      <c r="AC154" s="739" t="str">
        <f>IF('加算項目（C病棟）'!I70="有","〇","")</f>
        <v/>
      </c>
      <c r="AD154" s="739"/>
      <c r="AE154" s="739"/>
      <c r="AF154" s="741" t="s">
        <v>1086</v>
      </c>
      <c r="AG154" s="740"/>
      <c r="AH154" s="740"/>
      <c r="AI154" s="740"/>
      <c r="AJ154" s="740"/>
      <c r="AK154" s="740"/>
      <c r="AL154" s="740"/>
      <c r="AM154" s="740"/>
      <c r="AN154" s="740"/>
      <c r="AO154" s="740"/>
      <c r="AP154" s="740"/>
      <c r="AQ154" s="740"/>
      <c r="AR154" s="739" t="str">
        <f>IF('加算項目（C病棟）'!I71="有","〇","")</f>
        <v/>
      </c>
      <c r="AS154" s="739"/>
      <c r="AT154" s="739"/>
    </row>
    <row r="155" spans="2:46" ht="18.75">
      <c r="B155" s="741" t="s">
        <v>168</v>
      </c>
      <c r="C155" s="740"/>
      <c r="D155" s="740"/>
      <c r="E155" s="740"/>
      <c r="F155" s="740"/>
      <c r="G155" s="740"/>
      <c r="H155" s="740"/>
      <c r="I155" s="740"/>
      <c r="J155" s="740"/>
      <c r="K155" s="740"/>
      <c r="L155" s="740"/>
      <c r="M155" s="740"/>
      <c r="N155" s="739" t="str">
        <f>IF('加算項目（C病棟）'!I72="有","〇","")</f>
        <v/>
      </c>
      <c r="O155" s="739"/>
      <c r="P155" s="739"/>
      <c r="Q155" s="741" t="s">
        <v>169</v>
      </c>
      <c r="R155" s="740"/>
      <c r="S155" s="740"/>
      <c r="T155" s="740"/>
      <c r="U155" s="740"/>
      <c r="V155" s="740"/>
      <c r="W155" s="740"/>
      <c r="X155" s="740"/>
      <c r="Y155" s="740"/>
      <c r="Z155" s="740"/>
      <c r="AA155" s="740"/>
      <c r="AB155" s="740"/>
      <c r="AC155" s="739" t="str">
        <f>IF('加算項目（C病棟）'!I73="有","〇","")</f>
        <v/>
      </c>
      <c r="AD155" s="739"/>
      <c r="AE155" s="739"/>
      <c r="AF155" s="741" t="s">
        <v>170</v>
      </c>
      <c r="AG155" s="740"/>
      <c r="AH155" s="740"/>
      <c r="AI155" s="740"/>
      <c r="AJ155" s="740"/>
      <c r="AK155" s="740"/>
      <c r="AL155" s="740"/>
      <c r="AM155" s="740"/>
      <c r="AN155" s="740"/>
      <c r="AO155" s="740"/>
      <c r="AP155" s="740"/>
      <c r="AQ155" s="740"/>
      <c r="AR155" s="739" t="str">
        <f>IF('加算項目（C病棟）'!I74="有","〇","")</f>
        <v/>
      </c>
      <c r="AS155" s="739"/>
      <c r="AT155" s="739"/>
    </row>
    <row r="156" spans="2:46" ht="18.75">
      <c r="B156" s="741" t="s">
        <v>813</v>
      </c>
      <c r="C156" s="740"/>
      <c r="D156" s="740"/>
      <c r="E156" s="740"/>
      <c r="F156" s="740"/>
      <c r="G156" s="740"/>
      <c r="H156" s="740"/>
      <c r="I156" s="740"/>
      <c r="J156" s="740"/>
      <c r="K156" s="740"/>
      <c r="L156" s="740"/>
      <c r="M156" s="740"/>
      <c r="N156" s="739" t="str">
        <f>IF('加算項目（C病棟）'!I77="有","〇","")</f>
        <v/>
      </c>
      <c r="O156" s="739"/>
      <c r="P156" s="739"/>
      <c r="Q156" s="741" t="s">
        <v>191</v>
      </c>
      <c r="R156" s="740"/>
      <c r="S156" s="740"/>
      <c r="T156" s="740"/>
      <c r="U156" s="740"/>
      <c r="V156" s="740"/>
      <c r="W156" s="740"/>
      <c r="X156" s="740"/>
      <c r="Y156" s="740"/>
      <c r="Z156" s="740"/>
      <c r="AA156" s="740"/>
      <c r="AB156" s="740"/>
      <c r="AC156" s="739" t="str">
        <f>IF('加算項目（C病棟）'!I78="有","〇","")</f>
        <v/>
      </c>
      <c r="AD156" s="739"/>
      <c r="AE156" s="739"/>
      <c r="AF156" s="741" t="s">
        <v>1087</v>
      </c>
      <c r="AG156" s="740"/>
      <c r="AH156" s="740"/>
      <c r="AI156" s="740"/>
      <c r="AJ156" s="740"/>
      <c r="AK156" s="740"/>
      <c r="AL156" s="740"/>
      <c r="AM156" s="740"/>
      <c r="AN156" s="740"/>
      <c r="AO156" s="740"/>
      <c r="AP156" s="740"/>
      <c r="AQ156" s="740"/>
      <c r="AR156" s="739" t="str">
        <f>IF('加算項目（C病棟）'!I79="有","〇","")</f>
        <v/>
      </c>
      <c r="AS156" s="739"/>
      <c r="AT156" s="739"/>
    </row>
    <row r="157" spans="2:46" ht="18.75">
      <c r="B157" s="741" t="s">
        <v>979</v>
      </c>
      <c r="C157" s="740"/>
      <c r="D157" s="740"/>
      <c r="E157" s="740"/>
      <c r="F157" s="740"/>
      <c r="G157" s="740"/>
      <c r="H157" s="740"/>
      <c r="I157" s="740"/>
      <c r="J157" s="740"/>
      <c r="K157" s="740"/>
      <c r="L157" s="740"/>
      <c r="M157" s="740"/>
      <c r="N157" s="739" t="str">
        <f>IF('加算項目（C病棟）'!I80="有","〇","")</f>
        <v/>
      </c>
      <c r="O157" s="739"/>
      <c r="P157" s="739"/>
      <c r="Q157" s="741" t="s">
        <v>174</v>
      </c>
      <c r="R157" s="740"/>
      <c r="S157" s="740"/>
      <c r="T157" s="740"/>
      <c r="U157" s="740"/>
      <c r="V157" s="740"/>
      <c r="W157" s="740"/>
      <c r="X157" s="740"/>
      <c r="Y157" s="740"/>
      <c r="Z157" s="740"/>
      <c r="AA157" s="740"/>
      <c r="AB157" s="740"/>
      <c r="AC157" s="739" t="str">
        <f>IF('加算項目（C病棟）'!I81="有","〇","")</f>
        <v/>
      </c>
      <c r="AD157" s="739"/>
      <c r="AE157" s="739"/>
      <c r="AF157" s="741" t="s">
        <v>175</v>
      </c>
      <c r="AG157" s="740"/>
      <c r="AH157" s="740"/>
      <c r="AI157" s="740"/>
      <c r="AJ157" s="740"/>
      <c r="AK157" s="740"/>
      <c r="AL157" s="740"/>
      <c r="AM157" s="740"/>
      <c r="AN157" s="740"/>
      <c r="AO157" s="740"/>
      <c r="AP157" s="740"/>
      <c r="AQ157" s="740"/>
      <c r="AR157" s="739" t="str">
        <f>IF('加算項目（C病棟）'!I82="有","〇","")</f>
        <v/>
      </c>
      <c r="AS157" s="739"/>
      <c r="AT157" s="739"/>
    </row>
    <row r="158" spans="2:46" ht="18.75">
      <c r="B158" s="741" t="s">
        <v>178</v>
      </c>
      <c r="C158" s="740"/>
      <c r="D158" s="740"/>
      <c r="E158" s="740"/>
      <c r="F158" s="740"/>
      <c r="G158" s="740"/>
      <c r="H158" s="740"/>
      <c r="I158" s="740"/>
      <c r="J158" s="740"/>
      <c r="K158" s="740"/>
      <c r="L158" s="740"/>
      <c r="M158" s="740"/>
      <c r="N158" s="739" t="str">
        <f>IF('加算項目（C病棟）'!I83="有","〇","")</f>
        <v/>
      </c>
      <c r="O158" s="739"/>
      <c r="P158" s="739"/>
      <c r="Q158" s="741" t="s">
        <v>982</v>
      </c>
      <c r="R158" s="740"/>
      <c r="S158" s="740"/>
      <c r="T158" s="740"/>
      <c r="U158" s="740"/>
      <c r="V158" s="740"/>
      <c r="W158" s="740"/>
      <c r="X158" s="740"/>
      <c r="Y158" s="740"/>
      <c r="Z158" s="740"/>
      <c r="AA158" s="740"/>
      <c r="AB158" s="740"/>
      <c r="AC158" s="739" t="str">
        <f>IF('加算項目（C病棟）'!I84="有","〇","")</f>
        <v/>
      </c>
      <c r="AD158" s="739"/>
      <c r="AE158" s="739"/>
      <c r="AF158" s="741" t="s">
        <v>983</v>
      </c>
      <c r="AG158" s="740"/>
      <c r="AH158" s="740"/>
      <c r="AI158" s="740"/>
      <c r="AJ158" s="740"/>
      <c r="AK158" s="740"/>
      <c r="AL158" s="740"/>
      <c r="AM158" s="740"/>
      <c r="AN158" s="740"/>
      <c r="AO158" s="740"/>
      <c r="AP158" s="740"/>
      <c r="AQ158" s="740"/>
      <c r="AR158" s="739" t="str">
        <f>IF('加算項目（C病棟）'!I85="有","〇","")</f>
        <v/>
      </c>
      <c r="AS158" s="739"/>
      <c r="AT158" s="739"/>
    </row>
    <row r="159" spans="2:46" ht="18.75">
      <c r="B159" s="741" t="s">
        <v>984</v>
      </c>
      <c r="C159" s="740"/>
      <c r="D159" s="740"/>
      <c r="E159" s="740"/>
      <c r="F159" s="740"/>
      <c r="G159" s="740"/>
      <c r="H159" s="740"/>
      <c r="I159" s="740"/>
      <c r="J159" s="740"/>
      <c r="K159" s="740"/>
      <c r="L159" s="740"/>
      <c r="M159" s="740"/>
      <c r="N159" s="739" t="str">
        <f>IF('加算項目（C病棟）'!I86="有","〇","")</f>
        <v/>
      </c>
      <c r="O159" s="739"/>
      <c r="P159" s="739"/>
      <c r="Q159" s="741" t="s">
        <v>985</v>
      </c>
      <c r="R159" s="740"/>
      <c r="S159" s="740"/>
      <c r="T159" s="740"/>
      <c r="U159" s="740"/>
      <c r="V159" s="740"/>
      <c r="W159" s="740"/>
      <c r="X159" s="740"/>
      <c r="Y159" s="740"/>
      <c r="Z159" s="740"/>
      <c r="AA159" s="740"/>
      <c r="AB159" s="740"/>
      <c r="AC159" s="739" t="str">
        <f>IF('加算項目（C病棟）'!I87="有","〇","")</f>
        <v/>
      </c>
      <c r="AD159" s="739"/>
      <c r="AE159" s="739"/>
      <c r="AF159" s="741" t="s">
        <v>986</v>
      </c>
      <c r="AG159" s="740"/>
      <c r="AH159" s="740"/>
      <c r="AI159" s="740"/>
      <c r="AJ159" s="740"/>
      <c r="AK159" s="740"/>
      <c r="AL159" s="740"/>
      <c r="AM159" s="740"/>
      <c r="AN159" s="740"/>
      <c r="AO159" s="740"/>
      <c r="AP159" s="740"/>
      <c r="AQ159" s="740"/>
      <c r="AR159" s="739" t="str">
        <f>IF('加算項目（C病棟）'!I88="有","〇","")</f>
        <v/>
      </c>
      <c r="AS159" s="739"/>
      <c r="AT159" s="739"/>
    </row>
    <row r="160" spans="2:46" ht="18.75">
      <c r="B160" s="741" t="s">
        <v>987</v>
      </c>
      <c r="C160" s="740"/>
      <c r="D160" s="740"/>
      <c r="E160" s="740"/>
      <c r="F160" s="740"/>
      <c r="G160" s="740"/>
      <c r="H160" s="740"/>
      <c r="I160" s="740"/>
      <c r="J160" s="740"/>
      <c r="K160" s="740"/>
      <c r="L160" s="740"/>
      <c r="M160" s="740"/>
      <c r="N160" s="739" t="str">
        <f>IF('加算項目（C病棟）'!I89="有","〇","")</f>
        <v/>
      </c>
      <c r="O160" s="739"/>
      <c r="P160" s="739"/>
      <c r="Q160" s="741" t="s">
        <v>988</v>
      </c>
      <c r="R160" s="740"/>
      <c r="S160" s="740"/>
      <c r="T160" s="740"/>
      <c r="U160" s="740"/>
      <c r="V160" s="740"/>
      <c r="W160" s="740"/>
      <c r="X160" s="740"/>
      <c r="Y160" s="740"/>
      <c r="Z160" s="740"/>
      <c r="AA160" s="740"/>
      <c r="AB160" s="740"/>
      <c r="AC160" s="739" t="str">
        <f>IF('加算項目（C病棟）'!I90="有","〇","")</f>
        <v/>
      </c>
      <c r="AD160" s="739"/>
      <c r="AE160" s="739"/>
      <c r="AF160" s="741" t="s">
        <v>988</v>
      </c>
      <c r="AG160" s="740"/>
      <c r="AH160" s="740"/>
      <c r="AI160" s="740"/>
      <c r="AJ160" s="740"/>
      <c r="AK160" s="740"/>
      <c r="AL160" s="740"/>
      <c r="AM160" s="740"/>
      <c r="AN160" s="740"/>
      <c r="AO160" s="740"/>
      <c r="AP160" s="740"/>
      <c r="AQ160" s="740"/>
      <c r="AR160" s="739" t="str">
        <f>IF('加算項目（C病棟）'!I91="有","〇","")</f>
        <v/>
      </c>
      <c r="AS160" s="739"/>
      <c r="AT160" s="739"/>
    </row>
    <row r="161" spans="2:47" ht="18.75">
      <c r="B161" s="740" t="s">
        <v>184</v>
      </c>
      <c r="C161" s="740"/>
      <c r="D161" s="740"/>
      <c r="E161" s="740"/>
      <c r="F161" s="740"/>
      <c r="G161" s="740"/>
      <c r="H161" s="740"/>
      <c r="I161" s="740"/>
      <c r="J161" s="740"/>
      <c r="K161" s="740"/>
      <c r="L161" s="740"/>
      <c r="M161" s="740"/>
      <c r="N161" s="739" t="str">
        <f>IF('加算項目（C病棟）'!I92="有","〇","")</f>
        <v/>
      </c>
      <c r="O161" s="739"/>
      <c r="P161" s="739"/>
      <c r="Q161" s="740" t="s">
        <v>989</v>
      </c>
      <c r="R161" s="740"/>
      <c r="S161" s="740"/>
      <c r="T161" s="740"/>
      <c r="U161" s="740"/>
      <c r="V161" s="740"/>
      <c r="W161" s="740"/>
      <c r="X161" s="740"/>
      <c r="Y161" s="740"/>
      <c r="Z161" s="740"/>
      <c r="AA161" s="740"/>
      <c r="AB161" s="740"/>
      <c r="AC161" s="739" t="str">
        <f>IF('加算項目（C病棟）'!I93="有","〇","")</f>
        <v/>
      </c>
      <c r="AD161" s="739"/>
      <c r="AE161" s="739"/>
      <c r="AF161" s="740" t="s">
        <v>185</v>
      </c>
      <c r="AG161" s="740"/>
      <c r="AH161" s="740"/>
      <c r="AI161" s="740"/>
      <c r="AJ161" s="740"/>
      <c r="AK161" s="740"/>
      <c r="AL161" s="740"/>
      <c r="AM161" s="740"/>
      <c r="AN161" s="740"/>
      <c r="AO161" s="740"/>
      <c r="AP161" s="740"/>
      <c r="AQ161" s="740"/>
      <c r="AR161" s="739" t="str">
        <f>IF('加算項目（C病棟）'!I94="有","〇","")</f>
        <v/>
      </c>
      <c r="AS161" s="739"/>
      <c r="AT161" s="739"/>
    </row>
    <row r="162" spans="2:47" ht="18.75">
      <c r="B162" s="741" t="s">
        <v>186</v>
      </c>
      <c r="C162" s="740"/>
      <c r="D162" s="740"/>
      <c r="E162" s="740"/>
      <c r="F162" s="740"/>
      <c r="G162" s="740"/>
      <c r="H162" s="740"/>
      <c r="I162" s="740"/>
      <c r="J162" s="740"/>
      <c r="K162" s="740"/>
      <c r="L162" s="740"/>
      <c r="M162" s="740"/>
      <c r="N162" s="739" t="str">
        <f>IF('加算項目（C病棟）'!I95="有","〇","")</f>
        <v/>
      </c>
      <c r="O162" s="739"/>
      <c r="P162" s="739"/>
      <c r="Q162" s="740" t="s">
        <v>187</v>
      </c>
      <c r="R162" s="740"/>
      <c r="S162" s="740"/>
      <c r="T162" s="740"/>
      <c r="U162" s="740"/>
      <c r="V162" s="740"/>
      <c r="W162" s="740"/>
      <c r="X162" s="740"/>
      <c r="Y162" s="740"/>
      <c r="Z162" s="740"/>
      <c r="AA162" s="740"/>
      <c r="AB162" s="740"/>
      <c r="AC162" s="739" t="str">
        <f>IF('加算項目（C病棟）'!I96="有","〇","")</f>
        <v/>
      </c>
      <c r="AD162" s="739"/>
      <c r="AE162" s="739"/>
      <c r="AF162" s="740" t="s">
        <v>188</v>
      </c>
      <c r="AG162" s="740"/>
      <c r="AH162" s="740"/>
      <c r="AI162" s="740"/>
      <c r="AJ162" s="740"/>
      <c r="AK162" s="740"/>
      <c r="AL162" s="740"/>
      <c r="AM162" s="740"/>
      <c r="AN162" s="740"/>
      <c r="AO162" s="740"/>
      <c r="AP162" s="740"/>
      <c r="AQ162" s="740"/>
      <c r="AR162" s="739" t="str">
        <f>IF('加算項目（C病棟）'!I97="有","〇","")</f>
        <v/>
      </c>
      <c r="AS162" s="739"/>
      <c r="AT162" s="739"/>
    </row>
    <row r="163" spans="2:47" ht="18.75">
      <c r="B163" s="740" t="s">
        <v>1088</v>
      </c>
      <c r="C163" s="740"/>
      <c r="D163" s="740"/>
      <c r="E163" s="740"/>
      <c r="F163" s="740"/>
      <c r="G163" s="740"/>
      <c r="H163" s="740"/>
      <c r="I163" s="740"/>
      <c r="J163" s="740"/>
      <c r="K163" s="740"/>
      <c r="L163" s="740"/>
      <c r="M163" s="740"/>
      <c r="N163" s="739" t="str">
        <f>IF('加算項目（C病棟）'!I98="有","〇","")</f>
        <v/>
      </c>
      <c r="O163" s="739"/>
      <c r="P163" s="739"/>
      <c r="Q163" s="741" t="s">
        <v>189</v>
      </c>
      <c r="R163" s="740"/>
      <c r="S163" s="740"/>
      <c r="T163" s="740"/>
      <c r="U163" s="740"/>
      <c r="V163" s="740"/>
      <c r="W163" s="740"/>
      <c r="X163" s="740"/>
      <c r="Y163" s="740"/>
      <c r="Z163" s="740"/>
      <c r="AA163" s="740"/>
      <c r="AB163" s="740"/>
      <c r="AC163" s="739" t="str">
        <f>IF('加算項目（C病棟）'!I99="有","〇","")</f>
        <v/>
      </c>
      <c r="AD163" s="739"/>
      <c r="AE163" s="739"/>
      <c r="AF163" s="740" t="s">
        <v>190</v>
      </c>
      <c r="AG163" s="740"/>
      <c r="AH163" s="740"/>
      <c r="AI163" s="740"/>
      <c r="AJ163" s="740"/>
      <c r="AK163" s="740"/>
      <c r="AL163" s="740"/>
      <c r="AM163" s="740"/>
      <c r="AN163" s="740"/>
      <c r="AO163" s="740"/>
      <c r="AP163" s="740"/>
      <c r="AQ163" s="740"/>
      <c r="AR163" s="739" t="str">
        <f>IF('加算項目（C病棟）'!I100="有","〇","")</f>
        <v/>
      </c>
      <c r="AS163" s="739"/>
      <c r="AT163" s="739"/>
    </row>
    <row r="164" spans="2:47" ht="18.75">
      <c r="B164" s="485"/>
      <c r="C164" s="485"/>
      <c r="D164" s="485"/>
      <c r="E164" s="485"/>
      <c r="F164" s="485"/>
      <c r="G164" s="485"/>
      <c r="H164" s="485"/>
      <c r="I164" s="485"/>
      <c r="J164" s="485"/>
      <c r="K164" s="485"/>
      <c r="L164" s="485"/>
      <c r="M164" s="485"/>
      <c r="N164" s="244"/>
      <c r="O164" s="244"/>
      <c r="P164" s="244"/>
      <c r="Q164" s="484"/>
      <c r="R164" s="485"/>
      <c r="S164" s="485"/>
      <c r="T164" s="485"/>
      <c r="U164" s="485"/>
      <c r="V164" s="485"/>
      <c r="W164" s="485"/>
      <c r="X164" s="485"/>
      <c r="Y164" s="485"/>
      <c r="Z164" s="485"/>
      <c r="AA164" s="485"/>
      <c r="AB164" s="485"/>
      <c r="AC164" s="244"/>
      <c r="AD164" s="244"/>
      <c r="AE164" s="244"/>
      <c r="AF164" s="485"/>
      <c r="AG164" s="485"/>
      <c r="AH164" s="485"/>
      <c r="AI164" s="485"/>
      <c r="AJ164" s="485"/>
      <c r="AK164" s="485"/>
      <c r="AL164" s="485"/>
      <c r="AM164" s="485"/>
      <c r="AN164" s="485"/>
      <c r="AO164" s="485"/>
      <c r="AP164" s="485"/>
      <c r="AQ164" s="485"/>
      <c r="AR164" s="244"/>
      <c r="AS164" s="244"/>
      <c r="AT164" s="244"/>
    </row>
    <row r="165" spans="2:47" ht="18.75">
      <c r="B165" s="485"/>
      <c r="C165" s="485"/>
      <c r="D165" s="485"/>
      <c r="E165" s="485"/>
      <c r="F165" s="485"/>
      <c r="G165" s="485"/>
      <c r="H165" s="485"/>
      <c r="I165" s="485"/>
      <c r="J165" s="485"/>
      <c r="K165" s="485"/>
      <c r="L165" s="485"/>
      <c r="M165" s="485"/>
      <c r="N165" s="483"/>
      <c r="O165" s="483"/>
      <c r="P165" s="483"/>
      <c r="Q165" s="484"/>
      <c r="R165" s="485"/>
      <c r="S165" s="485"/>
      <c r="T165" s="485"/>
      <c r="U165" s="485"/>
      <c r="V165" s="485"/>
      <c r="W165" s="485"/>
      <c r="X165" s="485"/>
      <c r="Y165" s="485"/>
      <c r="Z165" s="485"/>
      <c r="AA165" s="485"/>
      <c r="AB165" s="485"/>
      <c r="AC165" s="483"/>
      <c r="AD165" s="483"/>
      <c r="AE165" s="483"/>
      <c r="AF165" s="485"/>
      <c r="AG165" s="485"/>
      <c r="AH165" s="485"/>
      <c r="AI165" s="485"/>
      <c r="AJ165" s="485"/>
      <c r="AK165" s="485"/>
      <c r="AL165" s="485"/>
      <c r="AM165" s="485"/>
      <c r="AN165" s="485"/>
      <c r="AO165" s="485"/>
      <c r="AP165" s="485"/>
      <c r="AQ165" s="485"/>
      <c r="AR165" s="483"/>
      <c r="AS165" s="483"/>
      <c r="AT165" s="483"/>
    </row>
    <row r="166" spans="2:47" ht="18.75">
      <c r="B166" s="359" t="s">
        <v>817</v>
      </c>
      <c r="Q166" s="361" t="str">
        <f>IF(L167="入力無し","入力シートに入力がない病棟です","")</f>
        <v>入力シートに入力がない病棟です</v>
      </c>
    </row>
    <row r="167" spans="2:47" ht="18.75">
      <c r="B167" s="804" t="s">
        <v>782</v>
      </c>
      <c r="C167" s="805"/>
      <c r="D167" s="805"/>
      <c r="E167" s="805"/>
      <c r="F167" s="805"/>
      <c r="G167" s="805"/>
      <c r="H167" s="805"/>
      <c r="I167" s="805"/>
      <c r="J167" s="805"/>
      <c r="K167" s="806"/>
      <c r="L167" s="807" t="str">
        <f>IF(入力シート!L25&gt;0,入力シート!L25,"入力無し")</f>
        <v>入力無し</v>
      </c>
      <c r="M167" s="807"/>
      <c r="N167" s="807"/>
      <c r="O167" s="807"/>
      <c r="P167" s="807"/>
      <c r="Q167" s="807"/>
      <c r="R167" s="807"/>
      <c r="S167" s="807"/>
      <c r="T167" s="808" t="s">
        <v>197</v>
      </c>
      <c r="U167" s="808"/>
      <c r="V167" s="376"/>
      <c r="W167" s="809" t="s">
        <v>804</v>
      </c>
      <c r="X167" s="809"/>
      <c r="Y167" s="809"/>
      <c r="Z167" s="809"/>
      <c r="AA167" s="809"/>
      <c r="AB167" s="809"/>
      <c r="AC167" s="809"/>
      <c r="AD167" s="809"/>
      <c r="AE167" s="809"/>
      <c r="AF167" s="809"/>
      <c r="AG167" s="810">
        <f>入力シート!T120</f>
        <v>0</v>
      </c>
      <c r="AH167" s="807"/>
      <c r="AI167" s="807"/>
      <c r="AJ167" s="807"/>
      <c r="AK167" s="807"/>
      <c r="AL167" s="807"/>
      <c r="AM167" s="807"/>
      <c r="AN167" s="807"/>
      <c r="AO167" s="811" t="s">
        <v>806</v>
      </c>
      <c r="AP167" s="811"/>
      <c r="AR167" s="237"/>
      <c r="AS167" s="237"/>
      <c r="AT167" s="237"/>
      <c r="AU167" s="237"/>
    </row>
    <row r="168" spans="2:47" ht="18.75">
      <c r="B168" s="804" t="s">
        <v>820</v>
      </c>
      <c r="C168" s="805"/>
      <c r="D168" s="805"/>
      <c r="E168" s="805"/>
      <c r="F168" s="805"/>
      <c r="G168" s="805"/>
      <c r="H168" s="805"/>
      <c r="I168" s="805"/>
      <c r="J168" s="805"/>
      <c r="K168" s="806"/>
      <c r="L168" s="812" t="str">
        <f>IFERROR(IF(入力シート!K106=0,入力シート!E106,入力シート!K106*100),"入力無し")</f>
        <v>入力無し</v>
      </c>
      <c r="M168" s="812"/>
      <c r="N168" s="812"/>
      <c r="O168" s="812"/>
      <c r="P168" s="812"/>
      <c r="Q168" s="812"/>
      <c r="R168" s="812"/>
      <c r="S168" s="812"/>
      <c r="T168" s="808" t="s">
        <v>805</v>
      </c>
      <c r="U168" s="808"/>
      <c r="V168" s="376"/>
      <c r="W168" s="808" t="s">
        <v>981</v>
      </c>
      <c r="X168" s="808"/>
      <c r="Y168" s="808"/>
      <c r="Z168" s="808"/>
      <c r="AA168" s="808"/>
      <c r="AB168" s="808"/>
      <c r="AC168" s="808"/>
      <c r="AD168" s="808"/>
      <c r="AE168" s="808"/>
      <c r="AF168" s="808"/>
      <c r="AG168" s="814" t="str">
        <f>IFERROR(AG167/L167/365*1000,"0")</f>
        <v>0</v>
      </c>
      <c r="AH168" s="814"/>
      <c r="AI168" s="814"/>
      <c r="AJ168" s="814"/>
      <c r="AK168" s="814"/>
      <c r="AL168" s="814"/>
      <c r="AM168" s="814"/>
      <c r="AN168" s="814"/>
      <c r="AO168" s="808" t="s">
        <v>621</v>
      </c>
      <c r="AP168" s="808"/>
      <c r="AR168" s="237"/>
      <c r="AS168" s="237"/>
      <c r="AT168" s="581"/>
      <c r="AU168" s="581"/>
    </row>
    <row r="169" spans="2:47" ht="18.75">
      <c r="B169" s="804" t="s">
        <v>784</v>
      </c>
      <c r="C169" s="805"/>
      <c r="D169" s="805"/>
      <c r="E169" s="805"/>
      <c r="F169" s="805"/>
      <c r="G169" s="805"/>
      <c r="H169" s="805"/>
      <c r="I169" s="805"/>
      <c r="J169" s="805"/>
      <c r="K169" s="806"/>
      <c r="L169" s="815" t="str">
        <f>IF(入力シート!K114="-",入力シート!E114,入力シート!K114)</f>
        <v/>
      </c>
      <c r="M169" s="815"/>
      <c r="N169" s="815"/>
      <c r="O169" s="815"/>
      <c r="P169" s="815"/>
      <c r="Q169" s="815"/>
      <c r="R169" s="815"/>
      <c r="S169" s="815"/>
      <c r="T169" s="824"/>
      <c r="U169" s="816"/>
      <c r="AO169" s="237"/>
      <c r="AP169" s="237"/>
      <c r="AQ169" s="237"/>
      <c r="AR169" s="237"/>
      <c r="AS169" s="237"/>
      <c r="AT169" s="237"/>
      <c r="AU169" s="237"/>
    </row>
    <row r="170" spans="2:47" ht="18.75"/>
    <row r="171" spans="2:47" ht="18.75">
      <c r="B171" s="740" t="s">
        <v>807</v>
      </c>
      <c r="C171" s="740"/>
      <c r="D171" s="740"/>
      <c r="E171" s="740"/>
      <c r="F171" s="740"/>
      <c r="G171" s="740"/>
      <c r="H171" s="740"/>
      <c r="I171" s="740"/>
      <c r="J171" s="740"/>
      <c r="K171" s="740"/>
      <c r="L171" s="740"/>
      <c r="M171" s="740"/>
      <c r="N171" s="740"/>
      <c r="O171" s="740"/>
      <c r="P171" s="740"/>
      <c r="Q171" s="740"/>
      <c r="R171" s="740"/>
      <c r="S171" s="740"/>
      <c r="T171" s="740"/>
      <c r="U171" s="740"/>
      <c r="V171" s="740"/>
      <c r="W171" s="740"/>
      <c r="X171" s="740"/>
      <c r="Y171" s="740"/>
      <c r="Z171" s="740"/>
      <c r="AA171" s="740"/>
      <c r="AB171" s="740"/>
      <c r="AC171" s="740"/>
      <c r="AD171" s="740"/>
      <c r="AE171" s="740"/>
      <c r="AF171" s="740"/>
      <c r="AG171" s="740"/>
      <c r="AH171" s="740"/>
      <c r="AI171" s="740"/>
      <c r="AJ171" s="740"/>
      <c r="AK171" s="740"/>
      <c r="AL171" s="740"/>
      <c r="AM171" s="740"/>
      <c r="AN171" s="740"/>
      <c r="AO171" s="740"/>
      <c r="AP171" s="740"/>
      <c r="AQ171" s="740"/>
      <c r="AR171" s="740"/>
      <c r="AS171" s="740"/>
      <c r="AT171" s="740"/>
    </row>
    <row r="172" spans="2:47" ht="18.75">
      <c r="B172" s="740" t="s">
        <v>973</v>
      </c>
      <c r="C172" s="740"/>
      <c r="D172" s="740"/>
      <c r="E172" s="740"/>
      <c r="F172" s="740"/>
      <c r="G172" s="740"/>
      <c r="H172" s="740"/>
      <c r="I172" s="740"/>
      <c r="J172" s="740"/>
      <c r="K172" s="740"/>
      <c r="L172" s="740"/>
      <c r="M172" s="740"/>
      <c r="N172" s="739" t="str">
        <f>IF('加算項目（D病棟）'!I5="有","〇","")</f>
        <v/>
      </c>
      <c r="O172" s="739"/>
      <c r="P172" s="739"/>
      <c r="Q172" s="741" t="s">
        <v>974</v>
      </c>
      <c r="R172" s="740"/>
      <c r="S172" s="740"/>
      <c r="T172" s="740"/>
      <c r="U172" s="740"/>
      <c r="V172" s="740"/>
      <c r="W172" s="740"/>
      <c r="X172" s="740"/>
      <c r="Y172" s="740"/>
      <c r="Z172" s="740"/>
      <c r="AA172" s="740"/>
      <c r="AB172" s="740"/>
      <c r="AC172" s="739" t="str">
        <f>IF('加算項目（D病棟）'!I6="有","〇","")</f>
        <v/>
      </c>
      <c r="AD172" s="739"/>
      <c r="AE172" s="739"/>
      <c r="AF172" s="741" t="s">
        <v>975</v>
      </c>
      <c r="AG172" s="740"/>
      <c r="AH172" s="740"/>
      <c r="AI172" s="740"/>
      <c r="AJ172" s="740"/>
      <c r="AK172" s="740"/>
      <c r="AL172" s="740"/>
      <c r="AM172" s="740"/>
      <c r="AN172" s="740"/>
      <c r="AO172" s="740"/>
      <c r="AP172" s="740"/>
      <c r="AQ172" s="740"/>
      <c r="AR172" s="818" t="str">
        <f>IF('加算項目（D病棟）'!I7="有","〇","")</f>
        <v/>
      </c>
      <c r="AS172" s="819"/>
      <c r="AT172" s="820"/>
    </row>
    <row r="173" spans="2:47" ht="18.75">
      <c r="B173" s="741" t="s">
        <v>976</v>
      </c>
      <c r="C173" s="740"/>
      <c r="D173" s="740"/>
      <c r="E173" s="740"/>
      <c r="F173" s="740"/>
      <c r="G173" s="740"/>
      <c r="H173" s="740"/>
      <c r="I173" s="740"/>
      <c r="J173" s="740"/>
      <c r="K173" s="740"/>
      <c r="L173" s="740"/>
      <c r="M173" s="740"/>
      <c r="N173" s="739" t="str">
        <f>IF('加算項目（D病棟）'!I8="有","〇","")</f>
        <v/>
      </c>
      <c r="O173" s="739"/>
      <c r="P173" s="739"/>
      <c r="Q173" s="741" t="s">
        <v>785</v>
      </c>
      <c r="R173" s="740"/>
      <c r="S173" s="740"/>
      <c r="T173" s="740"/>
      <c r="U173" s="740"/>
      <c r="V173" s="740"/>
      <c r="W173" s="740"/>
      <c r="X173" s="740"/>
      <c r="Y173" s="740"/>
      <c r="Z173" s="740"/>
      <c r="AA173" s="740"/>
      <c r="AB173" s="740"/>
      <c r="AC173" s="739" t="str">
        <f>IF('加算項目（D病棟）'!I9="有","〇","")</f>
        <v/>
      </c>
      <c r="AD173" s="739"/>
      <c r="AE173" s="739"/>
      <c r="AF173" s="741" t="s">
        <v>809</v>
      </c>
      <c r="AG173" s="740"/>
      <c r="AH173" s="740"/>
      <c r="AI173" s="740"/>
      <c r="AJ173" s="740"/>
      <c r="AK173" s="740"/>
      <c r="AL173" s="740"/>
      <c r="AM173" s="740"/>
      <c r="AN173" s="740"/>
      <c r="AO173" s="740"/>
      <c r="AP173" s="740"/>
      <c r="AQ173" s="740"/>
      <c r="AR173" s="818" t="str">
        <f>IF('加算項目（D病棟）'!I10="有","〇","")</f>
        <v/>
      </c>
      <c r="AS173" s="819"/>
      <c r="AT173" s="820"/>
    </row>
    <row r="174" spans="2:47" ht="18.75">
      <c r="B174" s="741" t="s">
        <v>156</v>
      </c>
      <c r="C174" s="741"/>
      <c r="D174" s="741"/>
      <c r="E174" s="741"/>
      <c r="F174" s="741"/>
      <c r="G174" s="741"/>
      <c r="H174" s="741"/>
      <c r="I174" s="741"/>
      <c r="J174" s="741"/>
      <c r="K174" s="741"/>
      <c r="L174" s="741"/>
      <c r="M174" s="741"/>
      <c r="N174" s="818" t="str">
        <f>IF('加算項目（D病棟）'!I11="有","〇","")</f>
        <v/>
      </c>
      <c r="O174" s="819"/>
      <c r="P174" s="820"/>
      <c r="Q174" s="741" t="s">
        <v>810</v>
      </c>
      <c r="R174" s="741"/>
      <c r="S174" s="741"/>
      <c r="T174" s="741"/>
      <c r="U174" s="741"/>
      <c r="V174" s="741"/>
      <c r="W174" s="741"/>
      <c r="X174" s="741"/>
      <c r="Y174" s="741"/>
      <c r="Z174" s="741"/>
      <c r="AA174" s="741"/>
      <c r="AB174" s="741"/>
      <c r="AC174" s="739" t="str">
        <f>IF('加算項目（D病棟）'!I12="有","〇","")</f>
        <v/>
      </c>
      <c r="AD174" s="739"/>
      <c r="AE174" s="739"/>
      <c r="AF174" s="741" t="s">
        <v>140</v>
      </c>
      <c r="AG174" s="741"/>
      <c r="AH174" s="741"/>
      <c r="AI174" s="741"/>
      <c r="AJ174" s="741"/>
      <c r="AK174" s="741"/>
      <c r="AL174" s="741"/>
      <c r="AM174" s="741"/>
      <c r="AN174" s="741"/>
      <c r="AO174" s="741"/>
      <c r="AP174" s="741"/>
      <c r="AQ174" s="741"/>
      <c r="AR174" s="739" t="str">
        <f>IF('加算項目（D病棟）'!I14="有","〇","")</f>
        <v/>
      </c>
      <c r="AS174" s="739"/>
      <c r="AT174" s="739"/>
    </row>
    <row r="175" spans="2:47" ht="18.75">
      <c r="B175" s="741" t="s">
        <v>811</v>
      </c>
      <c r="C175" s="740"/>
      <c r="D175" s="740"/>
      <c r="E175" s="740"/>
      <c r="F175" s="740"/>
      <c r="G175" s="740"/>
      <c r="H175" s="740"/>
      <c r="I175" s="740"/>
      <c r="J175" s="740"/>
      <c r="K175" s="740"/>
      <c r="L175" s="740"/>
      <c r="M175" s="740"/>
      <c r="N175" s="739" t="str">
        <f>IF('加算項目（D病棟）'!I15="有","〇","")</f>
        <v/>
      </c>
      <c r="O175" s="739"/>
      <c r="P175" s="739"/>
      <c r="Q175" s="741" t="s">
        <v>786</v>
      </c>
      <c r="R175" s="741"/>
      <c r="S175" s="741"/>
      <c r="T175" s="741"/>
      <c r="U175" s="741"/>
      <c r="V175" s="741"/>
      <c r="W175" s="741"/>
      <c r="X175" s="741"/>
      <c r="Y175" s="741"/>
      <c r="Z175" s="741"/>
      <c r="AA175" s="741"/>
      <c r="AB175" s="741"/>
      <c r="AC175" s="739" t="str">
        <f>IF('加算項目（D病棟）'!I16="有","〇","")</f>
        <v/>
      </c>
      <c r="AD175" s="739"/>
      <c r="AE175" s="739"/>
      <c r="AF175" s="741" t="s">
        <v>787</v>
      </c>
      <c r="AG175" s="741"/>
      <c r="AH175" s="741"/>
      <c r="AI175" s="741"/>
      <c r="AJ175" s="741"/>
      <c r="AK175" s="741"/>
      <c r="AL175" s="741"/>
      <c r="AM175" s="741"/>
      <c r="AN175" s="741"/>
      <c r="AO175" s="741"/>
      <c r="AP175" s="741"/>
      <c r="AQ175" s="741"/>
      <c r="AR175" s="739" t="str">
        <f>IF('加算項目（D病棟）'!I17="有","〇","")</f>
        <v/>
      </c>
      <c r="AS175" s="739"/>
      <c r="AT175" s="739"/>
    </row>
    <row r="176" spans="2:47" ht="18.75">
      <c r="B176" s="741" t="s">
        <v>788</v>
      </c>
      <c r="C176" s="741"/>
      <c r="D176" s="741"/>
      <c r="E176" s="741"/>
      <c r="F176" s="741"/>
      <c r="G176" s="741"/>
      <c r="H176" s="741"/>
      <c r="I176" s="741"/>
      <c r="J176" s="741"/>
      <c r="K176" s="741"/>
      <c r="L176" s="741"/>
      <c r="M176" s="741"/>
      <c r="N176" s="739" t="str">
        <f>IF('加算項目（D病棟）'!I18="有","〇","")</f>
        <v/>
      </c>
      <c r="O176" s="739"/>
      <c r="P176" s="739"/>
      <c r="Q176" s="741" t="s">
        <v>789</v>
      </c>
      <c r="R176" s="740"/>
      <c r="S176" s="740"/>
      <c r="T176" s="740"/>
      <c r="U176" s="740"/>
      <c r="V176" s="740"/>
      <c r="W176" s="740"/>
      <c r="X176" s="740"/>
      <c r="Y176" s="740"/>
      <c r="Z176" s="740"/>
      <c r="AA176" s="740"/>
      <c r="AB176" s="740"/>
      <c r="AC176" s="739" t="str">
        <f>IF('加算項目（D病棟）'!I19="有","〇","")</f>
        <v/>
      </c>
      <c r="AD176" s="739"/>
      <c r="AE176" s="739"/>
      <c r="AF176" s="741" t="s">
        <v>790</v>
      </c>
      <c r="AG176" s="740"/>
      <c r="AH176" s="740"/>
      <c r="AI176" s="740"/>
      <c r="AJ176" s="740"/>
      <c r="AK176" s="740"/>
      <c r="AL176" s="740"/>
      <c r="AM176" s="740"/>
      <c r="AN176" s="740"/>
      <c r="AO176" s="740"/>
      <c r="AP176" s="740"/>
      <c r="AQ176" s="740"/>
      <c r="AR176" s="739" t="str">
        <f>IF('加算項目（D病棟）'!I20="有","〇","")</f>
        <v/>
      </c>
      <c r="AS176" s="739"/>
      <c r="AT176" s="739"/>
    </row>
    <row r="177" spans="2:46" ht="18.75">
      <c r="B177" s="741" t="s">
        <v>802</v>
      </c>
      <c r="C177" s="740"/>
      <c r="D177" s="740"/>
      <c r="E177" s="740"/>
      <c r="F177" s="740"/>
      <c r="G177" s="740"/>
      <c r="H177" s="740"/>
      <c r="I177" s="740"/>
      <c r="J177" s="740"/>
      <c r="K177" s="740"/>
      <c r="L177" s="740"/>
      <c r="M177" s="740"/>
      <c r="N177" s="739" t="str">
        <f>IF('加算項目（D病棟）'!I21="有","〇","")</f>
        <v/>
      </c>
      <c r="O177" s="739"/>
      <c r="P177" s="739"/>
      <c r="Q177" s="741" t="s">
        <v>1047</v>
      </c>
      <c r="R177" s="740"/>
      <c r="S177" s="740"/>
      <c r="T177" s="740"/>
      <c r="U177" s="740"/>
      <c r="V177" s="740"/>
      <c r="W177" s="740"/>
      <c r="X177" s="740"/>
      <c r="Y177" s="740"/>
      <c r="Z177" s="740"/>
      <c r="AA177" s="740"/>
      <c r="AB177" s="740"/>
      <c r="AC177" s="739" t="str">
        <f>IF('加算項目（D病棟）'!I22="有","〇","")</f>
        <v/>
      </c>
      <c r="AD177" s="739"/>
      <c r="AE177" s="739"/>
      <c r="AF177" s="740" t="s">
        <v>791</v>
      </c>
      <c r="AG177" s="740"/>
      <c r="AH177" s="740"/>
      <c r="AI177" s="740"/>
      <c r="AJ177" s="740"/>
      <c r="AK177" s="740"/>
      <c r="AL177" s="740"/>
      <c r="AM177" s="740"/>
      <c r="AN177" s="740"/>
      <c r="AO177" s="740"/>
      <c r="AP177" s="740"/>
      <c r="AQ177" s="740"/>
      <c r="AR177" s="739" t="str">
        <f>IF('加算項目（D病棟）'!I23="有","〇","")</f>
        <v/>
      </c>
      <c r="AS177" s="739"/>
      <c r="AT177" s="739"/>
    </row>
    <row r="178" spans="2:46" ht="18.75">
      <c r="B178" s="740" t="s">
        <v>792</v>
      </c>
      <c r="C178" s="740"/>
      <c r="D178" s="740"/>
      <c r="E178" s="740"/>
      <c r="F178" s="740"/>
      <c r="G178" s="740"/>
      <c r="H178" s="740"/>
      <c r="I178" s="740"/>
      <c r="J178" s="740"/>
      <c r="K178" s="740"/>
      <c r="L178" s="740"/>
      <c r="M178" s="740"/>
      <c r="N178" s="739" t="str">
        <f>IF('加算項目（D病棟）'!I24="有","〇","")</f>
        <v/>
      </c>
      <c r="O178" s="739"/>
      <c r="P178" s="739"/>
      <c r="Q178" s="741" t="s">
        <v>1074</v>
      </c>
      <c r="R178" s="740"/>
      <c r="S178" s="740"/>
      <c r="T178" s="740"/>
      <c r="U178" s="740"/>
      <c r="V178" s="740"/>
      <c r="W178" s="740"/>
      <c r="X178" s="740"/>
      <c r="Y178" s="740"/>
      <c r="Z178" s="740"/>
      <c r="AA178" s="740"/>
      <c r="AB178" s="740"/>
      <c r="AC178" s="739" t="str">
        <f>IF('加算項目（D病棟）'!I25="有","〇","")</f>
        <v/>
      </c>
      <c r="AD178" s="739"/>
      <c r="AE178" s="739"/>
      <c r="AF178" s="741" t="s">
        <v>1045</v>
      </c>
      <c r="AG178" s="740"/>
      <c r="AH178" s="740"/>
      <c r="AI178" s="740"/>
      <c r="AJ178" s="740"/>
      <c r="AK178" s="740"/>
      <c r="AL178" s="740"/>
      <c r="AM178" s="740"/>
      <c r="AN178" s="740"/>
      <c r="AO178" s="740"/>
      <c r="AP178" s="740"/>
      <c r="AQ178" s="740"/>
      <c r="AR178" s="739" t="str">
        <f>IF('加算項目（D病棟）'!I26="有","〇","")</f>
        <v/>
      </c>
      <c r="AS178" s="739"/>
      <c r="AT178" s="739"/>
    </row>
    <row r="179" spans="2:46" ht="18.75">
      <c r="B179" s="741" t="s">
        <v>1046</v>
      </c>
      <c r="C179" s="740"/>
      <c r="D179" s="740"/>
      <c r="E179" s="740"/>
      <c r="F179" s="740"/>
      <c r="G179" s="740"/>
      <c r="H179" s="740"/>
      <c r="I179" s="740"/>
      <c r="J179" s="740"/>
      <c r="K179" s="740"/>
      <c r="L179" s="740"/>
      <c r="M179" s="740"/>
      <c r="N179" s="739" t="str">
        <f>IF('加算項目（D病棟）'!I27="有","〇","")</f>
        <v/>
      </c>
      <c r="O179" s="739"/>
      <c r="P179" s="739"/>
      <c r="Q179" s="741" t="s">
        <v>793</v>
      </c>
      <c r="R179" s="740"/>
      <c r="S179" s="740"/>
      <c r="T179" s="740"/>
      <c r="U179" s="740"/>
      <c r="V179" s="740"/>
      <c r="W179" s="740"/>
      <c r="X179" s="740"/>
      <c r="Y179" s="740"/>
      <c r="Z179" s="740"/>
      <c r="AA179" s="740"/>
      <c r="AB179" s="740"/>
      <c r="AC179" s="739" t="str">
        <f>IF('加算項目（D病棟）'!I28="有","〇","")</f>
        <v/>
      </c>
      <c r="AD179" s="739"/>
      <c r="AE179" s="739"/>
      <c r="AF179" s="741" t="s">
        <v>794</v>
      </c>
      <c r="AG179" s="740"/>
      <c r="AH179" s="740"/>
      <c r="AI179" s="740"/>
      <c r="AJ179" s="740"/>
      <c r="AK179" s="740"/>
      <c r="AL179" s="740"/>
      <c r="AM179" s="740"/>
      <c r="AN179" s="740"/>
      <c r="AO179" s="740"/>
      <c r="AP179" s="740"/>
      <c r="AQ179" s="740"/>
      <c r="AR179" s="739" t="str">
        <f>IF('加算項目（D病棟）'!I29="有","〇","")</f>
        <v/>
      </c>
      <c r="AS179" s="739"/>
      <c r="AT179" s="739"/>
    </row>
    <row r="180" spans="2:46" ht="18.75">
      <c r="B180" s="741" t="s">
        <v>151</v>
      </c>
      <c r="C180" s="740"/>
      <c r="D180" s="740"/>
      <c r="E180" s="740"/>
      <c r="F180" s="740"/>
      <c r="G180" s="740"/>
      <c r="H180" s="740"/>
      <c r="I180" s="740"/>
      <c r="J180" s="740"/>
      <c r="K180" s="740"/>
      <c r="L180" s="740"/>
      <c r="M180" s="740"/>
      <c r="N180" s="739" t="str">
        <f>IF('加算項目（D病棟）'!I31="有","〇","")</f>
        <v/>
      </c>
      <c r="O180" s="739"/>
      <c r="P180" s="739"/>
      <c r="Q180" s="741" t="s">
        <v>1076</v>
      </c>
      <c r="R180" s="740"/>
      <c r="S180" s="740"/>
      <c r="T180" s="740"/>
      <c r="U180" s="740"/>
      <c r="V180" s="740"/>
      <c r="W180" s="740"/>
      <c r="X180" s="740"/>
      <c r="Y180" s="740"/>
      <c r="Z180" s="740"/>
      <c r="AA180" s="740"/>
      <c r="AB180" s="740"/>
      <c r="AC180" s="739" t="str">
        <f>IF('加算項目（D病棟）'!I32="有","〇","")</f>
        <v/>
      </c>
      <c r="AD180" s="739"/>
      <c r="AE180" s="739"/>
      <c r="AF180" s="741" t="s">
        <v>795</v>
      </c>
      <c r="AG180" s="740"/>
      <c r="AH180" s="740"/>
      <c r="AI180" s="740"/>
      <c r="AJ180" s="740"/>
      <c r="AK180" s="740"/>
      <c r="AL180" s="740"/>
      <c r="AM180" s="740"/>
      <c r="AN180" s="740"/>
      <c r="AO180" s="740"/>
      <c r="AP180" s="740"/>
      <c r="AQ180" s="740"/>
      <c r="AR180" s="739" t="str">
        <f>IF('加算項目（D病棟）'!I33="有","〇","")</f>
        <v/>
      </c>
      <c r="AS180" s="739"/>
      <c r="AT180" s="739"/>
    </row>
    <row r="181" spans="2:46" ht="18.75">
      <c r="B181" s="741" t="s">
        <v>796</v>
      </c>
      <c r="C181" s="740"/>
      <c r="D181" s="740"/>
      <c r="E181" s="740"/>
      <c r="F181" s="740"/>
      <c r="G181" s="740"/>
      <c r="H181" s="740"/>
      <c r="I181" s="740"/>
      <c r="J181" s="740"/>
      <c r="K181" s="740"/>
      <c r="L181" s="740"/>
      <c r="M181" s="740"/>
      <c r="N181" s="739" t="str">
        <f>IF('加算項目（D病棟）'!I34="有","〇","")</f>
        <v/>
      </c>
      <c r="O181" s="739"/>
      <c r="P181" s="739"/>
      <c r="Q181" s="740" t="s">
        <v>797</v>
      </c>
      <c r="R181" s="740"/>
      <c r="S181" s="740"/>
      <c r="T181" s="740"/>
      <c r="U181" s="740"/>
      <c r="V181" s="740"/>
      <c r="W181" s="740"/>
      <c r="X181" s="740"/>
      <c r="Y181" s="740"/>
      <c r="Z181" s="740"/>
      <c r="AA181" s="740"/>
      <c r="AB181" s="740"/>
      <c r="AC181" s="739" t="str">
        <f>IF('加算項目（D病棟）'!I35="有","〇","")</f>
        <v/>
      </c>
      <c r="AD181" s="739"/>
      <c r="AE181" s="739"/>
      <c r="AF181" s="741" t="s">
        <v>803</v>
      </c>
      <c r="AG181" s="740"/>
      <c r="AH181" s="740"/>
      <c r="AI181" s="740"/>
      <c r="AJ181" s="740"/>
      <c r="AK181" s="740"/>
      <c r="AL181" s="740"/>
      <c r="AM181" s="740"/>
      <c r="AN181" s="740"/>
      <c r="AO181" s="740"/>
      <c r="AP181" s="740"/>
      <c r="AQ181" s="740"/>
      <c r="AR181" s="739" t="str">
        <f>IF('加算項目（D病棟）'!I36="有","〇","")</f>
        <v/>
      </c>
      <c r="AS181" s="739"/>
      <c r="AT181" s="739"/>
    </row>
    <row r="182" spans="2:46" ht="18.75">
      <c r="B182" s="740" t="s">
        <v>1077</v>
      </c>
      <c r="C182" s="740"/>
      <c r="D182" s="740"/>
      <c r="E182" s="740"/>
      <c r="F182" s="740"/>
      <c r="G182" s="740"/>
      <c r="H182" s="740"/>
      <c r="I182" s="740"/>
      <c r="J182" s="740"/>
      <c r="K182" s="740"/>
      <c r="L182" s="740"/>
      <c r="M182" s="740"/>
      <c r="N182" s="739" t="str">
        <f>IF('加算項目（D病棟）'!I37="有","〇","")</f>
        <v/>
      </c>
      <c r="O182" s="739"/>
      <c r="P182" s="739"/>
      <c r="Q182" s="740" t="s">
        <v>1078</v>
      </c>
      <c r="R182" s="740"/>
      <c r="S182" s="740"/>
      <c r="T182" s="740"/>
      <c r="U182" s="740"/>
      <c r="V182" s="740"/>
      <c r="W182" s="740"/>
      <c r="X182" s="740"/>
      <c r="Y182" s="740"/>
      <c r="Z182" s="740"/>
      <c r="AA182" s="740"/>
      <c r="AB182" s="740"/>
      <c r="AC182" s="739" t="str">
        <f>IF('加算項目（D病棟）'!I38="有","〇","")</f>
        <v/>
      </c>
      <c r="AD182" s="739"/>
      <c r="AE182" s="739"/>
      <c r="AF182" s="740" t="s">
        <v>1079</v>
      </c>
      <c r="AG182" s="740"/>
      <c r="AH182" s="740"/>
      <c r="AI182" s="740"/>
      <c r="AJ182" s="740"/>
      <c r="AK182" s="740"/>
      <c r="AL182" s="740"/>
      <c r="AM182" s="740"/>
      <c r="AN182" s="740"/>
      <c r="AO182" s="740"/>
      <c r="AP182" s="740"/>
      <c r="AQ182" s="740"/>
      <c r="AR182" s="739" t="str">
        <f>IF('加算項目（D病棟）'!I39="有","〇","")</f>
        <v/>
      </c>
      <c r="AS182" s="739"/>
      <c r="AT182" s="739"/>
    </row>
    <row r="183" spans="2:46" ht="18.75">
      <c r="B183" s="740" t="s">
        <v>1103</v>
      </c>
      <c r="C183" s="740"/>
      <c r="D183" s="740"/>
      <c r="E183" s="740"/>
      <c r="F183" s="740"/>
      <c r="G183" s="740"/>
      <c r="H183" s="740"/>
      <c r="I183" s="740"/>
      <c r="J183" s="740"/>
      <c r="K183" s="740"/>
      <c r="L183" s="740"/>
      <c r="M183" s="740"/>
      <c r="N183" s="739" t="str">
        <f>IF('加算項目（D病棟）'!I40="有","〇","")</f>
        <v/>
      </c>
      <c r="O183" s="739"/>
      <c r="P183" s="739"/>
      <c r="Q183" s="740" t="s">
        <v>1080</v>
      </c>
      <c r="R183" s="740"/>
      <c r="S183" s="740"/>
      <c r="T183" s="740"/>
      <c r="U183" s="740"/>
      <c r="V183" s="740"/>
      <c r="W183" s="740"/>
      <c r="X183" s="740"/>
      <c r="Y183" s="740"/>
      <c r="Z183" s="740"/>
      <c r="AA183" s="740"/>
      <c r="AB183" s="740"/>
      <c r="AC183" s="739" t="str">
        <f>IF('加算項目（D病棟）'!I41="有","〇","")</f>
        <v/>
      </c>
      <c r="AD183" s="739"/>
      <c r="AE183" s="739"/>
      <c r="AF183" s="740" t="s">
        <v>1081</v>
      </c>
      <c r="AG183" s="740"/>
      <c r="AH183" s="740"/>
      <c r="AI183" s="740"/>
      <c r="AJ183" s="740"/>
      <c r="AK183" s="740"/>
      <c r="AL183" s="740"/>
      <c r="AM183" s="740"/>
      <c r="AN183" s="740"/>
      <c r="AO183" s="740"/>
      <c r="AP183" s="740"/>
      <c r="AQ183" s="740"/>
      <c r="AR183" s="739" t="str">
        <f>IF('加算項目（D病棟）'!I42="有","〇","")</f>
        <v/>
      </c>
      <c r="AS183" s="739"/>
      <c r="AT183" s="739"/>
    </row>
    <row r="184" spans="2:46" ht="18.75">
      <c r="B184" s="740" t="s">
        <v>1082</v>
      </c>
      <c r="C184" s="740"/>
      <c r="D184" s="740"/>
      <c r="E184" s="740"/>
      <c r="F184" s="740"/>
      <c r="G184" s="740"/>
      <c r="H184" s="740"/>
      <c r="I184" s="740"/>
      <c r="J184" s="740"/>
      <c r="K184" s="740"/>
      <c r="L184" s="740"/>
      <c r="M184" s="740"/>
      <c r="N184" s="739" t="str">
        <f>IF('加算項目（D病棟）'!I43="有","〇","")</f>
        <v/>
      </c>
      <c r="O184" s="739"/>
      <c r="P184" s="739"/>
      <c r="Q184" s="740" t="s">
        <v>1083</v>
      </c>
      <c r="R184" s="740"/>
      <c r="S184" s="740"/>
      <c r="T184" s="740"/>
      <c r="U184" s="740"/>
      <c r="V184" s="740"/>
      <c r="W184" s="740"/>
      <c r="X184" s="740"/>
      <c r="Y184" s="740"/>
      <c r="Z184" s="740"/>
      <c r="AA184" s="740"/>
      <c r="AB184" s="740"/>
      <c r="AC184" s="739" t="str">
        <f>IF('加算項目（D病棟）'!I44="有","〇","")</f>
        <v/>
      </c>
      <c r="AD184" s="739"/>
      <c r="AE184" s="739"/>
      <c r="AF184" s="740" t="s">
        <v>1053</v>
      </c>
      <c r="AG184" s="740"/>
      <c r="AH184" s="740"/>
      <c r="AI184" s="740"/>
      <c r="AJ184" s="740"/>
      <c r="AK184" s="740"/>
      <c r="AL184" s="740"/>
      <c r="AM184" s="740"/>
      <c r="AN184" s="740"/>
      <c r="AO184" s="740"/>
      <c r="AP184" s="740"/>
      <c r="AQ184" s="740"/>
      <c r="AR184" s="739" t="str">
        <f>IF('加算項目（D病棟）'!I45="有","〇","")</f>
        <v/>
      </c>
      <c r="AS184" s="739"/>
      <c r="AT184" s="739"/>
    </row>
    <row r="185" spans="2:46" ht="18.75">
      <c r="B185" s="740" t="s">
        <v>1059</v>
      </c>
      <c r="C185" s="740"/>
      <c r="D185" s="740"/>
      <c r="E185" s="740"/>
      <c r="F185" s="740"/>
      <c r="G185" s="740"/>
      <c r="H185" s="740"/>
      <c r="I185" s="740"/>
      <c r="J185" s="740"/>
      <c r="K185" s="740"/>
      <c r="L185" s="740"/>
      <c r="M185" s="740"/>
      <c r="N185" s="739" t="str">
        <f>IF('加算項目（D病棟）'!I46="有","〇","")</f>
        <v/>
      </c>
      <c r="O185" s="739"/>
      <c r="P185" s="739"/>
      <c r="Q185" s="741" t="s">
        <v>798</v>
      </c>
      <c r="R185" s="740"/>
      <c r="S185" s="740"/>
      <c r="T185" s="740"/>
      <c r="U185" s="740"/>
      <c r="V185" s="740"/>
      <c r="W185" s="740"/>
      <c r="X185" s="740"/>
      <c r="Y185" s="740"/>
      <c r="Z185" s="740"/>
      <c r="AA185" s="740"/>
      <c r="AB185" s="740"/>
      <c r="AC185" s="739" t="str">
        <f>IF('加算項目（D病棟）'!I47="有","〇","")</f>
        <v/>
      </c>
      <c r="AD185" s="739"/>
      <c r="AE185" s="739"/>
      <c r="AF185" s="741" t="s">
        <v>799</v>
      </c>
      <c r="AG185" s="740"/>
      <c r="AH185" s="740"/>
      <c r="AI185" s="740"/>
      <c r="AJ185" s="740"/>
      <c r="AK185" s="740"/>
      <c r="AL185" s="740"/>
      <c r="AM185" s="740"/>
      <c r="AN185" s="740"/>
      <c r="AO185" s="740"/>
      <c r="AP185" s="740"/>
      <c r="AQ185" s="740"/>
      <c r="AR185" s="739" t="str">
        <f>IF('加算項目（D病棟）'!I48="有","〇","")</f>
        <v/>
      </c>
      <c r="AS185" s="739"/>
      <c r="AT185" s="739"/>
    </row>
    <row r="186" spans="2:46" ht="18.75">
      <c r="B186" s="741" t="s">
        <v>800</v>
      </c>
      <c r="C186" s="740"/>
      <c r="D186" s="740"/>
      <c r="E186" s="740"/>
      <c r="F186" s="740"/>
      <c r="G186" s="740"/>
      <c r="H186" s="740"/>
      <c r="I186" s="740"/>
      <c r="J186" s="740"/>
      <c r="K186" s="740"/>
      <c r="L186" s="740"/>
      <c r="M186" s="740"/>
      <c r="N186" s="739" t="str">
        <f>IF('加算項目（D病棟）'!I49="有","〇","")</f>
        <v/>
      </c>
      <c r="O186" s="739"/>
      <c r="P186" s="739"/>
      <c r="Q186" s="741" t="s">
        <v>801</v>
      </c>
      <c r="R186" s="740"/>
      <c r="S186" s="740"/>
      <c r="T186" s="740"/>
      <c r="U186" s="740"/>
      <c r="V186" s="740"/>
      <c r="W186" s="740"/>
      <c r="X186" s="740"/>
      <c r="Y186" s="740"/>
      <c r="Z186" s="740"/>
      <c r="AA186" s="740"/>
      <c r="AB186" s="740"/>
      <c r="AC186" s="739" t="str">
        <f>IF('加算項目（D病棟）'!I50="有","〇","")</f>
        <v/>
      </c>
      <c r="AD186" s="739"/>
      <c r="AE186" s="739"/>
      <c r="AF186" s="741" t="s">
        <v>863</v>
      </c>
      <c r="AG186" s="740"/>
      <c r="AH186" s="740"/>
      <c r="AI186" s="740"/>
      <c r="AJ186" s="740"/>
      <c r="AK186" s="740"/>
      <c r="AL186" s="740"/>
      <c r="AM186" s="740"/>
      <c r="AN186" s="740"/>
      <c r="AO186" s="740"/>
      <c r="AP186" s="740"/>
      <c r="AQ186" s="740"/>
      <c r="AR186" s="739" t="str">
        <f>IF('加算項目（D病棟）'!I51="有","〇","")</f>
        <v/>
      </c>
      <c r="AS186" s="739"/>
      <c r="AT186" s="739"/>
    </row>
    <row r="187" spans="2:46" ht="18.75">
      <c r="B187" s="741" t="s">
        <v>1102</v>
      </c>
      <c r="C187" s="740"/>
      <c r="D187" s="740"/>
      <c r="E187" s="740"/>
      <c r="F187" s="740"/>
      <c r="G187" s="740"/>
      <c r="H187" s="740"/>
      <c r="I187" s="740"/>
      <c r="J187" s="740"/>
      <c r="K187" s="740"/>
      <c r="L187" s="740"/>
      <c r="M187" s="740"/>
      <c r="N187" s="739" t="str">
        <f>IF('加算項目（D病棟）'!I52="有","〇","")</f>
        <v/>
      </c>
      <c r="O187" s="739"/>
      <c r="P187" s="739"/>
      <c r="Q187" s="741" t="s">
        <v>1101</v>
      </c>
      <c r="R187" s="740"/>
      <c r="S187" s="740"/>
      <c r="T187" s="740"/>
      <c r="U187" s="740"/>
      <c r="V187" s="740"/>
      <c r="W187" s="740"/>
      <c r="X187" s="740"/>
      <c r="Y187" s="740"/>
      <c r="Z187" s="740"/>
      <c r="AA187" s="740"/>
      <c r="AB187" s="740"/>
      <c r="AC187" s="739" t="str">
        <f>IF('加算項目（D病棟）'!I53="有","〇","")</f>
        <v/>
      </c>
      <c r="AD187" s="739"/>
      <c r="AE187" s="739"/>
      <c r="AF187" s="741" t="s">
        <v>977</v>
      </c>
      <c r="AG187" s="740"/>
      <c r="AH187" s="740"/>
      <c r="AI187" s="740"/>
      <c r="AJ187" s="740"/>
      <c r="AK187" s="740"/>
      <c r="AL187" s="740"/>
      <c r="AM187" s="740"/>
      <c r="AN187" s="740"/>
      <c r="AO187" s="740"/>
      <c r="AP187" s="740"/>
      <c r="AQ187" s="740"/>
      <c r="AR187" s="739" t="str">
        <f>IF('加算項目（D病棟）'!I54="有","〇","")</f>
        <v/>
      </c>
      <c r="AS187" s="739"/>
      <c r="AT187" s="739"/>
    </row>
    <row r="188" spans="2:46" ht="18.75">
      <c r="B188" s="741" t="s">
        <v>978</v>
      </c>
      <c r="C188" s="740"/>
      <c r="D188" s="740"/>
      <c r="E188" s="740"/>
      <c r="F188" s="740"/>
      <c r="G188" s="740"/>
      <c r="H188" s="740"/>
      <c r="I188" s="740"/>
      <c r="J188" s="740"/>
      <c r="K188" s="740"/>
      <c r="L188" s="740"/>
      <c r="M188" s="740"/>
      <c r="N188" s="818" t="str">
        <f>IF('加算項目（D病棟）'!I55="有","〇","")</f>
        <v/>
      </c>
      <c r="O188" s="819"/>
      <c r="P188" s="820"/>
      <c r="Q188" s="741" t="s">
        <v>1084</v>
      </c>
      <c r="R188" s="740"/>
      <c r="S188" s="740"/>
      <c r="T188" s="740"/>
      <c r="U188" s="740"/>
      <c r="V188" s="740"/>
      <c r="W188" s="740"/>
      <c r="X188" s="740"/>
      <c r="Y188" s="740"/>
      <c r="Z188" s="740"/>
      <c r="AA188" s="740"/>
      <c r="AB188" s="740"/>
      <c r="AC188" s="739" t="str">
        <f>IF('加算項目（D病棟）'!I57="有","〇","")</f>
        <v/>
      </c>
      <c r="AD188" s="739"/>
      <c r="AE188" s="739"/>
      <c r="AF188" s="741" t="s">
        <v>952</v>
      </c>
      <c r="AG188" s="740"/>
      <c r="AH188" s="740"/>
      <c r="AI188" s="740"/>
      <c r="AJ188" s="740"/>
      <c r="AK188" s="740"/>
      <c r="AL188" s="740"/>
      <c r="AM188" s="740"/>
      <c r="AN188" s="740"/>
      <c r="AO188" s="740"/>
      <c r="AP188" s="740"/>
      <c r="AQ188" s="740"/>
      <c r="AR188" s="739" t="str">
        <f>IF('加算項目（D病棟）'!I58="有","〇","")</f>
        <v/>
      </c>
      <c r="AS188" s="739"/>
      <c r="AT188" s="739"/>
    </row>
    <row r="189" spans="2:46" ht="18.75">
      <c r="B189" s="832" t="s">
        <v>950</v>
      </c>
      <c r="C189" s="833"/>
      <c r="D189" s="833"/>
      <c r="E189" s="833"/>
      <c r="F189" s="833"/>
      <c r="G189" s="833"/>
      <c r="H189" s="833"/>
      <c r="I189" s="833"/>
      <c r="J189" s="833"/>
      <c r="K189" s="833"/>
      <c r="L189" s="833"/>
      <c r="M189" s="834"/>
      <c r="N189" s="739" t="str">
        <f>IF('加算項目（D病棟）'!I59="有","〇","")</f>
        <v/>
      </c>
      <c r="O189" s="739"/>
      <c r="P189" s="739"/>
      <c r="Q189" s="832" t="s">
        <v>951</v>
      </c>
      <c r="R189" s="833"/>
      <c r="S189" s="833"/>
      <c r="T189" s="833"/>
      <c r="U189" s="833"/>
      <c r="V189" s="833"/>
      <c r="W189" s="833"/>
      <c r="X189" s="833"/>
      <c r="Y189" s="833"/>
      <c r="Z189" s="833"/>
      <c r="AA189" s="833"/>
      <c r="AB189" s="834"/>
      <c r="AC189" s="739" t="str">
        <f>IF('加算項目（D病棟）'!I60="有","〇","")</f>
        <v/>
      </c>
      <c r="AD189" s="739"/>
      <c r="AE189" s="739"/>
      <c r="AF189" s="832" t="s">
        <v>1100</v>
      </c>
      <c r="AG189" s="833"/>
      <c r="AH189" s="833"/>
      <c r="AI189" s="833"/>
      <c r="AJ189" s="833"/>
      <c r="AK189" s="833"/>
      <c r="AL189" s="833"/>
      <c r="AM189" s="833"/>
      <c r="AN189" s="833"/>
      <c r="AO189" s="833"/>
      <c r="AP189" s="833"/>
      <c r="AQ189" s="834"/>
      <c r="AR189" s="739" t="str">
        <f>IF('加算項目（D病棟）'!I61="有","〇","")</f>
        <v/>
      </c>
      <c r="AS189" s="739"/>
      <c r="AT189" s="739"/>
    </row>
    <row r="190" spans="2:46" ht="18.75"/>
    <row r="191" spans="2:46" ht="18.75">
      <c r="B191" s="740" t="s">
        <v>808</v>
      </c>
      <c r="C191" s="740"/>
      <c r="D191" s="740"/>
      <c r="E191" s="740"/>
      <c r="F191" s="740"/>
      <c r="G191" s="740"/>
      <c r="H191" s="740"/>
      <c r="I191" s="740"/>
      <c r="J191" s="740"/>
      <c r="K191" s="740"/>
      <c r="L191" s="740"/>
      <c r="M191" s="740"/>
      <c r="N191" s="740"/>
      <c r="O191" s="740"/>
      <c r="P191" s="740"/>
      <c r="Q191" s="740"/>
      <c r="R191" s="740"/>
      <c r="S191" s="740"/>
      <c r="T191" s="740"/>
      <c r="U191" s="740"/>
      <c r="V191" s="740"/>
      <c r="W191" s="740"/>
      <c r="X191" s="740"/>
      <c r="Y191" s="740"/>
      <c r="Z191" s="740"/>
      <c r="AA191" s="740"/>
      <c r="AB191" s="740"/>
      <c r="AC191" s="740"/>
      <c r="AD191" s="740"/>
      <c r="AE191" s="740"/>
      <c r="AF191" s="740"/>
      <c r="AG191" s="740"/>
      <c r="AH191" s="740"/>
      <c r="AI191" s="740"/>
      <c r="AJ191" s="740"/>
      <c r="AK191" s="740"/>
      <c r="AL191" s="740"/>
      <c r="AM191" s="740"/>
      <c r="AN191" s="740"/>
      <c r="AO191" s="740"/>
      <c r="AP191" s="740"/>
      <c r="AQ191" s="740"/>
      <c r="AR191" s="740"/>
      <c r="AS191" s="740"/>
      <c r="AT191" s="740"/>
    </row>
    <row r="192" spans="2:46" ht="18.75">
      <c r="B192" s="740" t="s">
        <v>812</v>
      </c>
      <c r="C192" s="740"/>
      <c r="D192" s="740"/>
      <c r="E192" s="740"/>
      <c r="F192" s="740"/>
      <c r="G192" s="740"/>
      <c r="H192" s="740"/>
      <c r="I192" s="740"/>
      <c r="J192" s="740"/>
      <c r="K192" s="740"/>
      <c r="L192" s="740"/>
      <c r="M192" s="740"/>
      <c r="N192" s="739" t="str">
        <f>IF('加算項目（D病棟）'!I69="有","〇","")</f>
        <v/>
      </c>
      <c r="O192" s="739"/>
      <c r="P192" s="739"/>
      <c r="Q192" s="741" t="s">
        <v>1085</v>
      </c>
      <c r="R192" s="740"/>
      <c r="S192" s="740"/>
      <c r="T192" s="740"/>
      <c r="U192" s="740"/>
      <c r="V192" s="740"/>
      <c r="W192" s="740"/>
      <c r="X192" s="740"/>
      <c r="Y192" s="740"/>
      <c r="Z192" s="740"/>
      <c r="AA192" s="740"/>
      <c r="AB192" s="740"/>
      <c r="AC192" s="739" t="str">
        <f>IF('加算項目（D病棟）'!I70="有","〇","")</f>
        <v/>
      </c>
      <c r="AD192" s="739"/>
      <c r="AE192" s="739"/>
      <c r="AF192" s="741" t="s">
        <v>1086</v>
      </c>
      <c r="AG192" s="740"/>
      <c r="AH192" s="740"/>
      <c r="AI192" s="740"/>
      <c r="AJ192" s="740"/>
      <c r="AK192" s="740"/>
      <c r="AL192" s="740"/>
      <c r="AM192" s="740"/>
      <c r="AN192" s="740"/>
      <c r="AO192" s="740"/>
      <c r="AP192" s="740"/>
      <c r="AQ192" s="740"/>
      <c r="AR192" s="739" t="str">
        <f>IF('加算項目（D病棟）'!I71="有","〇","")</f>
        <v/>
      </c>
      <c r="AS192" s="739"/>
      <c r="AT192" s="739"/>
    </row>
    <row r="193" spans="1:47" ht="18.75">
      <c r="B193" s="741" t="s">
        <v>168</v>
      </c>
      <c r="C193" s="740"/>
      <c r="D193" s="740"/>
      <c r="E193" s="740"/>
      <c r="F193" s="740"/>
      <c r="G193" s="740"/>
      <c r="H193" s="740"/>
      <c r="I193" s="740"/>
      <c r="J193" s="740"/>
      <c r="K193" s="740"/>
      <c r="L193" s="740"/>
      <c r="M193" s="740"/>
      <c r="N193" s="739" t="str">
        <f>IF('加算項目（D病棟）'!I72="有","〇","")</f>
        <v/>
      </c>
      <c r="O193" s="739"/>
      <c r="P193" s="739"/>
      <c r="Q193" s="741" t="s">
        <v>169</v>
      </c>
      <c r="R193" s="740"/>
      <c r="S193" s="740"/>
      <c r="T193" s="740"/>
      <c r="U193" s="740"/>
      <c r="V193" s="740"/>
      <c r="W193" s="740"/>
      <c r="X193" s="740"/>
      <c r="Y193" s="740"/>
      <c r="Z193" s="740"/>
      <c r="AA193" s="740"/>
      <c r="AB193" s="740"/>
      <c r="AC193" s="739" t="str">
        <f>IF('加算項目（D病棟）'!I73="有","〇","")</f>
        <v/>
      </c>
      <c r="AD193" s="739"/>
      <c r="AE193" s="739"/>
      <c r="AF193" s="741" t="s">
        <v>170</v>
      </c>
      <c r="AG193" s="740"/>
      <c r="AH193" s="740"/>
      <c r="AI193" s="740"/>
      <c r="AJ193" s="740"/>
      <c r="AK193" s="740"/>
      <c r="AL193" s="740"/>
      <c r="AM193" s="740"/>
      <c r="AN193" s="740"/>
      <c r="AO193" s="740"/>
      <c r="AP193" s="740"/>
      <c r="AQ193" s="740"/>
      <c r="AR193" s="739" t="str">
        <f>IF('加算項目（D病棟）'!I74="有","〇","")</f>
        <v/>
      </c>
      <c r="AS193" s="739"/>
      <c r="AT193" s="739"/>
    </row>
    <row r="194" spans="1:47" ht="18.75">
      <c r="B194" s="741" t="s">
        <v>813</v>
      </c>
      <c r="C194" s="740"/>
      <c r="D194" s="740"/>
      <c r="E194" s="740"/>
      <c r="F194" s="740"/>
      <c r="G194" s="740"/>
      <c r="H194" s="740"/>
      <c r="I194" s="740"/>
      <c r="J194" s="740"/>
      <c r="K194" s="740"/>
      <c r="L194" s="740"/>
      <c r="M194" s="740"/>
      <c r="N194" s="739" t="str">
        <f>IF('加算項目（D病棟）'!I77="有","〇","")</f>
        <v/>
      </c>
      <c r="O194" s="739"/>
      <c r="P194" s="739"/>
      <c r="Q194" s="741" t="s">
        <v>191</v>
      </c>
      <c r="R194" s="740"/>
      <c r="S194" s="740"/>
      <c r="T194" s="740"/>
      <c r="U194" s="740"/>
      <c r="V194" s="740"/>
      <c r="W194" s="740"/>
      <c r="X194" s="740"/>
      <c r="Y194" s="740"/>
      <c r="Z194" s="740"/>
      <c r="AA194" s="740"/>
      <c r="AB194" s="740"/>
      <c r="AC194" s="739" t="str">
        <f>IF('加算項目（D病棟）'!I78="有","〇","")</f>
        <v/>
      </c>
      <c r="AD194" s="739"/>
      <c r="AE194" s="739"/>
      <c r="AF194" s="741" t="s">
        <v>1087</v>
      </c>
      <c r="AG194" s="740"/>
      <c r="AH194" s="740"/>
      <c r="AI194" s="740"/>
      <c r="AJ194" s="740"/>
      <c r="AK194" s="740"/>
      <c r="AL194" s="740"/>
      <c r="AM194" s="740"/>
      <c r="AN194" s="740"/>
      <c r="AO194" s="740"/>
      <c r="AP194" s="740"/>
      <c r="AQ194" s="740"/>
      <c r="AR194" s="739" t="str">
        <f>IF('加算項目（D病棟）'!I79="有","〇","")</f>
        <v/>
      </c>
      <c r="AS194" s="739"/>
      <c r="AT194" s="739"/>
    </row>
    <row r="195" spans="1:47" ht="18.75">
      <c r="B195" s="741" t="s">
        <v>979</v>
      </c>
      <c r="C195" s="740"/>
      <c r="D195" s="740"/>
      <c r="E195" s="740"/>
      <c r="F195" s="740"/>
      <c r="G195" s="740"/>
      <c r="H195" s="740"/>
      <c r="I195" s="740"/>
      <c r="J195" s="740"/>
      <c r="K195" s="740"/>
      <c r="L195" s="740"/>
      <c r="M195" s="740"/>
      <c r="N195" s="739" t="str">
        <f>IF('加算項目（D病棟）'!I80="有","〇","")</f>
        <v/>
      </c>
      <c r="O195" s="739"/>
      <c r="P195" s="739"/>
      <c r="Q195" s="741" t="s">
        <v>174</v>
      </c>
      <c r="R195" s="740"/>
      <c r="S195" s="740"/>
      <c r="T195" s="740"/>
      <c r="U195" s="740"/>
      <c r="V195" s="740"/>
      <c r="W195" s="740"/>
      <c r="X195" s="740"/>
      <c r="Y195" s="740"/>
      <c r="Z195" s="740"/>
      <c r="AA195" s="740"/>
      <c r="AB195" s="740"/>
      <c r="AC195" s="739" t="str">
        <f>IF('加算項目（D病棟）'!I81="有","〇","")</f>
        <v/>
      </c>
      <c r="AD195" s="739"/>
      <c r="AE195" s="739"/>
      <c r="AF195" s="741" t="s">
        <v>175</v>
      </c>
      <c r="AG195" s="740"/>
      <c r="AH195" s="740"/>
      <c r="AI195" s="740"/>
      <c r="AJ195" s="740"/>
      <c r="AK195" s="740"/>
      <c r="AL195" s="740"/>
      <c r="AM195" s="740"/>
      <c r="AN195" s="740"/>
      <c r="AO195" s="740"/>
      <c r="AP195" s="740"/>
      <c r="AQ195" s="740"/>
      <c r="AR195" s="739" t="str">
        <f>IF('加算項目（D病棟）'!I82="有","〇","")</f>
        <v/>
      </c>
      <c r="AS195" s="739"/>
      <c r="AT195" s="739"/>
    </row>
    <row r="196" spans="1:47" ht="18.75">
      <c r="B196" s="741" t="s">
        <v>178</v>
      </c>
      <c r="C196" s="740"/>
      <c r="D196" s="740"/>
      <c r="E196" s="740"/>
      <c r="F196" s="740"/>
      <c r="G196" s="740"/>
      <c r="H196" s="740"/>
      <c r="I196" s="740"/>
      <c r="J196" s="740"/>
      <c r="K196" s="740"/>
      <c r="L196" s="740"/>
      <c r="M196" s="740"/>
      <c r="N196" s="739" t="str">
        <f>IF('加算項目（D病棟）'!I83="有","〇","")</f>
        <v/>
      </c>
      <c r="O196" s="739"/>
      <c r="P196" s="739"/>
      <c r="Q196" s="741" t="s">
        <v>982</v>
      </c>
      <c r="R196" s="740"/>
      <c r="S196" s="740"/>
      <c r="T196" s="740"/>
      <c r="U196" s="740"/>
      <c r="V196" s="740"/>
      <c r="W196" s="740"/>
      <c r="X196" s="740"/>
      <c r="Y196" s="740"/>
      <c r="Z196" s="740"/>
      <c r="AA196" s="740"/>
      <c r="AB196" s="740"/>
      <c r="AC196" s="739" t="str">
        <f>IF('加算項目（D病棟）'!I84="有","〇","")</f>
        <v/>
      </c>
      <c r="AD196" s="739"/>
      <c r="AE196" s="739"/>
      <c r="AF196" s="741" t="s">
        <v>983</v>
      </c>
      <c r="AG196" s="740"/>
      <c r="AH196" s="740"/>
      <c r="AI196" s="740"/>
      <c r="AJ196" s="740"/>
      <c r="AK196" s="740"/>
      <c r="AL196" s="740"/>
      <c r="AM196" s="740"/>
      <c r="AN196" s="740"/>
      <c r="AO196" s="740"/>
      <c r="AP196" s="740"/>
      <c r="AQ196" s="740"/>
      <c r="AR196" s="739" t="str">
        <f>IF('加算項目（D病棟）'!I85="有","〇","")</f>
        <v/>
      </c>
      <c r="AS196" s="739"/>
      <c r="AT196" s="739"/>
    </row>
    <row r="197" spans="1:47" ht="18.75">
      <c r="B197" s="741" t="s">
        <v>984</v>
      </c>
      <c r="C197" s="740"/>
      <c r="D197" s="740"/>
      <c r="E197" s="740"/>
      <c r="F197" s="740"/>
      <c r="G197" s="740"/>
      <c r="H197" s="740"/>
      <c r="I197" s="740"/>
      <c r="J197" s="740"/>
      <c r="K197" s="740"/>
      <c r="L197" s="740"/>
      <c r="M197" s="740"/>
      <c r="N197" s="739" t="str">
        <f>IF('加算項目（D病棟）'!I86="有","〇","")</f>
        <v/>
      </c>
      <c r="O197" s="739"/>
      <c r="P197" s="739"/>
      <c r="Q197" s="741" t="s">
        <v>985</v>
      </c>
      <c r="R197" s="740"/>
      <c r="S197" s="740"/>
      <c r="T197" s="740"/>
      <c r="U197" s="740"/>
      <c r="V197" s="740"/>
      <c r="W197" s="740"/>
      <c r="X197" s="740"/>
      <c r="Y197" s="740"/>
      <c r="Z197" s="740"/>
      <c r="AA197" s="740"/>
      <c r="AB197" s="740"/>
      <c r="AC197" s="739" t="str">
        <f>IF('加算項目（D病棟）'!I87="有","〇","")</f>
        <v/>
      </c>
      <c r="AD197" s="739"/>
      <c r="AE197" s="739"/>
      <c r="AF197" s="741" t="s">
        <v>986</v>
      </c>
      <c r="AG197" s="740"/>
      <c r="AH197" s="740"/>
      <c r="AI197" s="740"/>
      <c r="AJ197" s="740"/>
      <c r="AK197" s="740"/>
      <c r="AL197" s="740"/>
      <c r="AM197" s="740"/>
      <c r="AN197" s="740"/>
      <c r="AO197" s="740"/>
      <c r="AP197" s="740"/>
      <c r="AQ197" s="740"/>
      <c r="AR197" s="739" t="str">
        <f>IF('加算項目（D病棟）'!I88="有","〇","")</f>
        <v/>
      </c>
      <c r="AS197" s="739"/>
      <c r="AT197" s="739"/>
    </row>
    <row r="198" spans="1:47" ht="18.75">
      <c r="B198" s="741" t="s">
        <v>987</v>
      </c>
      <c r="C198" s="740"/>
      <c r="D198" s="740"/>
      <c r="E198" s="740"/>
      <c r="F198" s="740"/>
      <c r="G198" s="740"/>
      <c r="H198" s="740"/>
      <c r="I198" s="740"/>
      <c r="J198" s="740"/>
      <c r="K198" s="740"/>
      <c r="L198" s="740"/>
      <c r="M198" s="740"/>
      <c r="N198" s="739" t="str">
        <f>IF('加算項目（D病棟）'!I89="有","〇","")</f>
        <v/>
      </c>
      <c r="O198" s="739"/>
      <c r="P198" s="739"/>
      <c r="Q198" s="741" t="s">
        <v>988</v>
      </c>
      <c r="R198" s="740"/>
      <c r="S198" s="740"/>
      <c r="T198" s="740"/>
      <c r="U198" s="740"/>
      <c r="V198" s="740"/>
      <c r="W198" s="740"/>
      <c r="X198" s="740"/>
      <c r="Y198" s="740"/>
      <c r="Z198" s="740"/>
      <c r="AA198" s="740"/>
      <c r="AB198" s="740"/>
      <c r="AC198" s="739" t="str">
        <f>IF('加算項目（D病棟）'!I90="有","〇","")</f>
        <v/>
      </c>
      <c r="AD198" s="739"/>
      <c r="AE198" s="739"/>
      <c r="AF198" s="741" t="s">
        <v>988</v>
      </c>
      <c r="AG198" s="740"/>
      <c r="AH198" s="740"/>
      <c r="AI198" s="740"/>
      <c r="AJ198" s="740"/>
      <c r="AK198" s="740"/>
      <c r="AL198" s="740"/>
      <c r="AM198" s="740"/>
      <c r="AN198" s="740"/>
      <c r="AO198" s="740"/>
      <c r="AP198" s="740"/>
      <c r="AQ198" s="740"/>
      <c r="AR198" s="739" t="str">
        <f>IF('加算項目（D病棟）'!I91="有","〇","")</f>
        <v/>
      </c>
      <c r="AS198" s="739"/>
      <c r="AT198" s="739"/>
    </row>
    <row r="199" spans="1:47" ht="18.75">
      <c r="B199" s="740" t="s">
        <v>184</v>
      </c>
      <c r="C199" s="740"/>
      <c r="D199" s="740"/>
      <c r="E199" s="740"/>
      <c r="F199" s="740"/>
      <c r="G199" s="740"/>
      <c r="H199" s="740"/>
      <c r="I199" s="740"/>
      <c r="J199" s="740"/>
      <c r="K199" s="740"/>
      <c r="L199" s="740"/>
      <c r="M199" s="740"/>
      <c r="N199" s="739" t="str">
        <f>IF('加算項目（D病棟）'!I92="有","〇","")</f>
        <v/>
      </c>
      <c r="O199" s="739"/>
      <c r="P199" s="739"/>
      <c r="Q199" s="740" t="s">
        <v>989</v>
      </c>
      <c r="R199" s="740"/>
      <c r="S199" s="740"/>
      <c r="T199" s="740"/>
      <c r="U199" s="740"/>
      <c r="V199" s="740"/>
      <c r="W199" s="740"/>
      <c r="X199" s="740"/>
      <c r="Y199" s="740"/>
      <c r="Z199" s="740"/>
      <c r="AA199" s="740"/>
      <c r="AB199" s="740"/>
      <c r="AC199" s="739" t="str">
        <f>IF('加算項目（D病棟）'!I93="有","〇","")</f>
        <v/>
      </c>
      <c r="AD199" s="739"/>
      <c r="AE199" s="739"/>
      <c r="AF199" s="740" t="s">
        <v>185</v>
      </c>
      <c r="AG199" s="740"/>
      <c r="AH199" s="740"/>
      <c r="AI199" s="740"/>
      <c r="AJ199" s="740"/>
      <c r="AK199" s="740"/>
      <c r="AL199" s="740"/>
      <c r="AM199" s="740"/>
      <c r="AN199" s="740"/>
      <c r="AO199" s="740"/>
      <c r="AP199" s="740"/>
      <c r="AQ199" s="740"/>
      <c r="AR199" s="739" t="str">
        <f>IF('加算項目（D病棟）'!I94="有","〇","")</f>
        <v/>
      </c>
      <c r="AS199" s="739"/>
      <c r="AT199" s="739"/>
    </row>
    <row r="200" spans="1:47" ht="18.75">
      <c r="B200" s="741" t="s">
        <v>186</v>
      </c>
      <c r="C200" s="740"/>
      <c r="D200" s="740"/>
      <c r="E200" s="740"/>
      <c r="F200" s="740"/>
      <c r="G200" s="740"/>
      <c r="H200" s="740"/>
      <c r="I200" s="740"/>
      <c r="J200" s="740"/>
      <c r="K200" s="740"/>
      <c r="L200" s="740"/>
      <c r="M200" s="740"/>
      <c r="N200" s="739" t="str">
        <f>IF('加算項目（D病棟）'!I95="有","〇","")</f>
        <v/>
      </c>
      <c r="O200" s="739"/>
      <c r="P200" s="739"/>
      <c r="Q200" s="740" t="s">
        <v>187</v>
      </c>
      <c r="R200" s="740"/>
      <c r="S200" s="740"/>
      <c r="T200" s="740"/>
      <c r="U200" s="740"/>
      <c r="V200" s="740"/>
      <c r="W200" s="740"/>
      <c r="X200" s="740"/>
      <c r="Y200" s="740"/>
      <c r="Z200" s="740"/>
      <c r="AA200" s="740"/>
      <c r="AB200" s="740"/>
      <c r="AC200" s="739" t="str">
        <f>IF('加算項目（D病棟）'!I96="有","〇","")</f>
        <v/>
      </c>
      <c r="AD200" s="739"/>
      <c r="AE200" s="739"/>
      <c r="AF200" s="740" t="s">
        <v>188</v>
      </c>
      <c r="AG200" s="740"/>
      <c r="AH200" s="740"/>
      <c r="AI200" s="740"/>
      <c r="AJ200" s="740"/>
      <c r="AK200" s="740"/>
      <c r="AL200" s="740"/>
      <c r="AM200" s="740"/>
      <c r="AN200" s="740"/>
      <c r="AO200" s="740"/>
      <c r="AP200" s="740"/>
      <c r="AQ200" s="740"/>
      <c r="AR200" s="739" t="str">
        <f>IF('加算項目（D病棟）'!I97="有","〇","")</f>
        <v/>
      </c>
      <c r="AS200" s="739"/>
      <c r="AT200" s="739"/>
    </row>
    <row r="201" spans="1:47" ht="18.75">
      <c r="B201" s="740" t="s">
        <v>1088</v>
      </c>
      <c r="C201" s="740"/>
      <c r="D201" s="740"/>
      <c r="E201" s="740"/>
      <c r="F201" s="740"/>
      <c r="G201" s="740"/>
      <c r="H201" s="740"/>
      <c r="I201" s="740"/>
      <c r="J201" s="740"/>
      <c r="K201" s="740"/>
      <c r="L201" s="740"/>
      <c r="M201" s="740"/>
      <c r="N201" s="739" t="str">
        <f>IF('加算項目（D病棟）'!I98="有","〇","")</f>
        <v/>
      </c>
      <c r="O201" s="739"/>
      <c r="P201" s="739"/>
      <c r="Q201" s="741" t="s">
        <v>189</v>
      </c>
      <c r="R201" s="740"/>
      <c r="S201" s="740"/>
      <c r="T201" s="740"/>
      <c r="U201" s="740"/>
      <c r="V201" s="740"/>
      <c r="W201" s="740"/>
      <c r="X201" s="740"/>
      <c r="Y201" s="740"/>
      <c r="Z201" s="740"/>
      <c r="AA201" s="740"/>
      <c r="AB201" s="740"/>
      <c r="AC201" s="739" t="str">
        <f>IF('加算項目（D病棟）'!I99="有","〇","")</f>
        <v/>
      </c>
      <c r="AD201" s="739"/>
      <c r="AE201" s="739"/>
      <c r="AF201" s="740" t="s">
        <v>190</v>
      </c>
      <c r="AG201" s="740"/>
      <c r="AH201" s="740"/>
      <c r="AI201" s="740"/>
      <c r="AJ201" s="740"/>
      <c r="AK201" s="740"/>
      <c r="AL201" s="740"/>
      <c r="AM201" s="740"/>
      <c r="AN201" s="740"/>
      <c r="AO201" s="740"/>
      <c r="AP201" s="740"/>
      <c r="AQ201" s="740"/>
      <c r="AR201" s="739" t="str">
        <f>IF('加算項目（D病棟）'!I100="有","〇","")</f>
        <v/>
      </c>
      <c r="AS201" s="739"/>
      <c r="AT201" s="739"/>
    </row>
    <row r="202" spans="1:47" ht="18.75">
      <c r="A202" s="830" t="str">
        <f>HYPERLINK("#'入力シート'!A4","入力シートに戻る")</f>
        <v>入力シートに戻る</v>
      </c>
      <c r="B202" s="831"/>
      <c r="C202" s="831"/>
      <c r="D202" s="831"/>
      <c r="E202" s="831"/>
      <c r="F202" s="831"/>
      <c r="G202" s="831"/>
      <c r="H202" s="831"/>
      <c r="I202" s="831"/>
      <c r="J202" s="831"/>
      <c r="K202" s="831"/>
      <c r="L202" s="831"/>
      <c r="M202" s="831"/>
      <c r="N202" s="831"/>
      <c r="O202" s="831"/>
      <c r="P202" s="831"/>
      <c r="Q202" s="831"/>
      <c r="R202" s="831"/>
      <c r="S202" s="831"/>
      <c r="T202" s="831"/>
      <c r="U202" s="831"/>
      <c r="V202" s="831"/>
      <c r="W202" s="831"/>
      <c r="X202" s="831"/>
      <c r="Y202" s="831"/>
      <c r="Z202" s="831"/>
      <c r="AA202" s="831"/>
      <c r="AB202" s="831"/>
      <c r="AC202" s="831"/>
      <c r="AD202" s="831"/>
      <c r="AE202" s="831"/>
      <c r="AF202" s="831"/>
      <c r="AG202" s="831"/>
      <c r="AH202" s="831"/>
      <c r="AI202" s="831"/>
      <c r="AJ202" s="831"/>
      <c r="AK202" s="831"/>
      <c r="AL202" s="831"/>
      <c r="AM202" s="831"/>
      <c r="AN202" s="831"/>
      <c r="AO202" s="831"/>
      <c r="AP202" s="831"/>
      <c r="AQ202" s="831"/>
      <c r="AR202" s="831"/>
      <c r="AS202" s="831"/>
      <c r="AT202" s="831"/>
      <c r="AU202" s="831"/>
    </row>
    <row r="203" spans="1:47" ht="18.75">
      <c r="A203" s="831"/>
      <c r="B203" s="831"/>
      <c r="C203" s="831"/>
      <c r="D203" s="831"/>
      <c r="E203" s="831"/>
      <c r="F203" s="831"/>
      <c r="G203" s="831"/>
      <c r="H203" s="831"/>
      <c r="I203" s="831"/>
      <c r="J203" s="831"/>
      <c r="K203" s="831"/>
      <c r="L203" s="831"/>
      <c r="M203" s="831"/>
      <c r="N203" s="831"/>
      <c r="O203" s="831"/>
      <c r="P203" s="831"/>
      <c r="Q203" s="831"/>
      <c r="R203" s="831"/>
      <c r="S203" s="831"/>
      <c r="T203" s="831"/>
      <c r="U203" s="831"/>
      <c r="V203" s="831"/>
      <c r="W203" s="831"/>
      <c r="X203" s="831"/>
      <c r="Y203" s="831"/>
      <c r="Z203" s="831"/>
      <c r="AA203" s="831"/>
      <c r="AB203" s="831"/>
      <c r="AC203" s="831"/>
      <c r="AD203" s="831"/>
      <c r="AE203" s="831"/>
      <c r="AF203" s="831"/>
      <c r="AG203" s="831"/>
      <c r="AH203" s="831"/>
      <c r="AI203" s="831"/>
      <c r="AJ203" s="831"/>
      <c r="AK203" s="831"/>
      <c r="AL203" s="831"/>
      <c r="AM203" s="831"/>
      <c r="AN203" s="831"/>
      <c r="AO203" s="831"/>
      <c r="AP203" s="831"/>
      <c r="AQ203" s="831"/>
      <c r="AR203" s="831"/>
      <c r="AS203" s="831"/>
      <c r="AT203" s="831"/>
      <c r="AU203" s="831"/>
    </row>
    <row r="204" spans="1:47" ht="18.75">
      <c r="A204" s="831"/>
      <c r="B204" s="831"/>
      <c r="C204" s="831"/>
      <c r="D204" s="831"/>
      <c r="E204" s="831"/>
      <c r="F204" s="831"/>
      <c r="G204" s="831"/>
      <c r="H204" s="831"/>
      <c r="I204" s="831"/>
      <c r="J204" s="831"/>
      <c r="K204" s="831"/>
      <c r="L204" s="831"/>
      <c r="M204" s="831"/>
      <c r="N204" s="831"/>
      <c r="O204" s="831"/>
      <c r="P204" s="831"/>
      <c r="Q204" s="831"/>
      <c r="R204" s="831"/>
      <c r="S204" s="831"/>
      <c r="T204" s="831"/>
      <c r="U204" s="831"/>
      <c r="V204" s="831"/>
      <c r="W204" s="831"/>
      <c r="X204" s="831"/>
      <c r="Y204" s="831"/>
      <c r="Z204" s="831"/>
      <c r="AA204" s="831"/>
      <c r="AB204" s="831"/>
      <c r="AC204" s="831"/>
      <c r="AD204" s="831"/>
      <c r="AE204" s="831"/>
      <c r="AF204" s="831"/>
      <c r="AG204" s="831"/>
      <c r="AH204" s="831"/>
      <c r="AI204" s="831"/>
      <c r="AJ204" s="831"/>
      <c r="AK204" s="831"/>
      <c r="AL204" s="831"/>
      <c r="AM204" s="831"/>
      <c r="AN204" s="831"/>
      <c r="AO204" s="831"/>
      <c r="AP204" s="831"/>
      <c r="AQ204" s="831"/>
      <c r="AR204" s="831"/>
      <c r="AS204" s="831"/>
      <c r="AT204" s="831"/>
      <c r="AU204" s="831"/>
    </row>
    <row r="205" spans="1:47" ht="19.5">
      <c r="A205" s="140"/>
    </row>
    <row r="206" spans="1:47" ht="18.75"/>
    <row r="209" ht="17.45" customHeight="1"/>
    <row r="210" ht="17.45" customHeight="1"/>
    <row r="211" ht="17.45" customHeight="1"/>
    <row r="212" ht="18.75"/>
    <row r="213" ht="17.45" customHeight="1"/>
    <row r="214" ht="17.45" customHeight="1"/>
  </sheetData>
  <sheetProtection algorithmName="SHA-512" hashValue="YNuW76Mg04/t+tDCU9AYstuiKBp4k6HDP/RBuRAueFiw73pNKrZyHScjWhtg35YroMn0tIijjjL71cMjTKTCdQ==" saltValue="JJIhkMz+Kqc75U+QkByU+A==" spinCount="100000" sheet="1" objects="1" scenarios="1"/>
  <mergeCells count="788">
    <mergeCell ref="B201:M201"/>
    <mergeCell ref="N201:P201"/>
    <mergeCell ref="Q201:AB201"/>
    <mergeCell ref="AC201:AE201"/>
    <mergeCell ref="AF201:AQ201"/>
    <mergeCell ref="AR201:AT201"/>
    <mergeCell ref="B153:AT153"/>
    <mergeCell ref="B163:M163"/>
    <mergeCell ref="N163:P163"/>
    <mergeCell ref="Q163:AB163"/>
    <mergeCell ref="AC163:AE163"/>
    <mergeCell ref="AF163:AQ163"/>
    <mergeCell ref="AR163:AT163"/>
    <mergeCell ref="B189:M189"/>
    <mergeCell ref="N189:P189"/>
    <mergeCell ref="Q189:AB189"/>
    <mergeCell ref="AC189:AE189"/>
    <mergeCell ref="AF189:AQ189"/>
    <mergeCell ref="AR189:AT189"/>
    <mergeCell ref="AC200:AE200"/>
    <mergeCell ref="AF200:AQ200"/>
    <mergeCell ref="B196:M196"/>
    <mergeCell ref="N196:P196"/>
    <mergeCell ref="Q196:AB196"/>
    <mergeCell ref="B115:AT115"/>
    <mergeCell ref="B125:M125"/>
    <mergeCell ref="N125:P125"/>
    <mergeCell ref="Q125:AB125"/>
    <mergeCell ref="AC125:AE125"/>
    <mergeCell ref="AF125:AQ125"/>
    <mergeCell ref="AR125:AT125"/>
    <mergeCell ref="B151:M151"/>
    <mergeCell ref="N151:P151"/>
    <mergeCell ref="Q151:AB151"/>
    <mergeCell ref="AC151:AE151"/>
    <mergeCell ref="AF151:AQ151"/>
    <mergeCell ref="AR151:AT151"/>
    <mergeCell ref="B149:M149"/>
    <mergeCell ref="N149:P149"/>
    <mergeCell ref="Q149:AB149"/>
    <mergeCell ref="AC149:AE149"/>
    <mergeCell ref="AF149:AQ149"/>
    <mergeCell ref="AR149:AT149"/>
    <mergeCell ref="B150:M150"/>
    <mergeCell ref="N150:P150"/>
    <mergeCell ref="Q150:AB150"/>
    <mergeCell ref="AC150:AE150"/>
    <mergeCell ref="AF150:AQ150"/>
    <mergeCell ref="B75:M75"/>
    <mergeCell ref="N75:P75"/>
    <mergeCell ref="Q75:AB75"/>
    <mergeCell ref="AC75:AE75"/>
    <mergeCell ref="AF75:AQ75"/>
    <mergeCell ref="AR75:AT75"/>
    <mergeCell ref="B113:M113"/>
    <mergeCell ref="N113:P113"/>
    <mergeCell ref="Q113:AB113"/>
    <mergeCell ref="AC113:AE113"/>
    <mergeCell ref="AF113:AQ113"/>
    <mergeCell ref="AR113:AT113"/>
    <mergeCell ref="B111:M111"/>
    <mergeCell ref="N111:P111"/>
    <mergeCell ref="Q111:AB111"/>
    <mergeCell ref="AC111:AE111"/>
    <mergeCell ref="AF111:AQ111"/>
    <mergeCell ref="AR111:AT111"/>
    <mergeCell ref="B112:M112"/>
    <mergeCell ref="N112:P112"/>
    <mergeCell ref="Q112:AB112"/>
    <mergeCell ref="AC112:AE112"/>
    <mergeCell ref="AF112:AQ112"/>
    <mergeCell ref="B110:M110"/>
    <mergeCell ref="AM2:AT2"/>
    <mergeCell ref="AF2:AL2"/>
    <mergeCell ref="A202:AU204"/>
    <mergeCell ref="B198:M198"/>
    <mergeCell ref="N198:P198"/>
    <mergeCell ref="Q198:AB198"/>
    <mergeCell ref="AC198:AE198"/>
    <mergeCell ref="AF198:AQ198"/>
    <mergeCell ref="AR198:AT198"/>
    <mergeCell ref="B197:M197"/>
    <mergeCell ref="N197:P197"/>
    <mergeCell ref="Q197:AB197"/>
    <mergeCell ref="AC197:AE197"/>
    <mergeCell ref="AF197:AQ197"/>
    <mergeCell ref="AR197:AT197"/>
    <mergeCell ref="B199:M199"/>
    <mergeCell ref="N199:P199"/>
    <mergeCell ref="Q199:AB199"/>
    <mergeCell ref="AC199:AE199"/>
    <mergeCell ref="AF199:AQ199"/>
    <mergeCell ref="AR199:AT199"/>
    <mergeCell ref="B200:M200"/>
    <mergeCell ref="N200:P200"/>
    <mergeCell ref="Q200:AB200"/>
    <mergeCell ref="AC196:AE196"/>
    <mergeCell ref="AF196:AQ196"/>
    <mergeCell ref="AR196:AT196"/>
    <mergeCell ref="B195:M195"/>
    <mergeCell ref="N195:P195"/>
    <mergeCell ref="Q195:AB195"/>
    <mergeCell ref="AC195:AE195"/>
    <mergeCell ref="AF195:AQ195"/>
    <mergeCell ref="AR195:AT195"/>
    <mergeCell ref="B194:M194"/>
    <mergeCell ref="N194:P194"/>
    <mergeCell ref="Q194:AB194"/>
    <mergeCell ref="AC194:AE194"/>
    <mergeCell ref="AF194:AQ194"/>
    <mergeCell ref="AR194:AT194"/>
    <mergeCell ref="B193:M193"/>
    <mergeCell ref="N193:P193"/>
    <mergeCell ref="Q193:AB193"/>
    <mergeCell ref="AC193:AE193"/>
    <mergeCell ref="AF193:AQ193"/>
    <mergeCell ref="AR193:AT193"/>
    <mergeCell ref="B192:M192"/>
    <mergeCell ref="N192:P192"/>
    <mergeCell ref="Q192:AB192"/>
    <mergeCell ref="AC192:AE192"/>
    <mergeCell ref="AF192:AQ192"/>
    <mergeCell ref="AR192:AT192"/>
    <mergeCell ref="B191:AT191"/>
    <mergeCell ref="B187:M187"/>
    <mergeCell ref="N187:P187"/>
    <mergeCell ref="Q187:AB187"/>
    <mergeCell ref="AC187:AE187"/>
    <mergeCell ref="AF187:AQ187"/>
    <mergeCell ref="AR187:AT187"/>
    <mergeCell ref="B188:M188"/>
    <mergeCell ref="N188:P188"/>
    <mergeCell ref="Q188:AB188"/>
    <mergeCell ref="AC188:AE188"/>
    <mergeCell ref="AF188:AQ188"/>
    <mergeCell ref="AR188:AT188"/>
    <mergeCell ref="B186:M186"/>
    <mergeCell ref="N186:P186"/>
    <mergeCell ref="Q186:AB186"/>
    <mergeCell ref="AC186:AE186"/>
    <mergeCell ref="AF186:AQ186"/>
    <mergeCell ref="AR186:AT186"/>
    <mergeCell ref="B185:M185"/>
    <mergeCell ref="N185:P185"/>
    <mergeCell ref="Q185:AB185"/>
    <mergeCell ref="AC185:AE185"/>
    <mergeCell ref="AF185:AQ185"/>
    <mergeCell ref="AR185:AT185"/>
    <mergeCell ref="B184:M184"/>
    <mergeCell ref="N184:P184"/>
    <mergeCell ref="Q184:AB184"/>
    <mergeCell ref="AC184:AE184"/>
    <mergeCell ref="AF184:AQ184"/>
    <mergeCell ref="AR184:AT184"/>
    <mergeCell ref="B183:M183"/>
    <mergeCell ref="N183:P183"/>
    <mergeCell ref="Q183:AB183"/>
    <mergeCell ref="AC183:AE183"/>
    <mergeCell ref="AF183:AQ183"/>
    <mergeCell ref="AR183:AT183"/>
    <mergeCell ref="B182:M182"/>
    <mergeCell ref="N182:P182"/>
    <mergeCell ref="Q182:AB182"/>
    <mergeCell ref="AC182:AE182"/>
    <mergeCell ref="AF182:AQ182"/>
    <mergeCell ref="AR182:AT182"/>
    <mergeCell ref="B181:M181"/>
    <mergeCell ref="N181:P181"/>
    <mergeCell ref="Q181:AB181"/>
    <mergeCell ref="AC181:AE181"/>
    <mergeCell ref="AF181:AQ181"/>
    <mergeCell ref="AR181:AT181"/>
    <mergeCell ref="B180:M180"/>
    <mergeCell ref="N180:P180"/>
    <mergeCell ref="Q180:AB180"/>
    <mergeCell ref="AC180:AE180"/>
    <mergeCell ref="AF180:AQ180"/>
    <mergeCell ref="AR180:AT180"/>
    <mergeCell ref="B179:M179"/>
    <mergeCell ref="N179:P179"/>
    <mergeCell ref="Q179:AB179"/>
    <mergeCell ref="AC179:AE179"/>
    <mergeCell ref="AF179:AQ179"/>
    <mergeCell ref="AR179:AT179"/>
    <mergeCell ref="B178:M178"/>
    <mergeCell ref="N178:P178"/>
    <mergeCell ref="Q178:AB178"/>
    <mergeCell ref="AC178:AE178"/>
    <mergeCell ref="AF178:AQ178"/>
    <mergeCell ref="AR178:AT178"/>
    <mergeCell ref="B177:M177"/>
    <mergeCell ref="N177:P177"/>
    <mergeCell ref="Q177:AB177"/>
    <mergeCell ref="AC177:AE177"/>
    <mergeCell ref="AF177:AQ177"/>
    <mergeCell ref="AR177:AT177"/>
    <mergeCell ref="B176:M176"/>
    <mergeCell ref="N176:P176"/>
    <mergeCell ref="Q176:AB176"/>
    <mergeCell ref="AC176:AE176"/>
    <mergeCell ref="AF176:AQ176"/>
    <mergeCell ref="AR176:AT176"/>
    <mergeCell ref="B175:M175"/>
    <mergeCell ref="N175:P175"/>
    <mergeCell ref="Q175:AB175"/>
    <mergeCell ref="AC175:AE175"/>
    <mergeCell ref="AF175:AQ175"/>
    <mergeCell ref="AR175:AT175"/>
    <mergeCell ref="B174:M174"/>
    <mergeCell ref="N174:P174"/>
    <mergeCell ref="Q174:AB174"/>
    <mergeCell ref="AC174:AE174"/>
    <mergeCell ref="AF174:AQ174"/>
    <mergeCell ref="AR174:AT174"/>
    <mergeCell ref="AR172:AT172"/>
    <mergeCell ref="B173:M173"/>
    <mergeCell ref="N173:P173"/>
    <mergeCell ref="Q173:AB173"/>
    <mergeCell ref="AC173:AE173"/>
    <mergeCell ref="AF173:AQ173"/>
    <mergeCell ref="AR173:AT173"/>
    <mergeCell ref="AT168:AU168"/>
    <mergeCell ref="B169:K169"/>
    <mergeCell ref="L169:S169"/>
    <mergeCell ref="T169:U169"/>
    <mergeCell ref="B171:AT171"/>
    <mergeCell ref="B172:M172"/>
    <mergeCell ref="N172:P172"/>
    <mergeCell ref="Q172:AB172"/>
    <mergeCell ref="AC172:AE172"/>
    <mergeCell ref="AF172:AQ172"/>
    <mergeCell ref="B168:K168"/>
    <mergeCell ref="L168:S168"/>
    <mergeCell ref="T168:U168"/>
    <mergeCell ref="W168:AF168"/>
    <mergeCell ref="AG168:AN168"/>
    <mergeCell ref="AO168:AP168"/>
    <mergeCell ref="B167:K167"/>
    <mergeCell ref="L167:S167"/>
    <mergeCell ref="T167:U167"/>
    <mergeCell ref="W167:AF167"/>
    <mergeCell ref="AG167:AN167"/>
    <mergeCell ref="AO167:AP167"/>
    <mergeCell ref="B160:M160"/>
    <mergeCell ref="N160:P160"/>
    <mergeCell ref="Q160:AB160"/>
    <mergeCell ref="AC160:AE160"/>
    <mergeCell ref="AF160:AQ160"/>
    <mergeCell ref="AR160:AT160"/>
    <mergeCell ref="B159:M159"/>
    <mergeCell ref="N159:P159"/>
    <mergeCell ref="Q159:AB159"/>
    <mergeCell ref="AC159:AE159"/>
    <mergeCell ref="AF159:AQ159"/>
    <mergeCell ref="AR159:AT159"/>
    <mergeCell ref="B158:M158"/>
    <mergeCell ref="N158:P158"/>
    <mergeCell ref="Q158:AB158"/>
    <mergeCell ref="AC158:AE158"/>
    <mergeCell ref="AF158:AQ158"/>
    <mergeCell ref="AR158:AT158"/>
    <mergeCell ref="AF154:AQ154"/>
    <mergeCell ref="AR154:AT154"/>
    <mergeCell ref="B157:M157"/>
    <mergeCell ref="N157:P157"/>
    <mergeCell ref="Q157:AB157"/>
    <mergeCell ref="AC157:AE157"/>
    <mergeCell ref="AF157:AQ157"/>
    <mergeCell ref="AR157:AT157"/>
    <mergeCell ref="B156:M156"/>
    <mergeCell ref="N156:P156"/>
    <mergeCell ref="Q156:AB156"/>
    <mergeCell ref="AC156:AE156"/>
    <mergeCell ref="AF156:AQ156"/>
    <mergeCell ref="AR156:AT156"/>
    <mergeCell ref="B148:M148"/>
    <mergeCell ref="N148:P148"/>
    <mergeCell ref="Q148:AB148"/>
    <mergeCell ref="AC148:AE148"/>
    <mergeCell ref="AF148:AQ148"/>
    <mergeCell ref="AR148:AT148"/>
    <mergeCell ref="B147:M147"/>
    <mergeCell ref="N147:P147"/>
    <mergeCell ref="Q147:AB147"/>
    <mergeCell ref="AC147:AE147"/>
    <mergeCell ref="AF147:AQ147"/>
    <mergeCell ref="AR147:AT147"/>
    <mergeCell ref="B146:M146"/>
    <mergeCell ref="N146:P146"/>
    <mergeCell ref="Q146:AB146"/>
    <mergeCell ref="AC146:AE146"/>
    <mergeCell ref="AF146:AQ146"/>
    <mergeCell ref="AR146:AT146"/>
    <mergeCell ref="B145:M145"/>
    <mergeCell ref="N145:P145"/>
    <mergeCell ref="Q145:AB145"/>
    <mergeCell ref="AC145:AE145"/>
    <mergeCell ref="AF145:AQ145"/>
    <mergeCell ref="AR145:AT145"/>
    <mergeCell ref="B144:M144"/>
    <mergeCell ref="N144:P144"/>
    <mergeCell ref="Q144:AB144"/>
    <mergeCell ref="AC144:AE144"/>
    <mergeCell ref="AF144:AQ144"/>
    <mergeCell ref="AR144:AT144"/>
    <mergeCell ref="B143:M143"/>
    <mergeCell ref="N143:P143"/>
    <mergeCell ref="Q143:AB143"/>
    <mergeCell ref="AC143:AE143"/>
    <mergeCell ref="AF143:AQ143"/>
    <mergeCell ref="AR143:AT143"/>
    <mergeCell ref="B142:M142"/>
    <mergeCell ref="N142:P142"/>
    <mergeCell ref="Q142:AB142"/>
    <mergeCell ref="AC142:AE142"/>
    <mergeCell ref="AF142:AQ142"/>
    <mergeCell ref="AR142:AT142"/>
    <mergeCell ref="B141:M141"/>
    <mergeCell ref="N141:P141"/>
    <mergeCell ref="Q141:AB141"/>
    <mergeCell ref="AC141:AE141"/>
    <mergeCell ref="AF141:AQ141"/>
    <mergeCell ref="AR141:AT141"/>
    <mergeCell ref="B140:M140"/>
    <mergeCell ref="N140:P140"/>
    <mergeCell ref="Q140:AB140"/>
    <mergeCell ref="AC140:AE140"/>
    <mergeCell ref="AF140:AQ140"/>
    <mergeCell ref="AR140:AT140"/>
    <mergeCell ref="B139:M139"/>
    <mergeCell ref="N139:P139"/>
    <mergeCell ref="Q139:AB139"/>
    <mergeCell ref="AC139:AE139"/>
    <mergeCell ref="AF139:AQ139"/>
    <mergeCell ref="AR139:AT139"/>
    <mergeCell ref="B138:M138"/>
    <mergeCell ref="N138:P138"/>
    <mergeCell ref="Q138:AB138"/>
    <mergeCell ref="AC138:AE138"/>
    <mergeCell ref="AF138:AQ138"/>
    <mergeCell ref="AR138:AT138"/>
    <mergeCell ref="B137:M137"/>
    <mergeCell ref="N137:P137"/>
    <mergeCell ref="Q137:AB137"/>
    <mergeCell ref="AC137:AE137"/>
    <mergeCell ref="AF137:AQ137"/>
    <mergeCell ref="AR137:AT137"/>
    <mergeCell ref="B136:M136"/>
    <mergeCell ref="N136:P136"/>
    <mergeCell ref="Q136:AB136"/>
    <mergeCell ref="AC136:AE136"/>
    <mergeCell ref="AF136:AQ136"/>
    <mergeCell ref="AR136:AT136"/>
    <mergeCell ref="AR134:AT134"/>
    <mergeCell ref="B135:M135"/>
    <mergeCell ref="N135:P135"/>
    <mergeCell ref="Q135:AB135"/>
    <mergeCell ref="AC135:AE135"/>
    <mergeCell ref="AF135:AQ135"/>
    <mergeCell ref="AR135:AT135"/>
    <mergeCell ref="AT130:AU130"/>
    <mergeCell ref="B131:K131"/>
    <mergeCell ref="L131:S131"/>
    <mergeCell ref="T131:U131"/>
    <mergeCell ref="B133:AT133"/>
    <mergeCell ref="B134:M134"/>
    <mergeCell ref="N134:P134"/>
    <mergeCell ref="Q134:AB134"/>
    <mergeCell ref="AC134:AE134"/>
    <mergeCell ref="AF134:AQ134"/>
    <mergeCell ref="B130:K130"/>
    <mergeCell ref="L130:S130"/>
    <mergeCell ref="T130:U130"/>
    <mergeCell ref="W130:AF130"/>
    <mergeCell ref="AG130:AN130"/>
    <mergeCell ref="AO130:AP130"/>
    <mergeCell ref="B129:K129"/>
    <mergeCell ref="L129:S129"/>
    <mergeCell ref="T129:U129"/>
    <mergeCell ref="W129:AF129"/>
    <mergeCell ref="AG129:AN129"/>
    <mergeCell ref="AO129:AP129"/>
    <mergeCell ref="B122:M122"/>
    <mergeCell ref="N122:P122"/>
    <mergeCell ref="Q122:AB122"/>
    <mergeCell ref="AC122:AE122"/>
    <mergeCell ref="AF122:AQ122"/>
    <mergeCell ref="AR122:AT122"/>
    <mergeCell ref="B121:M121"/>
    <mergeCell ref="N121:P121"/>
    <mergeCell ref="Q121:AB121"/>
    <mergeCell ref="AC121:AE121"/>
    <mergeCell ref="AF121:AQ121"/>
    <mergeCell ref="AR121:AT121"/>
    <mergeCell ref="B120:M120"/>
    <mergeCell ref="N120:P120"/>
    <mergeCell ref="Q120:AB120"/>
    <mergeCell ref="AC120:AE120"/>
    <mergeCell ref="AF120:AQ120"/>
    <mergeCell ref="AR120:AT120"/>
    <mergeCell ref="AR116:AT116"/>
    <mergeCell ref="B119:M119"/>
    <mergeCell ref="N119:P119"/>
    <mergeCell ref="Q119:AB119"/>
    <mergeCell ref="AC119:AE119"/>
    <mergeCell ref="AF119:AQ119"/>
    <mergeCell ref="AR119:AT119"/>
    <mergeCell ref="B118:M118"/>
    <mergeCell ref="N118:P118"/>
    <mergeCell ref="Q118:AB118"/>
    <mergeCell ref="AC118:AE118"/>
    <mergeCell ref="AF118:AQ118"/>
    <mergeCell ref="AR118:AT118"/>
    <mergeCell ref="N110:P110"/>
    <mergeCell ref="Q110:AB110"/>
    <mergeCell ref="AC110:AE110"/>
    <mergeCell ref="AF110:AQ110"/>
    <mergeCell ref="AR110:AT110"/>
    <mergeCell ref="B109:M109"/>
    <mergeCell ref="N109:P109"/>
    <mergeCell ref="Q109:AB109"/>
    <mergeCell ref="AC109:AE109"/>
    <mergeCell ref="AF109:AQ109"/>
    <mergeCell ref="AR109:AT109"/>
    <mergeCell ref="B108:M108"/>
    <mergeCell ref="N108:P108"/>
    <mergeCell ref="Q108:AB108"/>
    <mergeCell ref="AC108:AE108"/>
    <mergeCell ref="AF108:AQ108"/>
    <mergeCell ref="AR108:AT108"/>
    <mergeCell ref="B107:M107"/>
    <mergeCell ref="N107:P107"/>
    <mergeCell ref="Q107:AB107"/>
    <mergeCell ref="AC107:AE107"/>
    <mergeCell ref="AF107:AQ107"/>
    <mergeCell ref="AR107:AT107"/>
    <mergeCell ref="B106:M106"/>
    <mergeCell ref="N106:P106"/>
    <mergeCell ref="Q106:AB106"/>
    <mergeCell ref="AC106:AE106"/>
    <mergeCell ref="AF106:AQ106"/>
    <mergeCell ref="AR106:AT106"/>
    <mergeCell ref="B105:M105"/>
    <mergeCell ref="N105:P105"/>
    <mergeCell ref="Q105:AB105"/>
    <mergeCell ref="AC105:AE105"/>
    <mergeCell ref="AF105:AQ105"/>
    <mergeCell ref="AR105:AT105"/>
    <mergeCell ref="B104:M104"/>
    <mergeCell ref="N104:P104"/>
    <mergeCell ref="Q104:AB104"/>
    <mergeCell ref="AC104:AE104"/>
    <mergeCell ref="AF104:AQ104"/>
    <mergeCell ref="AR104:AT104"/>
    <mergeCell ref="B103:M103"/>
    <mergeCell ref="N103:P103"/>
    <mergeCell ref="Q103:AB103"/>
    <mergeCell ref="AC103:AE103"/>
    <mergeCell ref="AF103:AQ103"/>
    <mergeCell ref="AR103:AT103"/>
    <mergeCell ref="B102:M102"/>
    <mergeCell ref="N102:P102"/>
    <mergeCell ref="Q102:AB102"/>
    <mergeCell ref="AC102:AE102"/>
    <mergeCell ref="AF102:AQ102"/>
    <mergeCell ref="AR102:AT102"/>
    <mergeCell ref="B101:M101"/>
    <mergeCell ref="N101:P101"/>
    <mergeCell ref="Q101:AB101"/>
    <mergeCell ref="AC101:AE101"/>
    <mergeCell ref="AF101:AQ101"/>
    <mergeCell ref="AR101:AT101"/>
    <mergeCell ref="B100:M100"/>
    <mergeCell ref="N100:P100"/>
    <mergeCell ref="Q100:AB100"/>
    <mergeCell ref="AC100:AE100"/>
    <mergeCell ref="AF100:AQ100"/>
    <mergeCell ref="AR100:AT100"/>
    <mergeCell ref="B99:M99"/>
    <mergeCell ref="N99:P99"/>
    <mergeCell ref="Q99:AB99"/>
    <mergeCell ref="AC99:AE99"/>
    <mergeCell ref="AF99:AQ99"/>
    <mergeCell ref="AR99:AT99"/>
    <mergeCell ref="B98:M98"/>
    <mergeCell ref="N98:P98"/>
    <mergeCell ref="Q98:AB98"/>
    <mergeCell ref="AC98:AE98"/>
    <mergeCell ref="AF98:AQ98"/>
    <mergeCell ref="AR98:AT98"/>
    <mergeCell ref="B97:M97"/>
    <mergeCell ref="N97:P97"/>
    <mergeCell ref="Q97:AB97"/>
    <mergeCell ref="AC97:AE97"/>
    <mergeCell ref="AF97:AQ97"/>
    <mergeCell ref="AR97:AT97"/>
    <mergeCell ref="AT92:AU92"/>
    <mergeCell ref="B93:K93"/>
    <mergeCell ref="L93:S93"/>
    <mergeCell ref="B95:AT95"/>
    <mergeCell ref="B96:M96"/>
    <mergeCell ref="N96:P96"/>
    <mergeCell ref="Q96:AB96"/>
    <mergeCell ref="AC96:AE96"/>
    <mergeCell ref="AF96:AQ96"/>
    <mergeCell ref="AR96:AT96"/>
    <mergeCell ref="B92:K92"/>
    <mergeCell ref="L92:S92"/>
    <mergeCell ref="T92:U92"/>
    <mergeCell ref="W92:AF92"/>
    <mergeCell ref="AG92:AN92"/>
    <mergeCell ref="AO92:AP92"/>
    <mergeCell ref="B91:K91"/>
    <mergeCell ref="L91:S91"/>
    <mergeCell ref="T91:U91"/>
    <mergeCell ref="W91:AF91"/>
    <mergeCell ref="AG91:AN91"/>
    <mergeCell ref="AO91:AP91"/>
    <mergeCell ref="B87:M87"/>
    <mergeCell ref="N87:P87"/>
    <mergeCell ref="Q87:AB87"/>
    <mergeCell ref="AC87:AE87"/>
    <mergeCell ref="AF87:AQ87"/>
    <mergeCell ref="AR87:AT87"/>
    <mergeCell ref="B86:M86"/>
    <mergeCell ref="N86:P86"/>
    <mergeCell ref="Q86:AB86"/>
    <mergeCell ref="AC86:AE86"/>
    <mergeCell ref="AF86:AQ86"/>
    <mergeCell ref="AR86:AT86"/>
    <mergeCell ref="B85:M85"/>
    <mergeCell ref="N85:P85"/>
    <mergeCell ref="Q85:AB85"/>
    <mergeCell ref="AC85:AE85"/>
    <mergeCell ref="AF85:AQ85"/>
    <mergeCell ref="AR85:AT85"/>
    <mergeCell ref="B84:M84"/>
    <mergeCell ref="N84:P84"/>
    <mergeCell ref="Q84:AB84"/>
    <mergeCell ref="AC84:AE84"/>
    <mergeCell ref="AF84:AQ84"/>
    <mergeCell ref="AR84:AT84"/>
    <mergeCell ref="B83:M83"/>
    <mergeCell ref="N83:P83"/>
    <mergeCell ref="Q83:AB83"/>
    <mergeCell ref="AC83:AE83"/>
    <mergeCell ref="AF83:AQ83"/>
    <mergeCell ref="AR83:AT83"/>
    <mergeCell ref="B82:M82"/>
    <mergeCell ref="N82:P82"/>
    <mergeCell ref="Q82:AB82"/>
    <mergeCell ref="AC82:AE82"/>
    <mergeCell ref="AF82:AQ82"/>
    <mergeCell ref="AR82:AT82"/>
    <mergeCell ref="B81:M81"/>
    <mergeCell ref="N81:P81"/>
    <mergeCell ref="Q81:AB81"/>
    <mergeCell ref="AC81:AE81"/>
    <mergeCell ref="AF81:AQ81"/>
    <mergeCell ref="AR81:AT81"/>
    <mergeCell ref="AR78:AT78"/>
    <mergeCell ref="B80:M80"/>
    <mergeCell ref="N80:P80"/>
    <mergeCell ref="Q80:AB80"/>
    <mergeCell ref="AC80:AE80"/>
    <mergeCell ref="AF80:AQ80"/>
    <mergeCell ref="AR80:AT80"/>
    <mergeCell ref="B77:AT77"/>
    <mergeCell ref="B78:M78"/>
    <mergeCell ref="N78:P78"/>
    <mergeCell ref="Q78:AB78"/>
    <mergeCell ref="AC78:AE78"/>
    <mergeCell ref="AF78:AQ78"/>
    <mergeCell ref="B79:M79"/>
    <mergeCell ref="N79:P79"/>
    <mergeCell ref="Q79:AB79"/>
    <mergeCell ref="AC79:AE79"/>
    <mergeCell ref="AF79:AQ79"/>
    <mergeCell ref="AR79:AT79"/>
    <mergeCell ref="B74:M74"/>
    <mergeCell ref="N74:P74"/>
    <mergeCell ref="Q74:AB74"/>
    <mergeCell ref="AC74:AE74"/>
    <mergeCell ref="AF74:AQ74"/>
    <mergeCell ref="AR74:AT74"/>
    <mergeCell ref="B73:M73"/>
    <mergeCell ref="N73:P73"/>
    <mergeCell ref="Q73:AB73"/>
    <mergeCell ref="AC73:AE73"/>
    <mergeCell ref="AF73:AQ73"/>
    <mergeCell ref="AR73:AT73"/>
    <mergeCell ref="B72:M72"/>
    <mergeCell ref="N72:P72"/>
    <mergeCell ref="Q72:AB72"/>
    <mergeCell ref="AC72:AE72"/>
    <mergeCell ref="AF72:AQ72"/>
    <mergeCell ref="AR72:AT72"/>
    <mergeCell ref="B71:M71"/>
    <mergeCell ref="N71:P71"/>
    <mergeCell ref="Q71:AB71"/>
    <mergeCell ref="AC71:AE71"/>
    <mergeCell ref="AF71:AQ71"/>
    <mergeCell ref="AR71:AT71"/>
    <mergeCell ref="B68:M68"/>
    <mergeCell ref="N68:P68"/>
    <mergeCell ref="Q68:AB68"/>
    <mergeCell ref="AC68:AE68"/>
    <mergeCell ref="AF68:AQ68"/>
    <mergeCell ref="AR68:AT68"/>
    <mergeCell ref="B67:M67"/>
    <mergeCell ref="N67:P67"/>
    <mergeCell ref="Q67:AB67"/>
    <mergeCell ref="AC67:AE67"/>
    <mergeCell ref="AF67:AQ67"/>
    <mergeCell ref="AR67:AT67"/>
    <mergeCell ref="B66:M66"/>
    <mergeCell ref="N66:P66"/>
    <mergeCell ref="Q66:AB66"/>
    <mergeCell ref="AC66:AE66"/>
    <mergeCell ref="AF66:AQ66"/>
    <mergeCell ref="AR66:AT66"/>
    <mergeCell ref="B65:M65"/>
    <mergeCell ref="N65:P65"/>
    <mergeCell ref="Q65:AB65"/>
    <mergeCell ref="AC65:AE65"/>
    <mergeCell ref="AF65:AQ65"/>
    <mergeCell ref="AR65:AT65"/>
    <mergeCell ref="B64:M64"/>
    <mergeCell ref="N64:P64"/>
    <mergeCell ref="Q64:AB64"/>
    <mergeCell ref="AC64:AE64"/>
    <mergeCell ref="AF64:AQ64"/>
    <mergeCell ref="AR64:AT64"/>
    <mergeCell ref="B63:M63"/>
    <mergeCell ref="N63:P63"/>
    <mergeCell ref="Q63:AB63"/>
    <mergeCell ref="AC63:AE63"/>
    <mergeCell ref="AF63:AQ63"/>
    <mergeCell ref="AR63:AT63"/>
    <mergeCell ref="B62:M62"/>
    <mergeCell ref="N62:P62"/>
    <mergeCell ref="Q62:AB62"/>
    <mergeCell ref="AC62:AE62"/>
    <mergeCell ref="AF62:AQ62"/>
    <mergeCell ref="AR62:AT62"/>
    <mergeCell ref="B61:M61"/>
    <mergeCell ref="N61:P61"/>
    <mergeCell ref="Q61:AB61"/>
    <mergeCell ref="AC61:AE61"/>
    <mergeCell ref="AF61:AQ61"/>
    <mergeCell ref="AR61:AT61"/>
    <mergeCell ref="B60:M60"/>
    <mergeCell ref="N60:P60"/>
    <mergeCell ref="Q60:AB60"/>
    <mergeCell ref="AC60:AE60"/>
    <mergeCell ref="AF60:AQ60"/>
    <mergeCell ref="AR60:AT60"/>
    <mergeCell ref="B59:M59"/>
    <mergeCell ref="N59:P59"/>
    <mergeCell ref="Q59:AB59"/>
    <mergeCell ref="AC59:AE59"/>
    <mergeCell ref="AF59:AQ59"/>
    <mergeCell ref="AR59:AT59"/>
    <mergeCell ref="B55:K55"/>
    <mergeCell ref="L55:S55"/>
    <mergeCell ref="T55:U55"/>
    <mergeCell ref="B57:AT57"/>
    <mergeCell ref="B58:M58"/>
    <mergeCell ref="N58:P58"/>
    <mergeCell ref="Q58:AB58"/>
    <mergeCell ref="AC58:AE58"/>
    <mergeCell ref="AF58:AQ58"/>
    <mergeCell ref="AR58:AT58"/>
    <mergeCell ref="AV53:AX53"/>
    <mergeCell ref="B54:K54"/>
    <mergeCell ref="L54:S54"/>
    <mergeCell ref="T54:U54"/>
    <mergeCell ref="W54:AF54"/>
    <mergeCell ref="AG54:AN54"/>
    <mergeCell ref="AO54:AP54"/>
    <mergeCell ref="AT54:AU54"/>
    <mergeCell ref="AV54:AX54"/>
    <mergeCell ref="B35:P36"/>
    <mergeCell ref="Q35:AE36"/>
    <mergeCell ref="AF35:AT36"/>
    <mergeCell ref="B53:K53"/>
    <mergeCell ref="L53:S53"/>
    <mergeCell ref="T53:U53"/>
    <mergeCell ref="W53:AF53"/>
    <mergeCell ref="AG53:AN53"/>
    <mergeCell ref="AO53:AP53"/>
    <mergeCell ref="B29:P30"/>
    <mergeCell ref="Q29:AE30"/>
    <mergeCell ref="AF29:AT30"/>
    <mergeCell ref="AN33:AP33"/>
    <mergeCell ref="AQ33:AS33"/>
    <mergeCell ref="Q34:AE34"/>
    <mergeCell ref="AF34:AT34"/>
    <mergeCell ref="B25:P26"/>
    <mergeCell ref="Q25:AE26"/>
    <mergeCell ref="AF25:AT26"/>
    <mergeCell ref="B27:P28"/>
    <mergeCell ref="Q27:AE28"/>
    <mergeCell ref="AF27:AT28"/>
    <mergeCell ref="B18:P19"/>
    <mergeCell ref="Q18:AE19"/>
    <mergeCell ref="AF18:AT19"/>
    <mergeCell ref="V21:AI21"/>
    <mergeCell ref="AJ21:AO21"/>
    <mergeCell ref="Q24:AE24"/>
    <mergeCell ref="AF24:AT24"/>
    <mergeCell ref="B16:P17"/>
    <mergeCell ref="Q16:AE17"/>
    <mergeCell ref="AF16:AT17"/>
    <mergeCell ref="B12:P13"/>
    <mergeCell ref="Q12:AE13"/>
    <mergeCell ref="AF12:AT13"/>
    <mergeCell ref="B14:P15"/>
    <mergeCell ref="Q14:AE15"/>
    <mergeCell ref="AF14:AT15"/>
    <mergeCell ref="B6:G6"/>
    <mergeCell ref="H6:N6"/>
    <mergeCell ref="Q9:AE9"/>
    <mergeCell ref="AF9:AT9"/>
    <mergeCell ref="B10:P11"/>
    <mergeCell ref="Q10:AE11"/>
    <mergeCell ref="AF10:AT11"/>
    <mergeCell ref="R6:AC6"/>
    <mergeCell ref="B69:M69"/>
    <mergeCell ref="N69:P69"/>
    <mergeCell ref="Q69:AB69"/>
    <mergeCell ref="AC69:AE69"/>
    <mergeCell ref="AF69:AQ69"/>
    <mergeCell ref="AR69:AT69"/>
    <mergeCell ref="B70:M70"/>
    <mergeCell ref="N70:P70"/>
    <mergeCell ref="Q70:AB70"/>
    <mergeCell ref="AC70:AE70"/>
    <mergeCell ref="AF70:AQ70"/>
    <mergeCell ref="AR70:AT70"/>
    <mergeCell ref="AR112:AT112"/>
    <mergeCell ref="B123:M123"/>
    <mergeCell ref="N123:P123"/>
    <mergeCell ref="Q123:AB123"/>
    <mergeCell ref="AC123:AE123"/>
    <mergeCell ref="AF123:AQ123"/>
    <mergeCell ref="AR123:AT123"/>
    <mergeCell ref="B124:M124"/>
    <mergeCell ref="N124:P124"/>
    <mergeCell ref="Q124:AB124"/>
    <mergeCell ref="AC124:AE124"/>
    <mergeCell ref="AF124:AQ124"/>
    <mergeCell ref="AR124:AT124"/>
    <mergeCell ref="B117:M117"/>
    <mergeCell ref="N117:P117"/>
    <mergeCell ref="Q117:AB117"/>
    <mergeCell ref="AC117:AE117"/>
    <mergeCell ref="AF117:AQ117"/>
    <mergeCell ref="AR117:AT117"/>
    <mergeCell ref="B116:M116"/>
    <mergeCell ref="N116:P116"/>
    <mergeCell ref="Q116:AB116"/>
    <mergeCell ref="AC116:AE116"/>
    <mergeCell ref="AF116:AQ116"/>
    <mergeCell ref="AR200:AT200"/>
    <mergeCell ref="AR150:AT150"/>
    <mergeCell ref="B161:M161"/>
    <mergeCell ref="N161:P161"/>
    <mergeCell ref="Q161:AB161"/>
    <mergeCell ref="AC161:AE161"/>
    <mergeCell ref="AF161:AQ161"/>
    <mergeCell ref="AR161:AT161"/>
    <mergeCell ref="B162:M162"/>
    <mergeCell ref="N162:P162"/>
    <mergeCell ref="Q162:AB162"/>
    <mergeCell ref="AC162:AE162"/>
    <mergeCell ref="AF162:AQ162"/>
    <mergeCell ref="AR162:AT162"/>
    <mergeCell ref="B155:M155"/>
    <mergeCell ref="N155:P155"/>
    <mergeCell ref="Q155:AB155"/>
    <mergeCell ref="AC155:AE155"/>
    <mergeCell ref="AF155:AQ155"/>
    <mergeCell ref="AR155:AT155"/>
    <mergeCell ref="B154:M154"/>
    <mergeCell ref="N154:P154"/>
    <mergeCell ref="Q154:AB154"/>
    <mergeCell ref="AC154:AE154"/>
  </mergeCells>
  <phoneticPr fontId="2"/>
  <conditionalFormatting sqref="A89:AU126">
    <cfRule type="expression" dxfId="40" priority="6">
      <formula>$L$91="入力無し"</formula>
    </cfRule>
  </conditionalFormatting>
  <conditionalFormatting sqref="A127:AU164">
    <cfRule type="expression" dxfId="39" priority="3">
      <formula>$L$167="入力無し"</formula>
    </cfRule>
  </conditionalFormatting>
  <conditionalFormatting sqref="A165:AU201">
    <cfRule type="expression" dxfId="38" priority="2">
      <formula>$L$167="入力無し"</formula>
    </cfRule>
  </conditionalFormatting>
  <pageMargins left="0.7" right="0.7" top="0.75" bottom="0.75" header="0.3" footer="0.3"/>
  <pageSetup paperSize="9" scale="80" orientation="portrait" r:id="rId1"/>
  <rowBreaks count="4" manualBreakCount="4">
    <brk id="46" max="16383" man="1"/>
    <brk id="88" max="16383" man="1"/>
    <brk id="126" max="46" man="1"/>
    <brk id="164" max="46"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6" tint="0.79998168889431442"/>
  </sheetPr>
  <dimension ref="A1:T112"/>
  <sheetViews>
    <sheetView view="pageBreakPreview" zoomScale="85" zoomScaleNormal="85" zoomScaleSheetLayoutView="85" workbookViewId="0">
      <selection activeCell="D1" sqref="D1"/>
    </sheetView>
  </sheetViews>
  <sheetFormatPr defaultColWidth="0" defaultRowHeight="18.75" zeroHeight="1"/>
  <cols>
    <col min="1" max="1" width="2.125" style="42" customWidth="1"/>
    <col min="2" max="2" width="31.5" style="42" customWidth="1"/>
    <col min="3" max="3" width="8.875" style="42" customWidth="1"/>
    <col min="4" max="4" width="14" style="42" customWidth="1"/>
    <col min="5" max="5" width="13.5" style="42" customWidth="1"/>
    <col min="6" max="7" width="8.875" style="42" customWidth="1"/>
    <col min="8" max="8" width="11.875" style="42" customWidth="1"/>
    <col min="9" max="9" width="8.875" style="129" customWidth="1"/>
    <col min="10" max="10" width="12.5" style="138" customWidth="1"/>
    <col min="11" max="11" width="3.125" style="138" customWidth="1"/>
    <col min="12" max="12" width="17.125" style="138" customWidth="1"/>
    <col min="13" max="13" width="1" style="42" customWidth="1"/>
    <col min="14" max="14" width="0.125" style="42" customWidth="1"/>
    <col min="15" max="15" width="6.125" style="42" hidden="1" customWidth="1"/>
    <col min="16" max="16" width="15" style="42" hidden="1" customWidth="1"/>
    <col min="17" max="17" width="10.875" style="129" customWidth="1"/>
    <col min="18" max="20" width="10.875" style="42" hidden="1" customWidth="1"/>
    <col min="21" max="16384" width="8.875" style="42" hidden="1"/>
  </cols>
  <sheetData>
    <row r="1" spans="1:20" ht="22.5">
      <c r="B1" s="857" t="str">
        <f>HYPERLINK("#'入力シート'!A３１","入力シートに戻る")</f>
        <v>入力シートに戻る</v>
      </c>
      <c r="D1" s="45"/>
      <c r="N1" s="46"/>
      <c r="O1" s="46"/>
      <c r="P1" s="46"/>
      <c r="Q1" s="522" t="s">
        <v>991</v>
      </c>
    </row>
    <row r="2" spans="1:20">
      <c r="B2" s="858"/>
      <c r="N2" s="46"/>
      <c r="O2" s="46"/>
      <c r="P2" s="46"/>
      <c r="Q2" s="523" t="s">
        <v>961</v>
      </c>
    </row>
    <row r="3" spans="1:20" s="49" customFormat="1" ht="20.45" customHeight="1">
      <c r="A3" s="47"/>
      <c r="B3" s="859" t="s">
        <v>830</v>
      </c>
      <c r="C3" s="859"/>
      <c r="D3" s="859"/>
      <c r="E3" s="859"/>
      <c r="F3" s="47"/>
      <c r="G3" s="47"/>
      <c r="H3" s="47"/>
      <c r="I3" s="511" t="str">
        <f>IF(Q3="未選択","","↓加算をコピーする際はI列に「値」貼付けをしてください")</f>
        <v/>
      </c>
      <c r="J3" s="419"/>
      <c r="K3" s="419"/>
      <c r="L3" s="419"/>
      <c r="M3" s="47"/>
      <c r="N3" s="48"/>
      <c r="O3" s="48"/>
      <c r="P3" s="381"/>
      <c r="Q3" s="159" t="s">
        <v>962</v>
      </c>
    </row>
    <row r="4" spans="1:20" s="49" customFormat="1" ht="51.6" customHeight="1">
      <c r="B4" s="110" t="s">
        <v>992</v>
      </c>
      <c r="C4" s="860" t="s">
        <v>993</v>
      </c>
      <c r="D4" s="861"/>
      <c r="E4" s="82" t="s">
        <v>898</v>
      </c>
      <c r="F4" s="387" t="s">
        <v>63</v>
      </c>
      <c r="G4" s="109" t="s">
        <v>160</v>
      </c>
      <c r="H4" s="50"/>
      <c r="I4" s="512" t="s">
        <v>66</v>
      </c>
      <c r="J4" s="862" t="s">
        <v>850</v>
      </c>
      <c r="K4" s="863"/>
      <c r="L4" s="207" t="s">
        <v>994</v>
      </c>
      <c r="M4" s="87"/>
      <c r="N4" s="48"/>
      <c r="O4" s="48"/>
      <c r="P4" s="381"/>
      <c r="Q4" s="512" t="s">
        <v>66</v>
      </c>
      <c r="R4" s="111"/>
      <c r="S4" s="111"/>
      <c r="T4" s="111"/>
    </row>
    <row r="5" spans="1:20" s="49" customFormat="1" ht="19.350000000000001" customHeight="1">
      <c r="B5" s="379" t="s">
        <v>134</v>
      </c>
      <c r="C5" s="842"/>
      <c r="D5" s="842"/>
      <c r="E5" s="75">
        <v>118</v>
      </c>
      <c r="F5" s="51">
        <v>23</v>
      </c>
      <c r="G5" s="864" t="s">
        <v>64</v>
      </c>
      <c r="H5" s="865" t="s">
        <v>827</v>
      </c>
      <c r="I5" s="153"/>
      <c r="J5" s="841"/>
      <c r="K5" s="841"/>
      <c r="L5" s="167" t="str">
        <f>IFERROR(IF(I5="有",F5*入力シート!$T$46*入力シート!$H$14/1000,"0"),"")</f>
        <v>0</v>
      </c>
      <c r="M5" s="85"/>
      <c r="N5" s="48"/>
      <c r="O5" s="48"/>
      <c r="P5" s="381"/>
      <c r="Q5" s="524" t="str">
        <f ca="1">IFERROR(IF(INDEX(INDIRECT($Q$3),ROW())="有","有",""),"")</f>
        <v/>
      </c>
    </row>
    <row r="6" spans="1:20" s="49" customFormat="1" ht="19.350000000000001" customHeight="1">
      <c r="B6" s="379" t="s">
        <v>135</v>
      </c>
      <c r="C6" s="842"/>
      <c r="D6" s="842"/>
      <c r="E6" s="75">
        <v>118</v>
      </c>
      <c r="F6" s="51">
        <v>14</v>
      </c>
      <c r="G6" s="864"/>
      <c r="H6" s="866"/>
      <c r="I6" s="153"/>
      <c r="J6" s="841"/>
      <c r="K6" s="841"/>
      <c r="L6" s="167" t="str">
        <f>IFERROR(IF(I6="有",F6*入力シート!$T$46*入力シート!$H$14/1000,"0"),"")</f>
        <v>0</v>
      </c>
      <c r="M6" s="85"/>
      <c r="N6" s="48"/>
      <c r="O6" s="48"/>
      <c r="P6" s="381"/>
      <c r="Q6" s="524" t="str">
        <f t="shared" ref="Q6:Q12" ca="1" si="0">IFERROR(IF(INDEX(INDIRECT($Q$3),ROW())="有","有",""),"")</f>
        <v/>
      </c>
    </row>
    <row r="7" spans="1:20" s="49" customFormat="1" ht="19.350000000000001" customHeight="1">
      <c r="B7" s="379" t="s">
        <v>136</v>
      </c>
      <c r="C7" s="842"/>
      <c r="D7" s="842"/>
      <c r="E7" s="75">
        <v>118</v>
      </c>
      <c r="F7" s="51">
        <v>14</v>
      </c>
      <c r="G7" s="864"/>
      <c r="H7" s="866"/>
      <c r="I7" s="153"/>
      <c r="J7" s="841"/>
      <c r="K7" s="841"/>
      <c r="L7" s="167" t="str">
        <f>IFERROR(IF(I7="有",F7*入力シート!$T$46*入力シート!$H$14/1000,"0"),"")</f>
        <v>0</v>
      </c>
      <c r="M7" s="85"/>
      <c r="N7" s="48"/>
      <c r="O7" s="48"/>
      <c r="P7" s="381"/>
      <c r="Q7" s="524" t="str">
        <f t="shared" ca="1" si="0"/>
        <v/>
      </c>
    </row>
    <row r="8" spans="1:20" s="49" customFormat="1" ht="19.350000000000001" customHeight="1">
      <c r="B8" s="379" t="s">
        <v>137</v>
      </c>
      <c r="C8" s="842"/>
      <c r="D8" s="842"/>
      <c r="E8" s="75">
        <v>118</v>
      </c>
      <c r="F8" s="51">
        <v>7</v>
      </c>
      <c r="G8" s="864"/>
      <c r="H8" s="866"/>
      <c r="I8" s="153"/>
      <c r="J8" s="841"/>
      <c r="K8" s="841"/>
      <c r="L8" s="167" t="str">
        <f>IFERROR(IF(I8="有",F8*入力シート!$T$46*入力シート!$H$14/1000,"0"),"")</f>
        <v>0</v>
      </c>
      <c r="M8" s="85"/>
      <c r="N8" s="48"/>
      <c r="O8" s="48"/>
      <c r="P8" s="381"/>
      <c r="Q8" s="524" t="str">
        <f t="shared" ca="1" si="0"/>
        <v/>
      </c>
    </row>
    <row r="9" spans="1:20" s="49" customFormat="1" ht="19.350000000000001" customHeight="1">
      <c r="B9" s="379" t="s">
        <v>154</v>
      </c>
      <c r="C9" s="842"/>
      <c r="D9" s="842"/>
      <c r="E9" s="75">
        <v>119</v>
      </c>
      <c r="F9" s="51">
        <v>120</v>
      </c>
      <c r="G9" s="384" t="s">
        <v>158</v>
      </c>
      <c r="H9" s="52" t="str">
        <f>IF(I9="有",IF(I34="有","！算定不可！",""),"")</f>
        <v/>
      </c>
      <c r="I9" s="153"/>
      <c r="J9" s="268"/>
      <c r="K9" s="271" t="s">
        <v>206</v>
      </c>
      <c r="L9" s="167" t="str">
        <f>IFERROR(IF(I9="有",F9*J9*入力シート!$H$14/1000,"0"),"")</f>
        <v>0</v>
      </c>
      <c r="M9" s="85"/>
      <c r="N9" s="48"/>
      <c r="O9" s="48"/>
      <c r="P9" s="381"/>
      <c r="Q9" s="524" t="str">
        <f t="shared" ca="1" si="0"/>
        <v/>
      </c>
    </row>
    <row r="10" spans="1:20" s="49" customFormat="1" ht="19.350000000000001" customHeight="1">
      <c r="B10" s="379" t="s">
        <v>155</v>
      </c>
      <c r="C10" s="842"/>
      <c r="D10" s="842"/>
      <c r="E10" s="75">
        <v>119</v>
      </c>
      <c r="F10" s="51">
        <v>362</v>
      </c>
      <c r="G10" s="384" t="s">
        <v>158</v>
      </c>
      <c r="H10" s="53"/>
      <c r="I10" s="153"/>
      <c r="J10" s="268"/>
      <c r="K10" s="271" t="s">
        <v>206</v>
      </c>
      <c r="L10" s="167" t="str">
        <f>IFERROR(IF(I10="有",F10*J10*入力シート!$H$14/1000,"0"),"")</f>
        <v>0</v>
      </c>
      <c r="M10" s="85"/>
      <c r="N10" s="48" t="s">
        <v>203</v>
      </c>
      <c r="O10" s="48">
        <f>IF(I10="有",J10,0)</f>
        <v>0</v>
      </c>
      <c r="P10" s="381" t="s">
        <v>205</v>
      </c>
      <c r="Q10" s="524" t="str">
        <f t="shared" ca="1" si="0"/>
        <v/>
      </c>
    </row>
    <row r="11" spans="1:20" s="49" customFormat="1" ht="19.350000000000001" customHeight="1">
      <c r="B11" s="379" t="s">
        <v>156</v>
      </c>
      <c r="C11" s="842"/>
      <c r="D11" s="842"/>
      <c r="E11" s="75">
        <v>120</v>
      </c>
      <c r="F11" s="51">
        <v>800</v>
      </c>
      <c r="G11" s="384" t="s">
        <v>158</v>
      </c>
      <c r="H11" s="54" t="str">
        <f>IF(I11="有",IF(I10="有","！算定不可！",""),"")</f>
        <v/>
      </c>
      <c r="I11" s="153"/>
      <c r="J11" s="268"/>
      <c r="K11" s="271" t="s">
        <v>206</v>
      </c>
      <c r="L11" s="167" t="str">
        <f>IFERROR(IF(I11="有",F11*J11*入力シート!$H$14/1000,"0"),"")</f>
        <v>0</v>
      </c>
      <c r="M11" s="85"/>
      <c r="N11" s="48" t="s">
        <v>203</v>
      </c>
      <c r="O11" s="48">
        <f t="shared" ref="O11:O12" si="1">IF(I11="有",J11,0)</f>
        <v>0</v>
      </c>
      <c r="P11" s="381" t="s">
        <v>205</v>
      </c>
      <c r="Q11" s="524" t="str">
        <f t="shared" ca="1" si="0"/>
        <v/>
      </c>
    </row>
    <row r="12" spans="1:20" s="49" customFormat="1" ht="19.350000000000001" customHeight="1">
      <c r="B12" s="380" t="s">
        <v>157</v>
      </c>
      <c r="C12" s="868"/>
      <c r="D12" s="868"/>
      <c r="E12" s="76">
        <v>121</v>
      </c>
      <c r="F12" s="55">
        <v>362</v>
      </c>
      <c r="G12" s="56" t="s">
        <v>158</v>
      </c>
      <c r="H12" s="57"/>
      <c r="I12" s="154"/>
      <c r="J12" s="269"/>
      <c r="K12" s="272" t="s">
        <v>206</v>
      </c>
      <c r="L12" s="175" t="str">
        <f>IFERROR(IF(I12="有",F12*J12*入力シート!$H$14/1000,"0"),"")</f>
        <v>0</v>
      </c>
      <c r="M12" s="85"/>
      <c r="N12" s="48" t="s">
        <v>203</v>
      </c>
      <c r="O12" s="48">
        <f t="shared" si="1"/>
        <v>0</v>
      </c>
      <c r="P12" s="381" t="s">
        <v>205</v>
      </c>
      <c r="Q12" s="524" t="str">
        <f t="shared" ca="1" si="0"/>
        <v/>
      </c>
    </row>
    <row r="13" spans="1:20" s="49" customFormat="1" ht="19.350000000000001" customHeight="1">
      <c r="B13" s="58"/>
      <c r="C13" s="59"/>
      <c r="D13" s="59"/>
      <c r="E13" s="77"/>
      <c r="F13" s="58"/>
      <c r="G13" s="58"/>
      <c r="H13" s="60"/>
      <c r="I13" s="513"/>
      <c r="J13" s="176"/>
      <c r="K13" s="180"/>
      <c r="L13" s="429"/>
      <c r="M13" s="61"/>
      <c r="N13" s="48" t="s">
        <v>760</v>
      </c>
      <c r="O13" s="48">
        <f>SUM(O10:O12)</f>
        <v>0</v>
      </c>
      <c r="P13" s="381"/>
      <c r="Q13" s="525"/>
    </row>
    <row r="14" spans="1:20" s="49" customFormat="1" ht="19.350000000000001" customHeight="1">
      <c r="B14" s="62" t="s">
        <v>140</v>
      </c>
      <c r="C14" s="869"/>
      <c r="D14" s="869"/>
      <c r="E14" s="78">
        <v>123</v>
      </c>
      <c r="F14" s="63">
        <v>30</v>
      </c>
      <c r="G14" s="64" t="s">
        <v>158</v>
      </c>
      <c r="H14" s="65"/>
      <c r="I14" s="155"/>
      <c r="J14" s="270"/>
      <c r="K14" s="428" t="s">
        <v>206</v>
      </c>
      <c r="L14" s="200" t="str">
        <f>IFERROR(IF(I14="有",F14*J14*入力シート!$H$14/1000,"0"),"")</f>
        <v>0</v>
      </c>
      <c r="M14" s="85"/>
      <c r="N14" s="48"/>
      <c r="O14" s="48"/>
      <c r="P14" s="381"/>
      <c r="Q14" s="524" t="str">
        <f ca="1">IFERROR(IF(INDEX(INDIRECT($Q$3),ROW())="有","有",""),"")</f>
        <v/>
      </c>
    </row>
    <row r="15" spans="1:20" s="49" customFormat="1" ht="19.350000000000001" customHeight="1">
      <c r="B15" s="379" t="s">
        <v>141</v>
      </c>
      <c r="C15" s="842"/>
      <c r="D15" s="842"/>
      <c r="E15" s="75">
        <v>124</v>
      </c>
      <c r="F15" s="51">
        <v>200</v>
      </c>
      <c r="G15" s="384" t="s">
        <v>159</v>
      </c>
      <c r="H15" s="54" t="str">
        <f>IF(I15="有",IF(I61="有","！算定不可！",""),"")</f>
        <v/>
      </c>
      <c r="I15" s="153"/>
      <c r="J15" s="268"/>
      <c r="K15" s="271" t="s">
        <v>159</v>
      </c>
      <c r="L15" s="167" t="str">
        <f>IFERROR(IF(I15="有",F15*J15*入力シート!$H$14/1000,"0"),"")</f>
        <v>0</v>
      </c>
      <c r="M15" s="85"/>
      <c r="N15" s="48"/>
      <c r="O15" s="48"/>
      <c r="P15" s="381"/>
      <c r="Q15" s="524" t="str">
        <f t="shared" ref="Q15:Q61" ca="1" si="2">IFERROR(IF(INDEX(INDIRECT($Q$3),ROW())="有","有",""),"")</f>
        <v/>
      </c>
    </row>
    <row r="16" spans="1:20" s="49" customFormat="1" ht="19.350000000000001" customHeight="1">
      <c r="B16" s="870" t="s">
        <v>142</v>
      </c>
      <c r="C16" s="856" t="s">
        <v>143</v>
      </c>
      <c r="D16" s="856"/>
      <c r="E16" s="75">
        <v>125</v>
      </c>
      <c r="F16" s="66">
        <v>460</v>
      </c>
      <c r="G16" s="549" t="s">
        <v>161</v>
      </c>
      <c r="H16" s="53"/>
      <c r="I16" s="153"/>
      <c r="J16" s="268"/>
      <c r="K16" s="271" t="s">
        <v>159</v>
      </c>
      <c r="L16" s="167" t="str">
        <f>IFERROR(IF(I16="有",F16*J16*入力シート!$H$14/1000,"0"),"")</f>
        <v>0</v>
      </c>
      <c r="M16" s="85"/>
      <c r="N16" s="48"/>
      <c r="O16" s="48"/>
      <c r="P16" s="381"/>
      <c r="Q16" s="524" t="str">
        <f t="shared" ca="1" si="2"/>
        <v/>
      </c>
    </row>
    <row r="17" spans="2:17" s="49" customFormat="1" ht="19.350000000000001" customHeight="1">
      <c r="B17" s="870"/>
      <c r="C17" s="856" t="s">
        <v>144</v>
      </c>
      <c r="D17" s="856"/>
      <c r="E17" s="75">
        <v>125</v>
      </c>
      <c r="F17" s="66">
        <v>460</v>
      </c>
      <c r="G17" s="549" t="s">
        <v>161</v>
      </c>
      <c r="H17" s="53"/>
      <c r="I17" s="153"/>
      <c r="J17" s="268"/>
      <c r="K17" s="271" t="s">
        <v>159</v>
      </c>
      <c r="L17" s="167" t="str">
        <f>IFERROR(IF(I17="有",F17*J17*入力シート!$H$14/1000,"0"),"")</f>
        <v>0</v>
      </c>
      <c r="M17" s="85"/>
      <c r="N17" s="48"/>
      <c r="O17" s="48"/>
      <c r="P17" s="381"/>
      <c r="Q17" s="524" t="str">
        <f t="shared" ca="1" si="2"/>
        <v/>
      </c>
    </row>
    <row r="18" spans="2:17" s="49" customFormat="1" ht="19.350000000000001" customHeight="1">
      <c r="B18" s="870"/>
      <c r="C18" s="856" t="s">
        <v>145</v>
      </c>
      <c r="D18" s="856"/>
      <c r="E18" s="75">
        <v>125</v>
      </c>
      <c r="F18" s="51">
        <v>400</v>
      </c>
      <c r="G18" s="549" t="s">
        <v>161</v>
      </c>
      <c r="H18" s="53"/>
      <c r="I18" s="153"/>
      <c r="J18" s="268"/>
      <c r="K18" s="271" t="s">
        <v>159</v>
      </c>
      <c r="L18" s="167" t="str">
        <f>IFERROR(IF(I18="有",F18*J18*入力シート!$H$14/1000,"0"),"")</f>
        <v>0</v>
      </c>
      <c r="M18" s="85"/>
      <c r="N18" s="48"/>
      <c r="O18" s="48"/>
      <c r="P18" s="381"/>
      <c r="Q18" s="524" t="str">
        <f t="shared" ca="1" si="2"/>
        <v/>
      </c>
    </row>
    <row r="19" spans="2:17" s="49" customFormat="1" ht="19.350000000000001" customHeight="1">
      <c r="B19" s="870"/>
      <c r="C19" s="856" t="s">
        <v>146</v>
      </c>
      <c r="D19" s="856"/>
      <c r="E19" s="75">
        <v>126</v>
      </c>
      <c r="F19" s="51">
        <v>500</v>
      </c>
      <c r="G19" s="549" t="s">
        <v>161</v>
      </c>
      <c r="H19" s="53"/>
      <c r="I19" s="153"/>
      <c r="J19" s="268"/>
      <c r="K19" s="271" t="s">
        <v>159</v>
      </c>
      <c r="L19" s="167" t="str">
        <f>IFERROR(IF(I19="有",F19*J19*入力シート!$H$14/1000,"0"),"")</f>
        <v>0</v>
      </c>
      <c r="M19" s="85"/>
      <c r="N19" s="48"/>
      <c r="O19" s="48"/>
      <c r="P19" s="381"/>
      <c r="Q19" s="524" t="str">
        <f t="shared" ca="1" si="2"/>
        <v/>
      </c>
    </row>
    <row r="20" spans="2:17" s="49" customFormat="1" ht="19.350000000000001" customHeight="1">
      <c r="B20" s="870"/>
      <c r="C20" s="856" t="s">
        <v>147</v>
      </c>
      <c r="D20" s="856"/>
      <c r="E20" s="75">
        <v>126</v>
      </c>
      <c r="F20" s="51">
        <v>500</v>
      </c>
      <c r="G20" s="549" t="s">
        <v>161</v>
      </c>
      <c r="H20" s="53"/>
      <c r="I20" s="153"/>
      <c r="J20" s="268"/>
      <c r="K20" s="271" t="s">
        <v>159</v>
      </c>
      <c r="L20" s="167" t="str">
        <f>IFERROR(IF(I20="有",F20*J20*入力シート!$H$14/1000,"0"),"")</f>
        <v>0</v>
      </c>
      <c r="M20" s="85"/>
      <c r="N20" s="48"/>
      <c r="O20" s="48"/>
      <c r="P20" s="381"/>
      <c r="Q20" s="524" t="str">
        <f t="shared" ca="1" si="2"/>
        <v/>
      </c>
    </row>
    <row r="21" spans="2:17" s="49" customFormat="1" ht="19.350000000000001" customHeight="1">
      <c r="B21" s="870"/>
      <c r="C21" s="856" t="s">
        <v>148</v>
      </c>
      <c r="D21" s="856"/>
      <c r="E21" s="75">
        <v>126</v>
      </c>
      <c r="F21" s="51">
        <v>300</v>
      </c>
      <c r="G21" s="549" t="s">
        <v>161</v>
      </c>
      <c r="H21" s="53"/>
      <c r="I21" s="153"/>
      <c r="J21" s="268"/>
      <c r="K21" s="271" t="s">
        <v>159</v>
      </c>
      <c r="L21" s="167" t="str">
        <f>IFERROR(IF(I21="有",F21*J21*入力シート!$H$14/1000,"0"),"")</f>
        <v>0</v>
      </c>
      <c r="M21" s="85"/>
      <c r="N21" s="48"/>
      <c r="O21" s="48"/>
      <c r="P21" s="381"/>
      <c r="Q21" s="524" t="str">
        <f t="shared" ca="1" si="2"/>
        <v/>
      </c>
    </row>
    <row r="22" spans="2:17" s="49" customFormat="1" ht="19.350000000000001" customHeight="1">
      <c r="B22" s="550" t="s">
        <v>1047</v>
      </c>
      <c r="C22" s="842"/>
      <c r="D22" s="842"/>
      <c r="E22" s="75" t="s">
        <v>1068</v>
      </c>
      <c r="F22" s="51">
        <v>11</v>
      </c>
      <c r="G22" s="551" t="s">
        <v>158</v>
      </c>
      <c r="H22" s="53"/>
      <c r="I22" s="153"/>
      <c r="J22" s="268"/>
      <c r="K22" s="271" t="s">
        <v>206</v>
      </c>
      <c r="L22" s="167" t="str">
        <f>IFERROR(IF(I22="有",F22*J22*入力シート!$H$14/1000,"0"),"")</f>
        <v>0</v>
      </c>
      <c r="M22" s="85"/>
      <c r="N22" s="48"/>
      <c r="O22" s="48"/>
      <c r="P22" s="437"/>
      <c r="Q22" s="524" t="str">
        <f t="shared" ca="1" si="2"/>
        <v/>
      </c>
    </row>
    <row r="23" spans="2:17" s="49" customFormat="1" ht="19.350000000000001" customHeight="1">
      <c r="B23" s="550" t="s">
        <v>101</v>
      </c>
      <c r="C23" s="842"/>
      <c r="D23" s="842"/>
      <c r="E23" s="75">
        <v>130</v>
      </c>
      <c r="F23" s="66">
        <v>28</v>
      </c>
      <c r="G23" s="551" t="s">
        <v>158</v>
      </c>
      <c r="H23" s="54" t="str">
        <f>IF(I23="有",IF(I61="有","！算定不可！",""),"")</f>
        <v/>
      </c>
      <c r="I23" s="153"/>
      <c r="J23" s="268"/>
      <c r="K23" s="271" t="s">
        <v>206</v>
      </c>
      <c r="L23" s="167" t="str">
        <f>IFERROR(IF(I23="有",F23*J23*入力シート!$H$14/1000,"0"),"")</f>
        <v>0</v>
      </c>
      <c r="M23" s="85"/>
      <c r="N23" s="48"/>
      <c r="O23" s="48"/>
      <c r="P23" s="48"/>
      <c r="Q23" s="524" t="str">
        <f t="shared" ca="1" si="2"/>
        <v/>
      </c>
    </row>
    <row r="24" spans="2:17" s="49" customFormat="1" ht="19.350000000000001" customHeight="1">
      <c r="B24" s="870" t="s">
        <v>102</v>
      </c>
      <c r="C24" s="856" t="s">
        <v>1007</v>
      </c>
      <c r="D24" s="856"/>
      <c r="E24" s="75">
        <v>131</v>
      </c>
      <c r="F24" s="66">
        <v>400</v>
      </c>
      <c r="G24" s="849" t="s">
        <v>65</v>
      </c>
      <c r="H24" s="67" t="str">
        <f>IF(AND(I24="有",OR(I23="有",I61="有")),"！算定不可！","")</f>
        <v/>
      </c>
      <c r="I24" s="153"/>
      <c r="J24" s="268"/>
      <c r="K24" s="271" t="s">
        <v>206</v>
      </c>
      <c r="L24" s="167" t="str">
        <f>IFERROR(IF(I24="有",F24*J24*入力シート!$H$14/1000,"0"),"")</f>
        <v>0</v>
      </c>
      <c r="M24" s="85"/>
      <c r="N24" s="48"/>
      <c r="O24" s="48"/>
      <c r="P24" s="48"/>
      <c r="Q24" s="524" t="str">
        <f t="shared" ca="1" si="2"/>
        <v/>
      </c>
    </row>
    <row r="25" spans="2:17" s="49" customFormat="1" ht="19.350000000000001" customHeight="1">
      <c r="B25" s="870"/>
      <c r="C25" s="856" t="s">
        <v>1008</v>
      </c>
      <c r="D25" s="856"/>
      <c r="E25" s="75">
        <v>131</v>
      </c>
      <c r="F25" s="66">
        <v>100</v>
      </c>
      <c r="G25" s="849"/>
      <c r="H25" s="67"/>
      <c r="I25" s="153"/>
      <c r="J25" s="268"/>
      <c r="K25" s="271" t="s">
        <v>206</v>
      </c>
      <c r="L25" s="167" t="str">
        <f>IFERROR(IF(I25="有",F25*J25*入力シート!$H$14/1000,"0"),"")</f>
        <v>0</v>
      </c>
      <c r="M25" s="85"/>
      <c r="N25" s="48"/>
      <c r="O25" s="48"/>
      <c r="P25" s="48"/>
      <c r="Q25" s="524" t="str">
        <f t="shared" ca="1" si="2"/>
        <v/>
      </c>
    </row>
    <row r="26" spans="2:17" s="49" customFormat="1" ht="19.350000000000001" customHeight="1">
      <c r="B26" s="835" t="s">
        <v>1044</v>
      </c>
      <c r="C26" s="843" t="s">
        <v>1045</v>
      </c>
      <c r="D26" s="843"/>
      <c r="E26" s="165">
        <v>133</v>
      </c>
      <c r="F26" s="66">
        <v>90</v>
      </c>
      <c r="G26" s="551" t="s">
        <v>65</v>
      </c>
      <c r="H26" s="188" t="str">
        <f>IF(I26="有",IF(I27="有","！算定不可！",""),"")</f>
        <v/>
      </c>
      <c r="I26" s="153"/>
      <c r="J26" s="268"/>
      <c r="K26" s="271" t="s">
        <v>206</v>
      </c>
      <c r="L26" s="167" t="str">
        <f>IFERROR(IF(I26="有",F26*J26*入力シート!$H$14/1000,"0"),"")</f>
        <v>0</v>
      </c>
      <c r="M26" s="85"/>
      <c r="N26" s="48"/>
      <c r="O26" s="48"/>
      <c r="P26" s="48"/>
      <c r="Q26" s="524" t="str">
        <f t="shared" ca="1" si="2"/>
        <v/>
      </c>
    </row>
    <row r="27" spans="2:17" s="49" customFormat="1" ht="19.350000000000001" customHeight="1">
      <c r="B27" s="836"/>
      <c r="C27" s="843" t="s">
        <v>1046</v>
      </c>
      <c r="D27" s="843"/>
      <c r="E27" s="75" t="s">
        <v>1068</v>
      </c>
      <c r="F27" s="66">
        <v>110</v>
      </c>
      <c r="G27" s="551" t="s">
        <v>65</v>
      </c>
      <c r="H27" s="188" t="str">
        <f>IF(I27="有",IF(I26="有","！算定不可！",""),"")</f>
        <v/>
      </c>
      <c r="I27" s="153"/>
      <c r="J27" s="268"/>
      <c r="K27" s="271" t="s">
        <v>206</v>
      </c>
      <c r="L27" s="167" t="str">
        <f>IFERROR(IF(I27="有",F27*J27*入力シート!$H$14/1000,"0"),"")</f>
        <v>0</v>
      </c>
      <c r="M27" s="85"/>
      <c r="N27" s="48"/>
      <c r="O27" s="48"/>
      <c r="P27" s="48"/>
      <c r="Q27" s="524" t="str">
        <f t="shared" ca="1" si="2"/>
        <v/>
      </c>
    </row>
    <row r="28" spans="2:17" s="49" customFormat="1" ht="19.350000000000001" customHeight="1">
      <c r="B28" s="550" t="s">
        <v>138</v>
      </c>
      <c r="C28" s="842"/>
      <c r="D28" s="842"/>
      <c r="E28" s="75">
        <v>134</v>
      </c>
      <c r="F28" s="66">
        <v>6</v>
      </c>
      <c r="G28" s="551" t="s">
        <v>159</v>
      </c>
      <c r="H28" s="384"/>
      <c r="I28" s="153"/>
      <c r="J28" s="268"/>
      <c r="K28" s="271" t="s">
        <v>159</v>
      </c>
      <c r="L28" s="167" t="str">
        <f>IFERROR(IF(I28="有",F28*J28*入力シート!$H$14/1000,"0"),"")</f>
        <v>0</v>
      </c>
      <c r="M28" s="85"/>
      <c r="N28" s="48"/>
      <c r="O28" s="48"/>
      <c r="P28" s="48"/>
      <c r="Q28" s="524" t="str">
        <f t="shared" ca="1" si="2"/>
        <v/>
      </c>
    </row>
    <row r="29" spans="2:17" s="49" customFormat="1" ht="19.350000000000001" customHeight="1">
      <c r="B29" s="379" t="s">
        <v>149</v>
      </c>
      <c r="C29" s="842"/>
      <c r="D29" s="842"/>
      <c r="E29" s="75">
        <v>135</v>
      </c>
      <c r="F29" s="66">
        <v>10</v>
      </c>
      <c r="G29" s="383" t="s">
        <v>158</v>
      </c>
      <c r="H29" s="384"/>
      <c r="I29" s="153"/>
      <c r="J29" s="841"/>
      <c r="K29" s="841"/>
      <c r="L29" s="167" t="str">
        <f>IFERROR(IF(I29="有",F29*入力シート!$T$46*入力シート!$H$14/1000,"0"),"")</f>
        <v>0</v>
      </c>
      <c r="M29" s="85"/>
      <c r="N29" s="48"/>
      <c r="O29" s="48"/>
      <c r="P29" s="48"/>
      <c r="Q29" s="524" t="str">
        <f t="shared" ca="1" si="2"/>
        <v/>
      </c>
    </row>
    <row r="30" spans="2:17" s="49" customFormat="1" ht="19.350000000000001" customHeight="1">
      <c r="B30" s="379" t="s">
        <v>150</v>
      </c>
      <c r="C30" s="842"/>
      <c r="D30" s="842"/>
      <c r="E30" s="79" t="s">
        <v>829</v>
      </c>
      <c r="F30" s="871" t="str">
        <f>HYPERLINK("#A８５","別に掲げる点数")</f>
        <v>別に掲げる点数</v>
      </c>
      <c r="G30" s="849"/>
      <c r="H30" s="384"/>
      <c r="I30" s="514"/>
      <c r="J30" s="841"/>
      <c r="K30" s="841"/>
      <c r="L30" s="223"/>
      <c r="M30" s="86"/>
      <c r="N30" s="48"/>
      <c r="O30" s="48"/>
      <c r="P30" s="48"/>
      <c r="Q30" s="524" t="str">
        <f t="shared" ca="1" si="2"/>
        <v/>
      </c>
    </row>
    <row r="31" spans="2:17" s="49" customFormat="1" ht="19.350000000000001" customHeight="1">
      <c r="B31" s="379" t="s">
        <v>151</v>
      </c>
      <c r="C31" s="842"/>
      <c r="D31" s="842"/>
      <c r="E31" s="75">
        <v>136</v>
      </c>
      <c r="F31" s="66">
        <v>518</v>
      </c>
      <c r="G31" s="383" t="s">
        <v>158</v>
      </c>
      <c r="H31" s="384"/>
      <c r="I31" s="153"/>
      <c r="J31" s="268"/>
      <c r="K31" s="271" t="s">
        <v>206</v>
      </c>
      <c r="L31" s="167" t="str">
        <f>IFERROR(IF(I31="有",F31*J31*入力シート!$H$14/1000,"0"),"")</f>
        <v>0</v>
      </c>
      <c r="M31" s="85"/>
      <c r="N31" s="48"/>
      <c r="O31" s="48"/>
      <c r="P31" s="48"/>
      <c r="Q31" s="524" t="str">
        <f t="shared" ca="1" si="2"/>
        <v/>
      </c>
    </row>
    <row r="32" spans="2:17" s="49" customFormat="1" ht="19.350000000000001" customHeight="1">
      <c r="B32" s="870" t="s">
        <v>99</v>
      </c>
      <c r="C32" s="849" t="s">
        <v>164</v>
      </c>
      <c r="D32" s="849"/>
      <c r="E32" s="75">
        <v>137</v>
      </c>
      <c r="F32" s="66">
        <v>3</v>
      </c>
      <c r="G32" s="383" t="s">
        <v>100</v>
      </c>
      <c r="H32" s="68" t="str">
        <f>IF(I32="有",IF(I33="有","Ⅱと同時算定不可",""),"")</f>
        <v/>
      </c>
      <c r="I32" s="153"/>
      <c r="J32" s="268"/>
      <c r="K32" s="271" t="s">
        <v>206</v>
      </c>
      <c r="L32" s="167" t="str">
        <f>IFERROR(IF(I32="有",F32*J32*入力シート!$H$14/1000,"0"),"")</f>
        <v>0</v>
      </c>
      <c r="M32" s="85"/>
      <c r="N32" s="48"/>
      <c r="O32" s="48"/>
      <c r="P32" s="381"/>
      <c r="Q32" s="524" t="str">
        <f t="shared" ca="1" si="2"/>
        <v/>
      </c>
    </row>
    <row r="33" spans="2:17" s="49" customFormat="1" ht="19.350000000000001" customHeight="1">
      <c r="B33" s="870"/>
      <c r="C33" s="849" t="s">
        <v>165</v>
      </c>
      <c r="D33" s="849"/>
      <c r="E33" s="75">
        <v>137</v>
      </c>
      <c r="F33" s="66">
        <v>4</v>
      </c>
      <c r="G33" s="383" t="s">
        <v>100</v>
      </c>
      <c r="H33" s="68" t="str">
        <f>IF(I33="有",IF(I32="有","Ⅰと同時算定不可",""),"")</f>
        <v/>
      </c>
      <c r="I33" s="153"/>
      <c r="J33" s="268"/>
      <c r="K33" s="271" t="s">
        <v>206</v>
      </c>
      <c r="L33" s="167" t="str">
        <f>IFERROR(IF(I33="有",F33*J33*入力シート!$H$14/1000,"0"),"")</f>
        <v>0</v>
      </c>
      <c r="M33" s="85"/>
      <c r="N33" s="48"/>
      <c r="O33" s="48"/>
      <c r="P33" s="381"/>
      <c r="Q33" s="524" t="str">
        <f t="shared" ca="1" si="2"/>
        <v/>
      </c>
    </row>
    <row r="34" spans="2:17" s="49" customFormat="1" ht="19.350000000000001" customHeight="1">
      <c r="B34" s="379" t="s">
        <v>152</v>
      </c>
      <c r="C34" s="842"/>
      <c r="D34" s="842"/>
      <c r="E34" s="75">
        <v>138</v>
      </c>
      <c r="F34" s="66">
        <v>200</v>
      </c>
      <c r="G34" s="383" t="s">
        <v>100</v>
      </c>
      <c r="H34" s="53"/>
      <c r="I34" s="153"/>
      <c r="J34" s="268"/>
      <c r="K34" s="271" t="s">
        <v>206</v>
      </c>
      <c r="L34" s="167" t="str">
        <f>IFERROR(IF(I34="有",F34*J34*入力シート!$H$14/1000,"0"),"")</f>
        <v>0</v>
      </c>
      <c r="M34" s="85"/>
      <c r="N34" s="48"/>
      <c r="O34" s="48"/>
      <c r="P34" s="381"/>
      <c r="Q34" s="524" t="str">
        <f t="shared" ca="1" si="2"/>
        <v/>
      </c>
    </row>
    <row r="35" spans="2:17" s="49" customFormat="1" ht="19.350000000000001" customHeight="1">
      <c r="B35" s="870" t="s">
        <v>153</v>
      </c>
      <c r="C35" s="849" t="s">
        <v>162</v>
      </c>
      <c r="D35" s="849"/>
      <c r="E35" s="75">
        <v>139</v>
      </c>
      <c r="F35" s="551" t="s">
        <v>204</v>
      </c>
      <c r="G35" s="551" t="s">
        <v>100</v>
      </c>
      <c r="H35" s="68" t="str">
        <f>IF(I35="有",IF(I36="有","Ⅱと同時算定不可",""),"")</f>
        <v/>
      </c>
      <c r="I35" s="153"/>
      <c r="J35" s="841"/>
      <c r="K35" s="841"/>
      <c r="L35" s="167" t="str">
        <f>IFERROR(IF(I35="有",((入力シート!O40+入力シート!O41)*140+(入力シート!O42+入力シート!O43+入力シート!O44)*40)*入力シート!$H$14/1000,"0"),"")</f>
        <v>0</v>
      </c>
      <c r="M35" s="85"/>
      <c r="N35" s="48"/>
      <c r="O35" s="48"/>
      <c r="P35" s="381"/>
      <c r="Q35" s="524" t="str">
        <f t="shared" ca="1" si="2"/>
        <v/>
      </c>
    </row>
    <row r="36" spans="2:17" s="49" customFormat="1" ht="19.350000000000001" customHeight="1">
      <c r="B36" s="870"/>
      <c r="C36" s="849" t="s">
        <v>163</v>
      </c>
      <c r="D36" s="849"/>
      <c r="E36" s="75">
        <v>139</v>
      </c>
      <c r="F36" s="551" t="s">
        <v>858</v>
      </c>
      <c r="G36" s="551" t="s">
        <v>100</v>
      </c>
      <c r="H36" s="68" t="str">
        <f>IF(I36="有",IF(I35="有","Ⅰと同時算定不可",""),"")</f>
        <v/>
      </c>
      <c r="I36" s="153"/>
      <c r="J36" s="841"/>
      <c r="K36" s="841"/>
      <c r="L36" s="167" t="str">
        <f>IFERROR(IF(I36="有",((入力シート!O40+入力シート!O41)*200+(入力シート!O42+入力シート!O43+入力シート!O44)*100)*入力シート!$H$14/1000,"0"),"")</f>
        <v>0</v>
      </c>
      <c r="M36" s="85"/>
      <c r="N36" s="48"/>
      <c r="O36" s="48"/>
      <c r="P36" s="381"/>
      <c r="Q36" s="524" t="str">
        <f t="shared" ca="1" si="2"/>
        <v/>
      </c>
    </row>
    <row r="37" spans="2:17" s="49" customFormat="1" ht="19.350000000000001" customHeight="1">
      <c r="B37" s="835" t="s">
        <v>139</v>
      </c>
      <c r="C37" s="867" t="s">
        <v>1056</v>
      </c>
      <c r="D37" s="867"/>
      <c r="E37" s="75" t="s">
        <v>1068</v>
      </c>
      <c r="F37" s="66">
        <v>10</v>
      </c>
      <c r="G37" s="551" t="s">
        <v>65</v>
      </c>
      <c r="H37" s="68" t="str">
        <f>IF(I37="有",IF(OR(I40="有",I39="有",I38="有"),"同時算定不可",""),"")</f>
        <v/>
      </c>
      <c r="I37" s="153"/>
      <c r="J37" s="268"/>
      <c r="K37" s="271" t="s">
        <v>206</v>
      </c>
      <c r="L37" s="167" t="str">
        <f>IFERROR(IF(I37="有",F37*J37*入力シート!$H$14/1000,"0"),"")</f>
        <v>0</v>
      </c>
      <c r="M37" s="85"/>
      <c r="N37" s="48"/>
      <c r="O37" s="48"/>
      <c r="P37" s="48"/>
      <c r="Q37" s="524" t="str">
        <f t="shared" ca="1" si="2"/>
        <v/>
      </c>
    </row>
    <row r="38" spans="2:17" s="49" customFormat="1" ht="19.350000000000001" customHeight="1">
      <c r="B38" s="848"/>
      <c r="C38" s="867" t="s">
        <v>1057</v>
      </c>
      <c r="D38" s="867"/>
      <c r="E38" s="75" t="s">
        <v>1068</v>
      </c>
      <c r="F38" s="66">
        <v>15</v>
      </c>
      <c r="G38" s="551" t="s">
        <v>65</v>
      </c>
      <c r="H38" s="68" t="str">
        <f>IF(I38="有",IF(OR(I37="有",I40="有",I39="有"),"同時算定不可",""),"")</f>
        <v/>
      </c>
      <c r="I38" s="153"/>
      <c r="J38" s="459"/>
      <c r="K38" s="271" t="s">
        <v>206</v>
      </c>
      <c r="L38" s="167" t="str">
        <f>IFERROR(IF(I38="有",F38*J38*入力シート!$H$14/1000,"0"),"")</f>
        <v>0</v>
      </c>
      <c r="M38" s="85"/>
      <c r="N38" s="48"/>
      <c r="O38" s="48"/>
      <c r="P38" s="48"/>
      <c r="Q38" s="524" t="str">
        <f t="shared" ca="1" si="2"/>
        <v/>
      </c>
    </row>
    <row r="39" spans="2:17" s="49" customFormat="1" ht="19.350000000000001" customHeight="1">
      <c r="B39" s="848"/>
      <c r="C39" s="867" t="s">
        <v>1058</v>
      </c>
      <c r="D39" s="867"/>
      <c r="E39" s="75" t="s">
        <v>1068</v>
      </c>
      <c r="F39" s="66">
        <v>20</v>
      </c>
      <c r="G39" s="551" t="s">
        <v>65</v>
      </c>
      <c r="H39" s="68" t="str">
        <f>IF(I39="有",IF(OR(I38="有",I37="有",I40="有"),"同時算定不可",""),"")</f>
        <v/>
      </c>
      <c r="I39" s="153"/>
      <c r="J39" s="459"/>
      <c r="K39" s="271" t="s">
        <v>206</v>
      </c>
      <c r="L39" s="167" t="str">
        <f>IFERROR(IF(I39="有",F39*J39*入力シート!$H$14/1000,"0"),"")</f>
        <v>0</v>
      </c>
      <c r="M39" s="85"/>
      <c r="N39" s="48"/>
      <c r="O39" s="48"/>
      <c r="P39" s="48"/>
      <c r="Q39" s="524" t="str">
        <f t="shared" ca="1" si="2"/>
        <v/>
      </c>
    </row>
    <row r="40" spans="2:17" s="49" customFormat="1" ht="19.350000000000001" customHeight="1">
      <c r="B40" s="836"/>
      <c r="C40" s="867" t="str">
        <f ca="1">IF(入力シート!S2&lt;4,"排せつ支援加算（Ⅳ）","")</f>
        <v>排せつ支援加算（Ⅳ）</v>
      </c>
      <c r="D40" s="867"/>
      <c r="E40" s="75" t="s">
        <v>1068</v>
      </c>
      <c r="F40" s="66">
        <f ca="1">IF(入力シート!S2&lt;4,100,"")</f>
        <v>100</v>
      </c>
      <c r="G40" s="551" t="str">
        <f ca="1">IF(入力シート!S2&lt;4,"月毎","")</f>
        <v>月毎</v>
      </c>
      <c r="H40" s="68" t="str">
        <f>IF(I40="有",IF(OR(I37="有",I39="有",I38="有"),"同時算定不可",""),"")</f>
        <v/>
      </c>
      <c r="I40" s="153"/>
      <c r="J40" s="459"/>
      <c r="K40" s="271" t="str">
        <f ca="1">IF(入力シート!S2&lt;4,"人","")</f>
        <v>人</v>
      </c>
      <c r="L40" s="167" t="str">
        <f>IFERROR(IF(I40="有",F40*J40*入力シート!$H$14/1000,"0"),"")</f>
        <v>0</v>
      </c>
      <c r="M40" s="85"/>
      <c r="N40" s="48"/>
      <c r="O40" s="48"/>
      <c r="P40" s="48"/>
      <c r="Q40" s="524" t="str">
        <f t="shared" ca="1" si="2"/>
        <v/>
      </c>
    </row>
    <row r="41" spans="2:17" s="49" customFormat="1" ht="19.350000000000001" customHeight="1">
      <c r="B41" s="550" t="s">
        <v>1048</v>
      </c>
      <c r="C41" s="837"/>
      <c r="D41" s="838"/>
      <c r="E41" s="75" t="s">
        <v>1068</v>
      </c>
      <c r="F41" s="66">
        <v>300</v>
      </c>
      <c r="G41" s="551" t="s">
        <v>65</v>
      </c>
      <c r="H41" s="434"/>
      <c r="I41" s="153"/>
      <c r="J41" s="459"/>
      <c r="K41" s="271" t="s">
        <v>206</v>
      </c>
      <c r="L41" s="167" t="str">
        <f>IFERROR(IF(I41="有",F41*J41*入力シート!$H$14/1000,"0"),"")</f>
        <v>0</v>
      </c>
      <c r="M41" s="85"/>
      <c r="N41" s="48"/>
      <c r="O41" s="48"/>
      <c r="P41" s="48"/>
      <c r="Q41" s="524" t="str">
        <f t="shared" ca="1" si="2"/>
        <v/>
      </c>
    </row>
    <row r="42" spans="2:17" s="49" customFormat="1" ht="19.350000000000001" customHeight="1">
      <c r="B42" s="835" t="s">
        <v>1049</v>
      </c>
      <c r="C42" s="839" t="s">
        <v>1050</v>
      </c>
      <c r="D42" s="840"/>
      <c r="E42" s="75" t="s">
        <v>1068</v>
      </c>
      <c r="F42" s="66">
        <v>40</v>
      </c>
      <c r="G42" s="551" t="s">
        <v>65</v>
      </c>
      <c r="H42" s="68" t="str">
        <f>IF(I42="有",IF(I43="有","Ⅱと同時算定不可",""),"")</f>
        <v/>
      </c>
      <c r="I42" s="153" t="s">
        <v>1052</v>
      </c>
      <c r="J42" s="841"/>
      <c r="K42" s="841"/>
      <c r="L42" s="167" t="str">
        <f>IFERROR(IF(I42="有",F42*入力シート!$T$46/365*12*入力シート!$H$14/1000,"0"),"")</f>
        <v>0</v>
      </c>
      <c r="M42" s="85"/>
      <c r="N42" s="48"/>
      <c r="O42" s="48"/>
      <c r="P42" s="48"/>
      <c r="Q42" s="524" t="str">
        <f t="shared" ca="1" si="2"/>
        <v/>
      </c>
    </row>
    <row r="43" spans="2:17" s="49" customFormat="1" ht="19.350000000000001" customHeight="1">
      <c r="B43" s="836"/>
      <c r="C43" s="839" t="s">
        <v>1051</v>
      </c>
      <c r="D43" s="840"/>
      <c r="E43" s="75" t="s">
        <v>1068</v>
      </c>
      <c r="F43" s="66">
        <v>60</v>
      </c>
      <c r="G43" s="551" t="s">
        <v>65</v>
      </c>
      <c r="H43" s="68" t="str">
        <f>IF(I43="有",IF(I42="有","Ⅰと同時算定不可",""),"")</f>
        <v/>
      </c>
      <c r="I43" s="153"/>
      <c r="J43" s="841"/>
      <c r="K43" s="841"/>
      <c r="L43" s="460" t="str">
        <f>IFERROR(IF(I43="有",F43*入力シート!$T$46/365*12*入力シート!$H$14/1000,"0"),"")</f>
        <v>0</v>
      </c>
      <c r="M43" s="85"/>
      <c r="N43" s="48"/>
      <c r="O43" s="48"/>
      <c r="P43" s="48"/>
      <c r="Q43" s="524" t="str">
        <f t="shared" ca="1" si="2"/>
        <v/>
      </c>
    </row>
    <row r="44" spans="2:17" s="49" customFormat="1" ht="19.350000000000001" customHeight="1">
      <c r="B44" s="550" t="s">
        <v>1041</v>
      </c>
      <c r="C44" s="842"/>
      <c r="D44" s="842"/>
      <c r="E44" s="75" t="s">
        <v>1068</v>
      </c>
      <c r="F44" s="66">
        <v>60</v>
      </c>
      <c r="G44" s="551" t="s">
        <v>100</v>
      </c>
      <c r="H44" s="74"/>
      <c r="I44" s="446"/>
      <c r="J44" s="268"/>
      <c r="K44" s="271" t="s">
        <v>206</v>
      </c>
      <c r="L44" s="167" t="str">
        <f>IFERROR(IF(I44="有",F44*J44*入力シート!$H$14/1000,"0"),"")</f>
        <v>0</v>
      </c>
      <c r="M44" s="85"/>
      <c r="N44" s="48"/>
      <c r="O44" s="48"/>
      <c r="P44" s="381"/>
      <c r="Q44" s="524" t="str">
        <f t="shared" ca="1" si="2"/>
        <v/>
      </c>
    </row>
    <row r="45" spans="2:17" s="49" customFormat="1" ht="19.350000000000001" customHeight="1">
      <c r="B45" s="550" t="s">
        <v>1053</v>
      </c>
      <c r="C45" s="842"/>
      <c r="D45" s="842"/>
      <c r="E45" s="75" t="s">
        <v>1068</v>
      </c>
      <c r="F45" s="66">
        <v>20</v>
      </c>
      <c r="G45" s="549" t="s">
        <v>161</v>
      </c>
      <c r="H45" s="74"/>
      <c r="I45" s="446"/>
      <c r="J45" s="459"/>
      <c r="K45" s="271" t="s">
        <v>1061</v>
      </c>
      <c r="L45" s="458" t="str">
        <f>IFERROR(IF(I45="有",F45*J45*入力シート!$H$14/1000,"0"),"")</f>
        <v>0</v>
      </c>
      <c r="M45" s="85"/>
      <c r="N45" s="48"/>
      <c r="O45" s="48"/>
      <c r="P45" s="437"/>
      <c r="Q45" s="524" t="str">
        <f t="shared" ca="1" si="2"/>
        <v/>
      </c>
    </row>
    <row r="46" spans="2:17" s="49" customFormat="1" ht="19.350000000000001" customHeight="1">
      <c r="B46" s="870" t="s">
        <v>192</v>
      </c>
      <c r="C46" s="849" t="s">
        <v>1059</v>
      </c>
      <c r="D46" s="849"/>
      <c r="E46" s="75">
        <v>143</v>
      </c>
      <c r="F46" s="66">
        <v>22</v>
      </c>
      <c r="G46" s="864" t="s">
        <v>64</v>
      </c>
      <c r="H46" s="873" t="s">
        <v>1096</v>
      </c>
      <c r="I46" s="153"/>
      <c r="J46" s="841"/>
      <c r="K46" s="841"/>
      <c r="L46" s="167" t="str">
        <f>IFERROR(IF(I46="有",F46*入力シート!$T$46*入力シート!$H$14/1000,"0"),"")</f>
        <v>0</v>
      </c>
      <c r="M46" s="85"/>
      <c r="N46" s="48"/>
      <c r="O46" s="48"/>
      <c r="P46" s="48"/>
      <c r="Q46" s="524" t="str">
        <f t="shared" ca="1" si="2"/>
        <v/>
      </c>
    </row>
    <row r="47" spans="2:17" s="49" customFormat="1" ht="19.350000000000001" customHeight="1">
      <c r="B47" s="870"/>
      <c r="C47" s="849" t="s">
        <v>859</v>
      </c>
      <c r="D47" s="849"/>
      <c r="E47" s="75">
        <v>143</v>
      </c>
      <c r="F47" s="51">
        <v>18</v>
      </c>
      <c r="G47" s="864"/>
      <c r="H47" s="874"/>
      <c r="I47" s="153"/>
      <c r="J47" s="841"/>
      <c r="K47" s="841"/>
      <c r="L47" s="167" t="str">
        <f>IFERROR(IF(I47="有",F47*入力シート!$T$46*入力シート!$H$14/1000,"0"),"")</f>
        <v>0</v>
      </c>
      <c r="M47" s="85"/>
      <c r="N47" s="872" t="s">
        <v>759</v>
      </c>
      <c r="O47" s="872"/>
      <c r="P47" s="872"/>
      <c r="Q47" s="524" t="str">
        <f t="shared" ca="1" si="2"/>
        <v/>
      </c>
    </row>
    <row r="48" spans="2:17" s="49" customFormat="1" ht="19.350000000000001" customHeight="1">
      <c r="B48" s="870"/>
      <c r="C48" s="849" t="s">
        <v>96</v>
      </c>
      <c r="D48" s="849"/>
      <c r="E48" s="75">
        <v>143</v>
      </c>
      <c r="F48" s="51">
        <v>6</v>
      </c>
      <c r="G48" s="864"/>
      <c r="H48" s="874"/>
      <c r="I48" s="153"/>
      <c r="J48" s="841"/>
      <c r="K48" s="841"/>
      <c r="L48" s="167" t="str">
        <f>IFERROR(IF(I48="有",F48*入力シート!$T$46*入力シート!$H$14/1000,"0"),"")</f>
        <v>0</v>
      </c>
      <c r="M48" s="85"/>
      <c r="N48" s="48"/>
      <c r="O48" s="48"/>
      <c r="P48" s="69" t="e">
        <f>(SUM(L5:L9)+SUM(L14:L48)+SUM(L57:L61))/入力シート!$H$14*1000</f>
        <v>#VALUE!</v>
      </c>
      <c r="Q48" s="524" t="str">
        <f t="shared" ca="1" si="2"/>
        <v/>
      </c>
    </row>
    <row r="49" spans="2:17" s="49" customFormat="1" ht="19.350000000000001" customHeight="1">
      <c r="B49" s="835" t="s">
        <v>901</v>
      </c>
      <c r="C49" s="849" t="s">
        <v>860</v>
      </c>
      <c r="D49" s="849"/>
      <c r="E49" s="75">
        <v>144</v>
      </c>
      <c r="F49" s="551" t="s">
        <v>861</v>
      </c>
      <c r="G49" s="551" t="s">
        <v>65</v>
      </c>
      <c r="H49" s="850" t="s">
        <v>1096</v>
      </c>
      <c r="I49" s="153" t="s">
        <v>1104</v>
      </c>
      <c r="J49" s="841"/>
      <c r="K49" s="841"/>
      <c r="L49" s="191" t="str">
        <f ca="1">IFERROR(IF(I49="有",(入力シート!$T$47+$P$48)*入力シート!$H$14/1000*26/1000,"0"),"")</f>
        <v/>
      </c>
      <c r="M49" s="83"/>
      <c r="N49" s="48"/>
      <c r="O49" s="48"/>
      <c r="P49" s="48"/>
      <c r="Q49" s="524" t="str">
        <f t="shared" ca="1" si="2"/>
        <v/>
      </c>
    </row>
    <row r="50" spans="2:17" s="49" customFormat="1" ht="19.350000000000001" customHeight="1">
      <c r="B50" s="848"/>
      <c r="C50" s="849" t="s">
        <v>193</v>
      </c>
      <c r="D50" s="849"/>
      <c r="E50" s="75">
        <v>144</v>
      </c>
      <c r="F50" s="551" t="s">
        <v>862</v>
      </c>
      <c r="G50" s="551" t="s">
        <v>65</v>
      </c>
      <c r="H50" s="851"/>
      <c r="I50" s="153"/>
      <c r="J50" s="841"/>
      <c r="K50" s="841"/>
      <c r="L50" s="191" t="str">
        <f>IFERROR(IF(I50="有",(入力シート!$T$47+$P$48)*入力シート!$H$14/1000*19/1000,"0"),"")</f>
        <v>0</v>
      </c>
      <c r="M50" s="83"/>
      <c r="N50" s="48"/>
      <c r="O50" s="48"/>
      <c r="P50" s="48"/>
      <c r="Q50" s="524" t="str">
        <f t="shared" ca="1" si="2"/>
        <v/>
      </c>
    </row>
    <row r="51" spans="2:17" s="49" customFormat="1" ht="19.350000000000001" customHeight="1">
      <c r="B51" s="848"/>
      <c r="C51" s="849" t="s">
        <v>863</v>
      </c>
      <c r="D51" s="849"/>
      <c r="E51" s="75">
        <v>144</v>
      </c>
      <c r="F51" s="551" t="s">
        <v>833</v>
      </c>
      <c r="G51" s="551" t="s">
        <v>65</v>
      </c>
      <c r="H51" s="851"/>
      <c r="I51" s="153"/>
      <c r="J51" s="841"/>
      <c r="K51" s="841"/>
      <c r="L51" s="191" t="str">
        <f>IFERROR(IF(I51="有",(入力シート!$T$47+$P$48)*入力シート!$H$14/1000*10/1000,"0"),"")</f>
        <v>0</v>
      </c>
      <c r="M51" s="83"/>
      <c r="N51" s="48"/>
      <c r="O51" s="48"/>
      <c r="P51" s="48"/>
      <c r="Q51" s="524" t="str">
        <f t="shared" ca="1" si="2"/>
        <v/>
      </c>
    </row>
    <row r="52" spans="2:17" s="49" customFormat="1" ht="19.350000000000001" customHeight="1">
      <c r="B52" s="848"/>
      <c r="C52" s="849" t="str">
        <f ca="1">IF(入力シート!S2&lt;4,"介護職員処遇改善加算（Ⅳ）","")</f>
        <v>介護職員処遇改善加算（Ⅳ）</v>
      </c>
      <c r="D52" s="849"/>
      <c r="E52" s="75" t="str">
        <f ca="1">IF(入力シート!S2&lt;4,"P.144","")</f>
        <v>P.144</v>
      </c>
      <c r="F52" s="551" t="str">
        <f ca="1">IF(入力シート!S2&lt;4,"×10/1000×0.9","")</f>
        <v>×10/1000×0.9</v>
      </c>
      <c r="G52" s="551" t="str">
        <f ca="1">IF(入力シート!S2&lt;4,"月毎","")</f>
        <v>月毎</v>
      </c>
      <c r="H52" s="851"/>
      <c r="I52" s="153"/>
      <c r="J52" s="841"/>
      <c r="K52" s="841"/>
      <c r="L52" s="191" t="str">
        <f>IFERROR(IF(I52="有",(入力シート!$T$47+$P$48)*入力シート!$H$14/1000*9/1000,"0"),"")</f>
        <v>0</v>
      </c>
      <c r="M52" s="83"/>
      <c r="N52" s="48"/>
      <c r="O52" s="48"/>
      <c r="P52" s="48"/>
      <c r="Q52" s="524" t="str">
        <f t="shared" ca="1" si="2"/>
        <v/>
      </c>
    </row>
    <row r="53" spans="2:17" s="49" customFormat="1" ht="19.350000000000001" customHeight="1">
      <c r="B53" s="836"/>
      <c r="C53" s="849" t="str">
        <f ca="1">IF(入力シート!S2&lt;4,"介護職員処遇改善加算（Ⅴ）","")</f>
        <v>介護職員処遇改善加算（Ⅴ）</v>
      </c>
      <c r="D53" s="849"/>
      <c r="E53" s="75" t="str">
        <f ca="1">IF(入力シート!S2&lt;4,"P.144","")</f>
        <v>P.144</v>
      </c>
      <c r="F53" s="551" t="str">
        <f ca="1">IF(入力シート!S2&lt;4,"×10/1000×0.8","")</f>
        <v>×10/1000×0.8</v>
      </c>
      <c r="G53" s="551" t="str">
        <f ca="1">IF(入力シート!S2&lt;4,"月毎","")</f>
        <v>月毎</v>
      </c>
      <c r="H53" s="852"/>
      <c r="I53" s="153"/>
      <c r="J53" s="841"/>
      <c r="K53" s="841"/>
      <c r="L53" s="191" t="str">
        <f>IFERROR(IF(I53="有",(入力シート!$T$47+$P$48)*入力シート!$H$14/1000*8/1000,"0"),"")</f>
        <v>0</v>
      </c>
      <c r="M53" s="83"/>
      <c r="N53" s="48"/>
      <c r="O53" s="48"/>
      <c r="P53" s="48"/>
      <c r="Q53" s="524" t="str">
        <f t="shared" ca="1" si="2"/>
        <v/>
      </c>
    </row>
    <row r="54" spans="2:17" s="49" customFormat="1" ht="19.350000000000001" customHeight="1">
      <c r="B54" s="870" t="s">
        <v>899</v>
      </c>
      <c r="C54" s="849" t="s">
        <v>1009</v>
      </c>
      <c r="D54" s="849"/>
      <c r="E54" s="75">
        <v>146</v>
      </c>
      <c r="F54" s="383" t="s">
        <v>834</v>
      </c>
      <c r="G54" s="383" t="s">
        <v>65</v>
      </c>
      <c r="H54" s="70" t="str">
        <f ca="1">IF(AND(I54="有",OR(SUM(L49:L51)=0,I55="有")),"！算定不可！","")</f>
        <v/>
      </c>
      <c r="I54" s="153"/>
      <c r="J54" s="841"/>
      <c r="K54" s="841"/>
      <c r="L54" s="191" t="str">
        <f>IFERROR(IF(I54="有",(入力シート!$T$47+$P$48)*入力シート!$H$14/1000*15/1000,"0"),"")</f>
        <v>0</v>
      </c>
      <c r="M54" s="83"/>
      <c r="N54" s="48"/>
      <c r="O54" s="48"/>
      <c r="P54" s="48"/>
      <c r="Q54" s="524" t="str">
        <f t="shared" ca="1" si="2"/>
        <v/>
      </c>
    </row>
    <row r="55" spans="2:17" s="49" customFormat="1" ht="19.350000000000001" customHeight="1">
      <c r="B55" s="876"/>
      <c r="C55" s="877" t="s">
        <v>1010</v>
      </c>
      <c r="D55" s="877"/>
      <c r="E55" s="76">
        <v>146</v>
      </c>
      <c r="F55" s="385" t="s">
        <v>835</v>
      </c>
      <c r="G55" s="385" t="s">
        <v>65</v>
      </c>
      <c r="H55" s="71" t="str">
        <f ca="1">IF(AND(I55="有",OR(SUM(L49:L51)=0,I54="有")),"！算定不可！","")</f>
        <v/>
      </c>
      <c r="I55" s="154"/>
      <c r="J55" s="878"/>
      <c r="K55" s="878"/>
      <c r="L55" s="195" t="str">
        <f>IFERROR(IF(I55="有",(入力シート!$T$47+$P$48)*入力シート!$H$14/1000*11/1000,"0"),"")</f>
        <v>0</v>
      </c>
      <c r="M55" s="83"/>
      <c r="N55" s="48"/>
      <c r="O55" s="48"/>
      <c r="P55" s="48"/>
      <c r="Q55" s="524" t="str">
        <f t="shared" ca="1" si="2"/>
        <v/>
      </c>
    </row>
    <row r="56" spans="2:17" s="43" customFormat="1" ht="19.350000000000001" customHeight="1">
      <c r="B56" s="115" t="str">
        <f ca="1">IF(OR(H54="！算定不可！",H55="！算定不可！"),"↑（エラー）「介護職員等特定処遇改善加算」は「介護職員改善加算」の算定が条件です。また、介護職員等特定処遇改善加算（Ⅰ）、（Ⅱ）の同時算定はできません。","")</f>
        <v/>
      </c>
      <c r="C56" s="112"/>
      <c r="D56" s="112"/>
      <c r="E56" s="112"/>
      <c r="F56" s="112"/>
      <c r="G56" s="112"/>
      <c r="H56" s="112"/>
      <c r="I56" s="515"/>
      <c r="J56" s="430"/>
      <c r="K56" s="430"/>
      <c r="L56" s="430"/>
      <c r="M56" s="113"/>
      <c r="N56" s="113"/>
      <c r="O56" s="113"/>
      <c r="P56" s="114"/>
      <c r="Q56" s="526"/>
    </row>
    <row r="57" spans="2:17" s="43" customFormat="1" ht="19.350000000000001" customHeight="1">
      <c r="B57" s="116" t="s">
        <v>1060</v>
      </c>
      <c r="C57" s="853"/>
      <c r="D57" s="853"/>
      <c r="E57" s="117" t="s">
        <v>1068</v>
      </c>
      <c r="F57" s="118">
        <v>-5</v>
      </c>
      <c r="G57" s="119" t="s">
        <v>158</v>
      </c>
      <c r="H57" s="120"/>
      <c r="I57" s="156"/>
      <c r="J57" s="854"/>
      <c r="K57" s="854"/>
      <c r="L57" s="200" t="str">
        <f>IFERROR(IF(I57="有",F57*入力シート!$T$46*入力シート!$H$14/1000,"0"),"")</f>
        <v>0</v>
      </c>
      <c r="M57" s="84"/>
      <c r="N57" s="84"/>
      <c r="O57" s="84"/>
      <c r="Q57" s="524" t="str">
        <f t="shared" ca="1" si="2"/>
        <v/>
      </c>
    </row>
    <row r="58" spans="2:17" s="43" customFormat="1" ht="19.350000000000001" customHeight="1">
      <c r="B58" s="435" t="s">
        <v>900</v>
      </c>
      <c r="C58" s="844"/>
      <c r="D58" s="844"/>
      <c r="E58" s="75">
        <v>113</v>
      </c>
      <c r="F58" s="126">
        <v>-25</v>
      </c>
      <c r="G58" s="434" t="s">
        <v>158</v>
      </c>
      <c r="H58" s="127"/>
      <c r="I58" s="153"/>
      <c r="J58" s="845"/>
      <c r="K58" s="845"/>
      <c r="L58" s="167" t="str">
        <f>IFERROR(IF(I58="有",F58*入力シート!$T$46*入力シート!$H$14/1000,"0"),"")</f>
        <v>0</v>
      </c>
      <c r="M58" s="84"/>
      <c r="N58" s="84"/>
      <c r="O58" s="84"/>
      <c r="Q58" s="524" t="str">
        <f t="shared" ca="1" si="2"/>
        <v/>
      </c>
    </row>
    <row r="59" spans="2:17" s="43" customFormat="1" ht="19.350000000000001" customHeight="1">
      <c r="B59" s="435" t="s">
        <v>903</v>
      </c>
      <c r="C59" s="844"/>
      <c r="D59" s="844"/>
      <c r="E59" s="75">
        <v>113</v>
      </c>
      <c r="F59" s="126">
        <v>-25</v>
      </c>
      <c r="G59" s="434" t="s">
        <v>158</v>
      </c>
      <c r="H59" s="127"/>
      <c r="I59" s="153"/>
      <c r="J59" s="845"/>
      <c r="K59" s="845"/>
      <c r="L59" s="167" t="str">
        <f>IFERROR(IF(I59="有",F59*入力シート!$T$46*入力シート!$H$14/1000,"0"),"")</f>
        <v>0</v>
      </c>
      <c r="M59" s="84"/>
      <c r="N59" s="84"/>
      <c r="O59" s="84"/>
      <c r="Q59" s="524" t="str">
        <f t="shared" ca="1" si="2"/>
        <v/>
      </c>
    </row>
    <row r="60" spans="2:17" s="43" customFormat="1" ht="19.350000000000001" customHeight="1">
      <c r="B60" s="439" t="s">
        <v>905</v>
      </c>
      <c r="C60" s="846"/>
      <c r="D60" s="846"/>
      <c r="E60" s="453">
        <v>113</v>
      </c>
      <c r="F60" s="454">
        <v>-25</v>
      </c>
      <c r="G60" s="455" t="s">
        <v>158</v>
      </c>
      <c r="H60" s="456"/>
      <c r="I60" s="457"/>
      <c r="J60" s="847" t="s">
        <v>906</v>
      </c>
      <c r="K60" s="847"/>
      <c r="L60" s="458" t="str">
        <f>IFERROR(IF(I60="有",F60*入力シート!$T$46*入力シート!$H$14/1000,"0"),"")</f>
        <v>0</v>
      </c>
      <c r="M60" s="84"/>
      <c r="N60" s="84"/>
      <c r="O60" s="84"/>
      <c r="Q60" s="524" t="str">
        <f t="shared" ca="1" si="2"/>
        <v/>
      </c>
    </row>
    <row r="61" spans="2:17" s="43" customFormat="1" ht="19.350000000000001" customHeight="1">
      <c r="B61" s="436" t="str">
        <f ca="1">IF(入力シート!S2=5,"（減算）栄養ケア・マネジメントの未実施減算","")</f>
        <v/>
      </c>
      <c r="C61" s="855"/>
      <c r="D61" s="855"/>
      <c r="E61" s="76" t="s">
        <v>1068</v>
      </c>
      <c r="F61" s="491" t="str">
        <f ca="1">IF(入力シート!S2=5,-14,"")</f>
        <v/>
      </c>
      <c r="G61" s="56" t="str">
        <f ca="1">IF(入力シート!S2=5,"日毎","")</f>
        <v/>
      </c>
      <c r="H61" s="492"/>
      <c r="I61" s="154"/>
      <c r="J61" s="875"/>
      <c r="K61" s="875"/>
      <c r="L61" s="175" t="str">
        <f>IFERROR(IF(I61="有",F61*入力シート!$T$46*入力シート!$H$14/1000,""),"")</f>
        <v/>
      </c>
      <c r="M61" s="84"/>
      <c r="N61" s="84"/>
      <c r="O61" s="84"/>
      <c r="Q61" s="524" t="str">
        <f t="shared" ca="1" si="2"/>
        <v/>
      </c>
    </row>
    <row r="62" spans="2:17" s="49" customFormat="1" ht="17.45" customHeight="1">
      <c r="B62" s="881" t="str">
        <f>IF(AND(I58="有",OR(I6="有",I7="有",I8="有",I5="有")),"（エラー）夜勤体制減算を算定している場合、夜間勤務等看護加算等は算定できません","")</f>
        <v/>
      </c>
      <c r="C62" s="881"/>
      <c r="D62" s="881"/>
      <c r="E62" s="881"/>
      <c r="F62" s="881"/>
      <c r="G62" s="881"/>
      <c r="H62" s="881"/>
      <c r="I62" s="516"/>
      <c r="J62" s="161"/>
      <c r="K62" s="161"/>
      <c r="L62" s="215"/>
      <c r="M62" s="215"/>
      <c r="N62" s="193"/>
      <c r="O62" s="193"/>
      <c r="P62" s="193"/>
      <c r="Q62" s="523"/>
    </row>
    <row r="63" spans="2:17" s="49" customFormat="1" ht="19.350000000000001" customHeight="1">
      <c r="B63" s="161"/>
      <c r="C63" s="161"/>
      <c r="D63" s="161"/>
      <c r="E63" s="161"/>
      <c r="F63" s="161"/>
      <c r="G63" s="161"/>
      <c r="H63" s="161"/>
      <c r="I63" s="517"/>
      <c r="J63" s="882" t="s">
        <v>1015</v>
      </c>
      <c r="K63" s="882"/>
      <c r="L63" s="882"/>
      <c r="M63" s="422"/>
      <c r="N63" s="193"/>
      <c r="O63" s="193"/>
      <c r="P63" s="193"/>
      <c r="Q63" s="523"/>
    </row>
    <row r="64" spans="2:17" s="49" customFormat="1" ht="25.35" customHeight="1">
      <c r="B64" s="883" t="str">
        <f>HYPERLINK("#'入力シート'!A49","特別診療費を入力しない場合はこちらをクリックしてください")</f>
        <v>特別診療費を入力しない場合はこちらをクリックしてください</v>
      </c>
      <c r="C64" s="884"/>
      <c r="D64" s="884"/>
      <c r="E64" s="884"/>
      <c r="F64" s="884"/>
      <c r="G64" s="884"/>
      <c r="H64" s="161"/>
      <c r="I64" s="518"/>
      <c r="J64" s="885">
        <f ca="1">IFERROR(SUM(L5:L61),"")</f>
        <v>0</v>
      </c>
      <c r="K64" s="885"/>
      <c r="L64" s="885"/>
      <c r="M64" s="424"/>
      <c r="N64" s="193"/>
      <c r="O64" s="193"/>
      <c r="P64" s="193"/>
      <c r="Q64" s="523"/>
    </row>
    <row r="65" spans="2:17" ht="19.350000000000001" customHeight="1">
      <c r="B65" s="138"/>
      <c r="C65" s="138"/>
      <c r="D65" s="138"/>
      <c r="E65" s="138"/>
      <c r="F65" s="138"/>
      <c r="G65" s="138"/>
      <c r="H65" s="138"/>
      <c r="J65" s="886" t="s">
        <v>1014</v>
      </c>
      <c r="K65" s="886"/>
      <c r="L65" s="886"/>
      <c r="M65" s="138"/>
      <c r="N65" s="145"/>
      <c r="O65" s="145"/>
      <c r="P65" s="145"/>
    </row>
    <row r="66" spans="2:17" ht="19.350000000000001" customHeight="1">
      <c r="B66" s="887" t="s">
        <v>762</v>
      </c>
      <c r="C66" s="887"/>
      <c r="D66" s="887"/>
      <c r="E66" s="162"/>
      <c r="F66" s="162"/>
      <c r="G66" s="162"/>
      <c r="H66" s="162"/>
      <c r="I66" s="519"/>
      <c r="J66" s="162"/>
      <c r="K66" s="162"/>
      <c r="L66" s="162"/>
      <c r="M66" s="162"/>
      <c r="N66" s="425"/>
      <c r="O66" s="145"/>
      <c r="P66" s="145"/>
    </row>
    <row r="67" spans="2:17" ht="19.350000000000001" customHeight="1">
      <c r="B67" s="879" t="s">
        <v>748</v>
      </c>
      <c r="C67" s="879"/>
      <c r="D67" s="879"/>
      <c r="E67" s="161"/>
      <c r="F67" s="161"/>
      <c r="G67" s="161"/>
      <c r="H67" s="205"/>
      <c r="I67" s="520"/>
      <c r="J67" s="880" t="s">
        <v>749</v>
      </c>
      <c r="K67" s="880"/>
      <c r="L67" s="880"/>
      <c r="M67" s="206"/>
      <c r="N67" s="145"/>
      <c r="O67" s="145"/>
      <c r="P67" s="145"/>
    </row>
    <row r="68" spans="2:17" ht="37.5">
      <c r="B68" s="110" t="s">
        <v>172</v>
      </c>
      <c r="C68" s="860" t="s">
        <v>173</v>
      </c>
      <c r="D68" s="860"/>
      <c r="E68" s="82" t="s">
        <v>831</v>
      </c>
      <c r="F68" s="386" t="s">
        <v>63</v>
      </c>
      <c r="G68" s="110" t="s">
        <v>160</v>
      </c>
      <c r="H68" s="72"/>
      <c r="I68" s="512" t="s">
        <v>66</v>
      </c>
      <c r="J68" s="862" t="s">
        <v>850</v>
      </c>
      <c r="K68" s="863"/>
      <c r="L68" s="207" t="s">
        <v>994</v>
      </c>
      <c r="M68" s="87"/>
      <c r="N68" s="46"/>
      <c r="O68" s="46"/>
      <c r="P68" s="46"/>
      <c r="Q68" s="512" t="s">
        <v>66</v>
      </c>
    </row>
    <row r="69" spans="2:17" ht="19.350000000000001" customHeight="1">
      <c r="B69" s="379" t="s">
        <v>166</v>
      </c>
      <c r="C69" s="842"/>
      <c r="D69" s="842"/>
      <c r="E69" s="75">
        <v>148</v>
      </c>
      <c r="F69" s="51">
        <v>6</v>
      </c>
      <c r="G69" s="384" t="s">
        <v>158</v>
      </c>
      <c r="H69" s="73"/>
      <c r="I69" s="158"/>
      <c r="J69" s="841"/>
      <c r="K69" s="841"/>
      <c r="L69" s="167" t="str">
        <f>IFERROR(IF(I69="有",F69*入力シート!$T$46*入力シート!$H$14/1000,"0"),"")</f>
        <v>0</v>
      </c>
      <c r="M69" s="85"/>
      <c r="N69" s="46"/>
      <c r="O69" s="46"/>
      <c r="P69" s="46"/>
      <c r="Q69" s="524" t="str">
        <f ca="1">IFERROR(IF(INDEX(INDIRECT($Q$3),ROW())="有","有",""),"")</f>
        <v/>
      </c>
    </row>
    <row r="70" spans="2:17" ht="19.350000000000001" customHeight="1">
      <c r="B70" s="835" t="s">
        <v>167</v>
      </c>
      <c r="C70" s="843" t="s">
        <v>1054</v>
      </c>
      <c r="D70" s="843"/>
      <c r="E70" s="75">
        <v>149</v>
      </c>
      <c r="F70" s="51">
        <v>6</v>
      </c>
      <c r="G70" s="384" t="s">
        <v>158</v>
      </c>
      <c r="H70" s="73"/>
      <c r="I70" s="153"/>
      <c r="J70" s="841"/>
      <c r="K70" s="841"/>
      <c r="L70" s="167" t="str">
        <f>IFERROR(IF(I70="有",F70*入力シート!$T$46*入力シート!$H$14/1000,"0"),"")</f>
        <v>0</v>
      </c>
      <c r="M70" s="85"/>
      <c r="N70" s="46"/>
      <c r="O70" s="46"/>
      <c r="P70" s="46"/>
      <c r="Q70" s="524" t="str">
        <f t="shared" ref="Q70:Q100" ca="1" si="3">IFERROR(IF(INDEX(INDIRECT($Q$3),ROW())="有","有",""),"")</f>
        <v/>
      </c>
    </row>
    <row r="71" spans="2:17" ht="19.350000000000001" customHeight="1">
      <c r="B71" s="836"/>
      <c r="C71" s="843" t="s">
        <v>1055</v>
      </c>
      <c r="D71" s="843"/>
      <c r="E71" s="75" t="s">
        <v>1068</v>
      </c>
      <c r="F71" s="51">
        <v>10</v>
      </c>
      <c r="G71" s="434" t="s">
        <v>65</v>
      </c>
      <c r="H71" s="73"/>
      <c r="I71" s="153"/>
      <c r="J71" s="268"/>
      <c r="K71" s="271" t="s">
        <v>206</v>
      </c>
      <c r="L71" s="167" t="str">
        <f>IFERROR(IF(I71="有",F71*J71*入力シート!$H$14/1000,"0"),"")</f>
        <v>0</v>
      </c>
      <c r="M71" s="85"/>
      <c r="N71" s="46"/>
      <c r="O71" s="46"/>
      <c r="P71" s="46"/>
      <c r="Q71" s="524" t="str">
        <f t="shared" ca="1" si="3"/>
        <v/>
      </c>
    </row>
    <row r="72" spans="2:17" ht="19.350000000000001" customHeight="1">
      <c r="B72" s="550" t="s">
        <v>168</v>
      </c>
      <c r="C72" s="842"/>
      <c r="D72" s="842"/>
      <c r="E72" s="75">
        <v>150</v>
      </c>
      <c r="F72" s="51">
        <v>250</v>
      </c>
      <c r="G72" s="384" t="s">
        <v>159</v>
      </c>
      <c r="H72" s="73"/>
      <c r="I72" s="153"/>
      <c r="J72" s="268"/>
      <c r="K72" s="271" t="s">
        <v>159</v>
      </c>
      <c r="L72" s="167" t="str">
        <f>IFERROR(IF(I72="有",F72*J72*入力シート!$H$14/1000,"0"),"")</f>
        <v>0</v>
      </c>
      <c r="M72" s="85"/>
      <c r="N72" s="46"/>
      <c r="O72" s="46"/>
      <c r="P72" s="46"/>
      <c r="Q72" s="524" t="str">
        <f t="shared" ca="1" si="3"/>
        <v/>
      </c>
    </row>
    <row r="73" spans="2:17" ht="19.350000000000001" customHeight="1">
      <c r="B73" s="550" t="s">
        <v>169</v>
      </c>
      <c r="C73" s="842"/>
      <c r="D73" s="842"/>
      <c r="E73" s="80">
        <v>151</v>
      </c>
      <c r="F73" s="51">
        <v>125</v>
      </c>
      <c r="G73" s="384" t="s">
        <v>158</v>
      </c>
      <c r="H73" s="73"/>
      <c r="I73" s="153"/>
      <c r="J73" s="268"/>
      <c r="K73" s="271" t="s">
        <v>206</v>
      </c>
      <c r="L73" s="167" t="str">
        <f>IFERROR(IF(I73="有",F73*J73*入力シート!$H$14/1000,"0"),"")</f>
        <v>0</v>
      </c>
      <c r="M73" s="85"/>
      <c r="N73" s="46"/>
      <c r="O73" s="46"/>
      <c r="P73" s="46"/>
      <c r="Q73" s="524" t="str">
        <f t="shared" ca="1" si="3"/>
        <v/>
      </c>
    </row>
    <row r="74" spans="2:17" ht="19.350000000000001" customHeight="1">
      <c r="B74" s="835" t="s">
        <v>170</v>
      </c>
      <c r="C74" s="842"/>
      <c r="D74" s="842"/>
      <c r="E74" s="80">
        <v>152</v>
      </c>
      <c r="F74" s="51">
        <v>250</v>
      </c>
      <c r="G74" s="384" t="s">
        <v>158</v>
      </c>
      <c r="H74" s="53"/>
      <c r="I74" s="153"/>
      <c r="J74" s="268"/>
      <c r="K74" s="271" t="s">
        <v>206</v>
      </c>
      <c r="L74" s="167" t="str">
        <f>IFERROR(IF(I74="有",F74*J74*入力シート!$H$14/1000,"0"),"")</f>
        <v>0</v>
      </c>
      <c r="M74" s="85"/>
      <c r="N74" s="46"/>
      <c r="O74" s="46"/>
      <c r="P74" s="46"/>
      <c r="Q74" s="524" t="str">
        <f t="shared" ca="1" si="3"/>
        <v/>
      </c>
    </row>
    <row r="75" spans="2:17" ht="19.350000000000001" customHeight="1">
      <c r="B75" s="848"/>
      <c r="C75" s="843" t="s">
        <v>956</v>
      </c>
      <c r="D75" s="843"/>
      <c r="E75" s="80">
        <v>152</v>
      </c>
      <c r="F75" s="51">
        <v>300</v>
      </c>
      <c r="G75" s="384" t="s">
        <v>158</v>
      </c>
      <c r="H75" s="74" t="str">
        <f>IF(I75="有",IF(I74="有","","！算定不可！"),"")</f>
        <v/>
      </c>
      <c r="I75" s="153"/>
      <c r="J75" s="268"/>
      <c r="K75" s="271" t="s">
        <v>206</v>
      </c>
      <c r="L75" s="167" t="str">
        <f>IFERROR(IF(I75="有",F75*J75*入力シート!$H$14/1000,"0"),"")</f>
        <v>0</v>
      </c>
      <c r="M75" s="85"/>
      <c r="N75" s="46"/>
      <c r="O75" s="46"/>
      <c r="P75" s="46"/>
      <c r="Q75" s="524" t="str">
        <f t="shared" ca="1" si="3"/>
        <v/>
      </c>
    </row>
    <row r="76" spans="2:17" ht="19.350000000000001" customHeight="1">
      <c r="B76" s="836"/>
      <c r="C76" s="843" t="s">
        <v>957</v>
      </c>
      <c r="D76" s="843"/>
      <c r="E76" s="80">
        <v>152</v>
      </c>
      <c r="F76" s="51">
        <v>150</v>
      </c>
      <c r="G76" s="384" t="s">
        <v>158</v>
      </c>
      <c r="H76" s="74" t="str">
        <f>IF(I76="有",IF(I74="有","","！算定不可！"),"")</f>
        <v/>
      </c>
      <c r="I76" s="153"/>
      <c r="J76" s="268"/>
      <c r="K76" s="271" t="s">
        <v>206</v>
      </c>
      <c r="L76" s="167" t="str">
        <f>IFERROR(IF(I76="有",F76*J76*入力シート!$H$14/1000,"0"),"")</f>
        <v>0</v>
      </c>
      <c r="M76" s="85"/>
      <c r="N76" s="46"/>
      <c r="O76" s="46"/>
      <c r="P76" s="46"/>
      <c r="Q76" s="524" t="str">
        <f t="shared" ca="1" si="3"/>
        <v/>
      </c>
    </row>
    <row r="77" spans="2:17" ht="19.350000000000001" customHeight="1">
      <c r="B77" s="550" t="s">
        <v>171</v>
      </c>
      <c r="C77" s="842"/>
      <c r="D77" s="842"/>
      <c r="E77" s="80">
        <v>153</v>
      </c>
      <c r="F77" s="51">
        <v>18</v>
      </c>
      <c r="G77" s="384" t="s">
        <v>158</v>
      </c>
      <c r="H77" s="53"/>
      <c r="I77" s="153"/>
      <c r="J77" s="268"/>
      <c r="K77" s="271" t="s">
        <v>206</v>
      </c>
      <c r="L77" s="167" t="str">
        <f>IFERROR(IF(I77="有",F77*J77*入力シート!$H$14/1000,"0"),"")</f>
        <v>0</v>
      </c>
      <c r="M77" s="85"/>
      <c r="N77" s="46"/>
      <c r="O77" s="46"/>
      <c r="P77" s="46"/>
      <c r="Q77" s="524" t="str">
        <f t="shared" ca="1" si="3"/>
        <v/>
      </c>
    </row>
    <row r="78" spans="2:17" ht="19.350000000000001" customHeight="1">
      <c r="B78" s="870" t="s">
        <v>191</v>
      </c>
      <c r="C78" s="842"/>
      <c r="D78" s="842"/>
      <c r="E78" s="80">
        <v>154</v>
      </c>
      <c r="F78" s="51">
        <v>350</v>
      </c>
      <c r="G78" s="384" t="s">
        <v>159</v>
      </c>
      <c r="H78" s="53"/>
      <c r="I78" s="153"/>
      <c r="J78" s="268"/>
      <c r="K78" s="271" t="s">
        <v>206</v>
      </c>
      <c r="L78" s="167" t="str">
        <f>IFERROR(IF(I78="有",F78*J78*入力シート!$H$14/1000,"0"),"")</f>
        <v>0</v>
      </c>
      <c r="M78" s="85"/>
      <c r="N78" s="46"/>
      <c r="O78" s="46"/>
      <c r="P78" s="46"/>
      <c r="Q78" s="524" t="str">
        <f t="shared" ca="1" si="3"/>
        <v/>
      </c>
    </row>
    <row r="79" spans="2:17" ht="19.350000000000001" customHeight="1">
      <c r="B79" s="870"/>
      <c r="C79" s="888" t="s">
        <v>1042</v>
      </c>
      <c r="D79" s="888"/>
      <c r="E79" s="80" t="s">
        <v>1068</v>
      </c>
      <c r="F79" s="51">
        <v>20</v>
      </c>
      <c r="G79" s="433" t="s">
        <v>65</v>
      </c>
      <c r="H79" s="53"/>
      <c r="I79" s="153"/>
      <c r="J79" s="268"/>
      <c r="K79" s="271" t="s">
        <v>206</v>
      </c>
      <c r="L79" s="167" t="str">
        <f>IFERROR(IF(I79="有",F79*J79*入力シート!$H$14/1000,"0"),"")</f>
        <v>0</v>
      </c>
      <c r="M79" s="85"/>
      <c r="N79" s="46"/>
      <c r="O79" s="46"/>
      <c r="P79" s="46"/>
      <c r="Q79" s="524" t="str">
        <f t="shared" ca="1" si="3"/>
        <v/>
      </c>
    </row>
    <row r="80" spans="2:17" ht="19.350000000000001" customHeight="1">
      <c r="B80" s="870"/>
      <c r="C80" s="888" t="s">
        <v>176</v>
      </c>
      <c r="D80" s="888"/>
      <c r="E80" s="80">
        <v>154</v>
      </c>
      <c r="F80" s="51">
        <v>50</v>
      </c>
      <c r="G80" s="384" t="s">
        <v>159</v>
      </c>
      <c r="H80" s="53"/>
      <c r="I80" s="153"/>
      <c r="J80" s="268"/>
      <c r="K80" s="271" t="s">
        <v>159</v>
      </c>
      <c r="L80" s="167" t="str">
        <f>IFERROR(IF(I80="有",F80*J80*入力シート!$H$14/1000,"0"),"")</f>
        <v>0</v>
      </c>
      <c r="M80" s="85"/>
      <c r="N80" s="46"/>
      <c r="O80" s="46"/>
      <c r="P80" s="46"/>
      <c r="Q80" s="524" t="str">
        <f t="shared" ca="1" si="3"/>
        <v/>
      </c>
    </row>
    <row r="81" spans="2:17" ht="19.350000000000001" customHeight="1">
      <c r="B81" s="870" t="s">
        <v>814</v>
      </c>
      <c r="C81" s="889" t="s">
        <v>174</v>
      </c>
      <c r="D81" s="889"/>
      <c r="E81" s="80">
        <v>156</v>
      </c>
      <c r="F81" s="51">
        <v>220</v>
      </c>
      <c r="G81" s="384" t="s">
        <v>159</v>
      </c>
      <c r="H81" s="53"/>
      <c r="I81" s="153"/>
      <c r="J81" s="268"/>
      <c r="K81" s="271" t="s">
        <v>206</v>
      </c>
      <c r="L81" s="167" t="str">
        <f>IFERROR(IF(I81="有",F81*J81*入力シート!$H$14/1000,"0"),"")</f>
        <v>0</v>
      </c>
      <c r="M81" s="85"/>
      <c r="N81" s="46"/>
      <c r="O81" s="46"/>
      <c r="P81" s="46"/>
      <c r="Q81" s="524" t="str">
        <f t="shared" ca="1" si="3"/>
        <v/>
      </c>
    </row>
    <row r="82" spans="2:17" ht="19.350000000000001" customHeight="1">
      <c r="B82" s="870"/>
      <c r="C82" s="889" t="s">
        <v>175</v>
      </c>
      <c r="D82" s="889"/>
      <c r="E82" s="80">
        <v>156</v>
      </c>
      <c r="F82" s="51">
        <v>290</v>
      </c>
      <c r="G82" s="384" t="s">
        <v>159</v>
      </c>
      <c r="H82" s="53"/>
      <c r="I82" s="153"/>
      <c r="J82" s="268"/>
      <c r="K82" s="271" t="s">
        <v>206</v>
      </c>
      <c r="L82" s="167" t="str">
        <f>IFERROR(IF(I82="有",F82*J82*入力シート!$H$14/1000,"0"),"")</f>
        <v>0</v>
      </c>
      <c r="M82" s="85"/>
      <c r="N82" s="46"/>
      <c r="O82" s="46"/>
      <c r="P82" s="46"/>
      <c r="Q82" s="524" t="str">
        <f t="shared" ca="1" si="3"/>
        <v/>
      </c>
    </row>
    <row r="83" spans="2:17" ht="19.350000000000001" customHeight="1">
      <c r="B83" s="870" t="s">
        <v>177</v>
      </c>
      <c r="C83" s="889" t="s">
        <v>178</v>
      </c>
      <c r="D83" s="889"/>
      <c r="E83" s="80">
        <v>158</v>
      </c>
      <c r="F83" s="66">
        <v>123</v>
      </c>
      <c r="G83" s="384" t="s">
        <v>159</v>
      </c>
      <c r="H83" s="53"/>
      <c r="I83" s="153"/>
      <c r="J83" s="268"/>
      <c r="K83" s="271" t="s">
        <v>159</v>
      </c>
      <c r="L83" s="167" t="str">
        <f>IFERROR(IF(I83="有",F83*J83*入力シート!$H$14/1000,"0"),"")</f>
        <v>0</v>
      </c>
      <c r="M83" s="85"/>
      <c r="N83" s="46"/>
      <c r="O83" s="46"/>
      <c r="P83" s="46"/>
      <c r="Q83" s="524" t="str">
        <f t="shared" ca="1" si="3"/>
        <v/>
      </c>
    </row>
    <row r="84" spans="2:17" ht="19.350000000000001" customHeight="1">
      <c r="B84" s="870"/>
      <c r="C84" s="889" t="s">
        <v>180</v>
      </c>
      <c r="D84" s="889"/>
      <c r="E84" s="80">
        <v>161</v>
      </c>
      <c r="F84" s="66">
        <v>480</v>
      </c>
      <c r="G84" s="384" t="s">
        <v>159</v>
      </c>
      <c r="H84" s="74" t="str">
        <f>IF(I84="有",IF(I83="有","","！算定不可！"),"")</f>
        <v/>
      </c>
      <c r="I84" s="153"/>
      <c r="J84" s="268"/>
      <c r="K84" s="271" t="s">
        <v>159</v>
      </c>
      <c r="L84" s="167" t="str">
        <f>IFERROR(IF(I84="有",F84*J84*入力シート!$H$14/1000,"0"),"")</f>
        <v>0</v>
      </c>
      <c r="M84" s="85"/>
      <c r="N84" s="46"/>
      <c r="O84" s="46"/>
      <c r="P84" s="46"/>
      <c r="Q84" s="524" t="str">
        <f t="shared" ca="1" si="3"/>
        <v/>
      </c>
    </row>
    <row r="85" spans="2:17" ht="19.350000000000001" customHeight="1">
      <c r="B85" s="870"/>
      <c r="C85" s="889" t="s">
        <v>181</v>
      </c>
      <c r="D85" s="889"/>
      <c r="E85" s="80">
        <v>161</v>
      </c>
      <c r="F85" s="66">
        <v>300</v>
      </c>
      <c r="G85" s="384" t="s">
        <v>65</v>
      </c>
      <c r="H85" s="74" t="str">
        <f>IF(I85="有",IF(I83="有","","！算定不可！"),"")</f>
        <v/>
      </c>
      <c r="I85" s="153"/>
      <c r="J85" s="268"/>
      <c r="K85" s="271" t="s">
        <v>159</v>
      </c>
      <c r="L85" s="167" t="str">
        <f>IFERROR(IF(I85="有",F85*J85*入力シート!$H$14/1000,"0"),"")</f>
        <v>0</v>
      </c>
      <c r="M85" s="85"/>
      <c r="N85" s="46"/>
      <c r="O85" s="46"/>
      <c r="P85" s="46"/>
      <c r="Q85" s="524" t="str">
        <f t="shared" ca="1" si="3"/>
        <v/>
      </c>
    </row>
    <row r="86" spans="2:17" ht="19.350000000000001" customHeight="1">
      <c r="B86" s="870"/>
      <c r="C86" s="889" t="s">
        <v>182</v>
      </c>
      <c r="D86" s="889"/>
      <c r="E86" s="80">
        <v>161</v>
      </c>
      <c r="F86" s="66">
        <v>35</v>
      </c>
      <c r="G86" s="384" t="s">
        <v>159</v>
      </c>
      <c r="H86" s="74" t="str">
        <f>IF(I86="有",IF(I83="有","","！算定不可！"),"")</f>
        <v/>
      </c>
      <c r="I86" s="153"/>
      <c r="J86" s="268"/>
      <c r="K86" s="271" t="s">
        <v>159</v>
      </c>
      <c r="L86" s="167" t="str">
        <f>IFERROR(IF(I86="有",F86*J86*入力シート!$H$14/1000,"0"),"")</f>
        <v>0</v>
      </c>
      <c r="M86" s="85"/>
      <c r="N86" s="46"/>
      <c r="O86" s="46"/>
      <c r="P86" s="46"/>
      <c r="Q86" s="524" t="str">
        <f t="shared" ca="1" si="3"/>
        <v/>
      </c>
    </row>
    <row r="87" spans="2:17" ht="19.350000000000001" customHeight="1">
      <c r="B87" s="870"/>
      <c r="C87" s="889" t="s">
        <v>179</v>
      </c>
      <c r="D87" s="889"/>
      <c r="E87" s="80">
        <v>158</v>
      </c>
      <c r="F87" s="66">
        <v>73</v>
      </c>
      <c r="G87" s="384" t="s">
        <v>159</v>
      </c>
      <c r="H87" s="53"/>
      <c r="I87" s="153"/>
      <c r="J87" s="268"/>
      <c r="K87" s="271" t="s">
        <v>159</v>
      </c>
      <c r="L87" s="167" t="str">
        <f>IFERROR(IF(I87="有",F87*J87*入力シート!$H$14/1000,"0"),"")</f>
        <v>0</v>
      </c>
      <c r="M87" s="85"/>
      <c r="N87" s="46"/>
      <c r="O87" s="46"/>
      <c r="P87" s="46"/>
      <c r="Q87" s="524" t="str">
        <f t="shared" ca="1" si="3"/>
        <v/>
      </c>
    </row>
    <row r="88" spans="2:17" ht="19.350000000000001" customHeight="1">
      <c r="B88" s="870" t="s">
        <v>183</v>
      </c>
      <c r="C88" s="842"/>
      <c r="D88" s="842"/>
      <c r="E88" s="80">
        <v>160</v>
      </c>
      <c r="F88" s="66">
        <v>123</v>
      </c>
      <c r="G88" s="384" t="s">
        <v>159</v>
      </c>
      <c r="H88" s="53"/>
      <c r="I88" s="153"/>
      <c r="J88" s="268"/>
      <c r="K88" s="271" t="s">
        <v>159</v>
      </c>
      <c r="L88" s="167" t="str">
        <f>IFERROR(IF(I88="有",F88*J88*入力シート!$H$14/1000,"0"),"")</f>
        <v>0</v>
      </c>
      <c r="M88" s="85"/>
      <c r="N88" s="46"/>
      <c r="O88" s="46"/>
      <c r="P88" s="46"/>
      <c r="Q88" s="524" t="str">
        <f t="shared" ca="1" si="3"/>
        <v/>
      </c>
    </row>
    <row r="89" spans="2:17" ht="19.350000000000001" customHeight="1">
      <c r="B89" s="870"/>
      <c r="C89" s="889" t="s">
        <v>180</v>
      </c>
      <c r="D89" s="889"/>
      <c r="E89" s="80">
        <v>161</v>
      </c>
      <c r="F89" s="66">
        <v>480</v>
      </c>
      <c r="G89" s="384" t="s">
        <v>159</v>
      </c>
      <c r="H89" s="53" t="str">
        <f>IF(I89="有",IF(I88="有","","！算定不可！"),"")</f>
        <v/>
      </c>
      <c r="I89" s="153"/>
      <c r="J89" s="268"/>
      <c r="K89" s="271" t="s">
        <v>159</v>
      </c>
      <c r="L89" s="167" t="str">
        <f>IFERROR(IF(I89="有",F89*J89*入力シート!$H$14/1000,"0"),"")</f>
        <v>0</v>
      </c>
      <c r="M89" s="85"/>
      <c r="N89" s="46"/>
      <c r="O89" s="46"/>
      <c r="P89" s="46"/>
      <c r="Q89" s="524" t="str">
        <f t="shared" ca="1" si="3"/>
        <v/>
      </c>
    </row>
    <row r="90" spans="2:17" ht="19.350000000000001" customHeight="1">
      <c r="B90" s="870"/>
      <c r="C90" s="889" t="s">
        <v>181</v>
      </c>
      <c r="D90" s="889"/>
      <c r="E90" s="80">
        <v>161</v>
      </c>
      <c r="F90" s="66">
        <v>300</v>
      </c>
      <c r="G90" s="384" t="s">
        <v>65</v>
      </c>
      <c r="H90" s="53" t="str">
        <f>IF(I90="有",IF(I88="有","","！算定不可！"),"")</f>
        <v/>
      </c>
      <c r="I90" s="153"/>
      <c r="J90" s="268"/>
      <c r="K90" s="271" t="s">
        <v>159</v>
      </c>
      <c r="L90" s="167" t="str">
        <f>IFERROR(IF(I90="有",F90*J90*入力シート!$H$14/1000,"0"),"")</f>
        <v>0</v>
      </c>
      <c r="M90" s="85"/>
      <c r="N90" s="46"/>
      <c r="O90" s="46"/>
      <c r="P90" s="46"/>
      <c r="Q90" s="524" t="str">
        <f t="shared" ca="1" si="3"/>
        <v/>
      </c>
    </row>
    <row r="91" spans="2:17" ht="19.350000000000001" customHeight="1">
      <c r="B91" s="870"/>
      <c r="C91" s="889" t="s">
        <v>182</v>
      </c>
      <c r="D91" s="889"/>
      <c r="E91" s="80">
        <v>161</v>
      </c>
      <c r="F91" s="66">
        <v>35</v>
      </c>
      <c r="G91" s="384" t="s">
        <v>159</v>
      </c>
      <c r="H91" s="53" t="str">
        <f>IF(I91="有",IF(I88="有","","！算定不可！"),"")</f>
        <v/>
      </c>
      <c r="I91" s="153"/>
      <c r="J91" s="268"/>
      <c r="K91" s="271" t="s">
        <v>159</v>
      </c>
      <c r="L91" s="167" t="str">
        <f>IFERROR(IF(I91="有",F91*J91*入力シート!$H$14/1000,"0"),"")</f>
        <v>0</v>
      </c>
      <c r="M91" s="85"/>
      <c r="N91" s="46"/>
      <c r="O91" s="46"/>
      <c r="P91" s="46"/>
      <c r="Q91" s="524" t="str">
        <f t="shared" ca="1" si="3"/>
        <v/>
      </c>
    </row>
    <row r="92" spans="2:17" ht="19.350000000000001" customHeight="1">
      <c r="B92" s="870" t="s">
        <v>184</v>
      </c>
      <c r="C92" s="842"/>
      <c r="D92" s="842"/>
      <c r="E92" s="80">
        <v>162</v>
      </c>
      <c r="F92" s="66">
        <v>203</v>
      </c>
      <c r="G92" s="384" t="s">
        <v>159</v>
      </c>
      <c r="H92" s="53"/>
      <c r="I92" s="153"/>
      <c r="J92" s="268"/>
      <c r="K92" s="271" t="s">
        <v>159</v>
      </c>
      <c r="L92" s="167" t="str">
        <f>IFERROR(IF(I92="有",F92*J92*入力シート!$H$14/1000,"0"),"")</f>
        <v>0</v>
      </c>
      <c r="M92" s="85"/>
      <c r="N92" s="46"/>
      <c r="O92" s="46"/>
      <c r="P92" s="46"/>
      <c r="Q92" s="524" t="str">
        <f t="shared" ca="1" si="3"/>
        <v/>
      </c>
    </row>
    <row r="93" spans="2:17" ht="19.350000000000001" customHeight="1">
      <c r="B93" s="870"/>
      <c r="C93" s="889" t="s">
        <v>182</v>
      </c>
      <c r="D93" s="889"/>
      <c r="E93" s="80">
        <v>162</v>
      </c>
      <c r="F93" s="66">
        <v>35</v>
      </c>
      <c r="G93" s="384" t="s">
        <v>159</v>
      </c>
      <c r="H93" s="53" t="str">
        <f>IF(I93="有",IF(I92="有","","！算定不可！"),"")</f>
        <v/>
      </c>
      <c r="I93" s="153"/>
      <c r="J93" s="268"/>
      <c r="K93" s="271" t="s">
        <v>159</v>
      </c>
      <c r="L93" s="167" t="str">
        <f>IFERROR(IF(I93="有",F93*J93*入力シート!$H$14/1000,"0"),"")</f>
        <v>0</v>
      </c>
      <c r="M93" s="85"/>
      <c r="N93" s="46"/>
      <c r="O93" s="46"/>
      <c r="P93" s="46"/>
      <c r="Q93" s="524" t="str">
        <f t="shared" ca="1" si="3"/>
        <v/>
      </c>
    </row>
    <row r="94" spans="2:17" ht="19.350000000000001" customHeight="1">
      <c r="B94" s="379" t="s">
        <v>185</v>
      </c>
      <c r="C94" s="842"/>
      <c r="D94" s="842"/>
      <c r="E94" s="80">
        <v>163</v>
      </c>
      <c r="F94" s="66">
        <v>50</v>
      </c>
      <c r="G94" s="384" t="s">
        <v>159</v>
      </c>
      <c r="H94" s="53"/>
      <c r="I94" s="153"/>
      <c r="J94" s="268"/>
      <c r="K94" s="271" t="s">
        <v>206</v>
      </c>
      <c r="L94" s="167" t="str">
        <f>IFERROR(IF(I94="有",F94*J94*入力シート!$H$14/1000,"0"),"")</f>
        <v>0</v>
      </c>
      <c r="M94" s="85"/>
      <c r="N94" s="46"/>
      <c r="O94" s="46"/>
      <c r="P94" s="46"/>
      <c r="Q94" s="524" t="str">
        <f t="shared" ca="1" si="3"/>
        <v/>
      </c>
    </row>
    <row r="95" spans="2:17" ht="19.350000000000001" customHeight="1">
      <c r="B95" s="379" t="s">
        <v>186</v>
      </c>
      <c r="C95" s="842"/>
      <c r="D95" s="842"/>
      <c r="E95" s="80">
        <v>164</v>
      </c>
      <c r="F95" s="51">
        <v>208</v>
      </c>
      <c r="G95" s="384" t="s">
        <v>159</v>
      </c>
      <c r="H95" s="53"/>
      <c r="I95" s="153"/>
      <c r="J95" s="268"/>
      <c r="K95" s="271" t="s">
        <v>206</v>
      </c>
      <c r="L95" s="167" t="str">
        <f>IFERROR(IF(I95="有",F95*J95*入力シート!$H$14/1000,"0"),"")</f>
        <v>0</v>
      </c>
      <c r="M95" s="85"/>
      <c r="N95" s="46"/>
      <c r="O95" s="46"/>
      <c r="P95" s="46"/>
      <c r="Q95" s="524" t="str">
        <f t="shared" ca="1" si="3"/>
        <v/>
      </c>
    </row>
    <row r="96" spans="2:17" ht="19.350000000000001" customHeight="1">
      <c r="B96" s="550" t="s">
        <v>187</v>
      </c>
      <c r="C96" s="842"/>
      <c r="D96" s="842"/>
      <c r="E96" s="80">
        <v>164</v>
      </c>
      <c r="F96" s="51">
        <v>240</v>
      </c>
      <c r="G96" s="549" t="s">
        <v>158</v>
      </c>
      <c r="H96" s="53"/>
      <c r="I96" s="153"/>
      <c r="J96" s="268"/>
      <c r="K96" s="271" t="s">
        <v>206</v>
      </c>
      <c r="L96" s="167" t="str">
        <f>IFERROR(IF(I96="有",F96*J96*入力シート!$H$14/1000,"0"),"")</f>
        <v>0</v>
      </c>
      <c r="M96" s="85"/>
      <c r="N96" s="46"/>
      <c r="O96" s="46"/>
      <c r="P96" s="46"/>
      <c r="Q96" s="524" t="str">
        <f t="shared" ca="1" si="3"/>
        <v/>
      </c>
    </row>
    <row r="97" spans="2:17" ht="19.350000000000001" customHeight="1">
      <c r="B97" s="550" t="s">
        <v>188</v>
      </c>
      <c r="C97" s="842"/>
      <c r="D97" s="842"/>
      <c r="E97" s="80">
        <v>165</v>
      </c>
      <c r="F97" s="51">
        <v>240</v>
      </c>
      <c r="G97" s="549" t="s">
        <v>158</v>
      </c>
      <c r="H97" s="53"/>
      <c r="I97" s="153"/>
      <c r="J97" s="268"/>
      <c r="K97" s="271" t="s">
        <v>206</v>
      </c>
      <c r="L97" s="167" t="str">
        <f>IFERROR(IF(I97="有",F97*J97*入力シート!$H$14/1000,"0"),"")</f>
        <v>0</v>
      </c>
      <c r="M97" s="85"/>
      <c r="N97" s="46"/>
      <c r="O97" s="46"/>
      <c r="P97" s="46"/>
      <c r="Q97" s="524" t="str">
        <f t="shared" ca="1" si="3"/>
        <v/>
      </c>
    </row>
    <row r="98" spans="2:17" ht="19.350000000000001" customHeight="1">
      <c r="B98" s="550" t="s">
        <v>1043</v>
      </c>
      <c r="C98" s="842"/>
      <c r="D98" s="842"/>
      <c r="E98" s="80" t="s">
        <v>1068</v>
      </c>
      <c r="F98" s="51">
        <v>33</v>
      </c>
      <c r="G98" s="549" t="s">
        <v>65</v>
      </c>
      <c r="H98" s="74"/>
      <c r="I98" s="153"/>
      <c r="J98" s="268"/>
      <c r="K98" s="271" t="s">
        <v>159</v>
      </c>
      <c r="L98" s="167" t="str">
        <f>IFERROR(IF(I98="有",F98*J98*入力シート!$H$14/1000,"0"),"")</f>
        <v>0</v>
      </c>
      <c r="M98" s="85"/>
      <c r="N98" s="46"/>
      <c r="O98" s="46"/>
      <c r="P98" s="46"/>
      <c r="Q98" s="524" t="str">
        <f t="shared" ca="1" si="3"/>
        <v/>
      </c>
    </row>
    <row r="99" spans="2:17" ht="19.350000000000001" customHeight="1">
      <c r="B99" s="550" t="s">
        <v>189</v>
      </c>
      <c r="C99" s="842"/>
      <c r="D99" s="842"/>
      <c r="E99" s="80">
        <v>166</v>
      </c>
      <c r="F99" s="51">
        <v>220</v>
      </c>
      <c r="G99" s="549" t="s">
        <v>159</v>
      </c>
      <c r="H99" s="53"/>
      <c r="I99" s="153"/>
      <c r="J99" s="268"/>
      <c r="K99" s="271" t="s">
        <v>159</v>
      </c>
      <c r="L99" s="167" t="str">
        <f>IFERROR(IF(I99="有",F99*J99*入力シート!$H$14/1000,"0"),"")</f>
        <v>0</v>
      </c>
      <c r="M99" s="85"/>
      <c r="N99" s="46"/>
      <c r="O99" s="46"/>
      <c r="P99" s="46"/>
      <c r="Q99" s="524" t="str">
        <f t="shared" ca="1" si="3"/>
        <v/>
      </c>
    </row>
    <row r="100" spans="2:17" ht="19.350000000000001" customHeight="1">
      <c r="B100" s="380" t="s">
        <v>190</v>
      </c>
      <c r="C100" s="868"/>
      <c r="D100" s="868"/>
      <c r="E100" s="81">
        <v>167</v>
      </c>
      <c r="F100" s="55">
        <v>330</v>
      </c>
      <c r="G100" s="56" t="s">
        <v>159</v>
      </c>
      <c r="H100" s="57"/>
      <c r="I100" s="154"/>
      <c r="J100" s="269"/>
      <c r="K100" s="272" t="s">
        <v>159</v>
      </c>
      <c r="L100" s="175" t="str">
        <f>IFERROR(IF(I100="有",F100*J100*入力シート!$H$14/1000,"0"),"")</f>
        <v>0</v>
      </c>
      <c r="M100" s="85"/>
      <c r="N100" s="46"/>
      <c r="O100" s="46"/>
      <c r="P100" s="46"/>
      <c r="Q100" s="524" t="str">
        <f t="shared" ca="1" si="3"/>
        <v/>
      </c>
    </row>
    <row r="101" spans="2:17" ht="19.350000000000001" customHeight="1">
      <c r="C101" s="49"/>
      <c r="D101" s="49"/>
      <c r="E101" s="382"/>
      <c r="F101" s="382"/>
      <c r="G101" s="382"/>
      <c r="H101" s="382"/>
      <c r="I101" s="521"/>
      <c r="J101" s="161"/>
      <c r="K101" s="161"/>
      <c r="L101" s="426"/>
      <c r="M101" s="426"/>
      <c r="N101" s="427"/>
      <c r="O101" s="145"/>
      <c r="P101" s="145"/>
    </row>
    <row r="102" spans="2:17" ht="22.35" customHeight="1">
      <c r="B102" s="890" t="str">
        <f>HYPERLINK("#'入力シート'!A49","入力シートに戻る")</f>
        <v>入力シートに戻る</v>
      </c>
      <c r="C102" s="890"/>
      <c r="D102" s="890"/>
      <c r="E102" s="890"/>
      <c r="F102" s="890"/>
      <c r="G102" s="890"/>
      <c r="H102" s="49"/>
      <c r="I102" s="517"/>
      <c r="J102" s="891" t="s">
        <v>1016</v>
      </c>
      <c r="K102" s="892"/>
      <c r="L102" s="893"/>
      <c r="M102" s="422"/>
      <c r="N102" s="216"/>
      <c r="O102" s="145"/>
      <c r="P102" s="145"/>
    </row>
    <row r="103" spans="2:17" ht="23.45" customHeight="1">
      <c r="B103" s="890"/>
      <c r="C103" s="890"/>
      <c r="D103" s="890"/>
      <c r="E103" s="890"/>
      <c r="F103" s="890"/>
      <c r="G103" s="890"/>
      <c r="H103" s="49"/>
      <c r="I103" s="518"/>
      <c r="J103" s="894">
        <f>IFERROR(SUM(L69:L100),"")</f>
        <v>0</v>
      </c>
      <c r="K103" s="895"/>
      <c r="L103" s="896"/>
      <c r="M103" s="424"/>
      <c r="N103" s="217"/>
      <c r="O103" s="145"/>
      <c r="P103" s="145"/>
    </row>
    <row r="104" spans="2:17" ht="17.45" customHeight="1">
      <c r="B104" s="108"/>
      <c r="C104" s="108"/>
      <c r="D104" s="108"/>
      <c r="E104" s="108"/>
      <c r="F104" s="108"/>
      <c r="G104" s="108"/>
      <c r="J104" s="897" t="s">
        <v>1014</v>
      </c>
      <c r="K104" s="897"/>
      <c r="L104" s="897"/>
      <c r="M104" s="138"/>
      <c r="N104" s="145"/>
      <c r="O104" s="145"/>
      <c r="P104" s="145"/>
    </row>
    <row r="105" spans="2:17"/>
    <row r="106" spans="2:17"/>
    <row r="107" spans="2:17"/>
    <row r="108" spans="2:17"/>
    <row r="109" spans="2:17"/>
    <row r="110" spans="2:17"/>
    <row r="111" spans="2:17"/>
    <row r="112" spans="2:17"/>
  </sheetData>
  <sheetProtection algorithmName="SHA-512" hashValue="WC3PbEqKZLN17Fi0Vcq7c+hi9VOV081JYt6SDGdCBaQCTYbvtD5NfO9A8SD4os9ET+HqUnwKFhuMl9oI0fF3Yg==" saltValue="hKRVd6vqjvUMOMZvJyKRVw==" spinCount="100000" sheet="1" objects="1" scenarios="1"/>
  <mergeCells count="157">
    <mergeCell ref="B102:G103"/>
    <mergeCell ref="J102:L102"/>
    <mergeCell ref="J103:L103"/>
    <mergeCell ref="J104:L104"/>
    <mergeCell ref="C94:D94"/>
    <mergeCell ref="C95:D95"/>
    <mergeCell ref="C96:D96"/>
    <mergeCell ref="C97:D97"/>
    <mergeCell ref="C99:D99"/>
    <mergeCell ref="C100:D100"/>
    <mergeCell ref="C98:D98"/>
    <mergeCell ref="B88:B91"/>
    <mergeCell ref="C88:D88"/>
    <mergeCell ref="C89:D89"/>
    <mergeCell ref="C90:D90"/>
    <mergeCell ref="C91:D91"/>
    <mergeCell ref="B92:B93"/>
    <mergeCell ref="C92:D92"/>
    <mergeCell ref="C93:D93"/>
    <mergeCell ref="B83:B87"/>
    <mergeCell ref="C83:D83"/>
    <mergeCell ref="C84:D84"/>
    <mergeCell ref="C85:D85"/>
    <mergeCell ref="C86:D86"/>
    <mergeCell ref="C87:D87"/>
    <mergeCell ref="C77:D77"/>
    <mergeCell ref="B78:B80"/>
    <mergeCell ref="C78:D78"/>
    <mergeCell ref="C80:D80"/>
    <mergeCell ref="B81:B82"/>
    <mergeCell ref="C81:D81"/>
    <mergeCell ref="C82:D82"/>
    <mergeCell ref="C70:D70"/>
    <mergeCell ref="J70:K70"/>
    <mergeCell ref="C72:D72"/>
    <mergeCell ref="C73:D73"/>
    <mergeCell ref="B74:B76"/>
    <mergeCell ref="C74:D74"/>
    <mergeCell ref="C75:D75"/>
    <mergeCell ref="C76:D76"/>
    <mergeCell ref="C79:D79"/>
    <mergeCell ref="B67:D67"/>
    <mergeCell ref="J67:L67"/>
    <mergeCell ref="C68:D68"/>
    <mergeCell ref="J68:K68"/>
    <mergeCell ref="C69:D69"/>
    <mergeCell ref="J69:K69"/>
    <mergeCell ref="B62:H62"/>
    <mergeCell ref="J63:L63"/>
    <mergeCell ref="B64:G64"/>
    <mergeCell ref="J64:L64"/>
    <mergeCell ref="J65:L65"/>
    <mergeCell ref="B66:D66"/>
    <mergeCell ref="C51:D51"/>
    <mergeCell ref="B46:B48"/>
    <mergeCell ref="C46:D46"/>
    <mergeCell ref="G46:G48"/>
    <mergeCell ref="H46:H48"/>
    <mergeCell ref="J46:K46"/>
    <mergeCell ref="C47:D47"/>
    <mergeCell ref="J47:K47"/>
    <mergeCell ref="J61:K61"/>
    <mergeCell ref="J51:K51"/>
    <mergeCell ref="B54:B55"/>
    <mergeCell ref="C54:D54"/>
    <mergeCell ref="J54:K54"/>
    <mergeCell ref="C55:D55"/>
    <mergeCell ref="J55:K55"/>
    <mergeCell ref="C30:D30"/>
    <mergeCell ref="F30:G30"/>
    <mergeCell ref="N47:P47"/>
    <mergeCell ref="C48:D48"/>
    <mergeCell ref="J48:K48"/>
    <mergeCell ref="C49:D49"/>
    <mergeCell ref="J49:K49"/>
    <mergeCell ref="C50:D50"/>
    <mergeCell ref="J50:K50"/>
    <mergeCell ref="C44:D44"/>
    <mergeCell ref="C37:D37"/>
    <mergeCell ref="C34:D34"/>
    <mergeCell ref="C38:D38"/>
    <mergeCell ref="C39:D39"/>
    <mergeCell ref="B35:B36"/>
    <mergeCell ref="C35:D35"/>
    <mergeCell ref="J35:K35"/>
    <mergeCell ref="C36:D36"/>
    <mergeCell ref="J36:K36"/>
    <mergeCell ref="C31:D31"/>
    <mergeCell ref="B32:B33"/>
    <mergeCell ref="C32:D32"/>
    <mergeCell ref="C33:D33"/>
    <mergeCell ref="B37:B40"/>
    <mergeCell ref="C40:D40"/>
    <mergeCell ref="J30:K30"/>
    <mergeCell ref="C11:D11"/>
    <mergeCell ref="C12:D12"/>
    <mergeCell ref="C14:D14"/>
    <mergeCell ref="C15:D15"/>
    <mergeCell ref="B16:B21"/>
    <mergeCell ref="C16:D16"/>
    <mergeCell ref="C17:D17"/>
    <mergeCell ref="C18:D18"/>
    <mergeCell ref="C19:D19"/>
    <mergeCell ref="C20:D20"/>
    <mergeCell ref="C21:D21"/>
    <mergeCell ref="B26:B27"/>
    <mergeCell ref="C22:D22"/>
    <mergeCell ref="C26:D26"/>
    <mergeCell ref="C27:D27"/>
    <mergeCell ref="C28:D28"/>
    <mergeCell ref="C29:D29"/>
    <mergeCell ref="J29:K29"/>
    <mergeCell ref="C23:D23"/>
    <mergeCell ref="B24:B25"/>
    <mergeCell ref="C24:D24"/>
    <mergeCell ref="G24:G25"/>
    <mergeCell ref="C25:D25"/>
    <mergeCell ref="C7:D7"/>
    <mergeCell ref="J7:K7"/>
    <mergeCell ref="C8:D8"/>
    <mergeCell ref="J8:K8"/>
    <mergeCell ref="C9:D9"/>
    <mergeCell ref="C10:D10"/>
    <mergeCell ref="B1:B2"/>
    <mergeCell ref="B3:E3"/>
    <mergeCell ref="C4:D4"/>
    <mergeCell ref="J4:K4"/>
    <mergeCell ref="C5:D5"/>
    <mergeCell ref="G5:G8"/>
    <mergeCell ref="H5:H8"/>
    <mergeCell ref="J5:K5"/>
    <mergeCell ref="C6:D6"/>
    <mergeCell ref="J6:K6"/>
    <mergeCell ref="B42:B43"/>
    <mergeCell ref="C41:D41"/>
    <mergeCell ref="C42:D42"/>
    <mergeCell ref="C43:D43"/>
    <mergeCell ref="J42:K42"/>
    <mergeCell ref="J43:K43"/>
    <mergeCell ref="C45:D45"/>
    <mergeCell ref="B70:B71"/>
    <mergeCell ref="C71:D71"/>
    <mergeCell ref="C58:D58"/>
    <mergeCell ref="J58:K58"/>
    <mergeCell ref="C60:D60"/>
    <mergeCell ref="J60:K60"/>
    <mergeCell ref="B49:B53"/>
    <mergeCell ref="C52:D52"/>
    <mergeCell ref="C53:D53"/>
    <mergeCell ref="J52:K52"/>
    <mergeCell ref="J53:K53"/>
    <mergeCell ref="H49:H53"/>
    <mergeCell ref="C57:D57"/>
    <mergeCell ref="J57:K57"/>
    <mergeCell ref="C59:D59"/>
    <mergeCell ref="J59:K59"/>
    <mergeCell ref="C61:D61"/>
  </mergeCells>
  <phoneticPr fontId="2"/>
  <conditionalFormatting sqref="H5:H8">
    <cfRule type="expression" dxfId="37" priority="9">
      <formula>COUNTIFS($I$5:$I$8,"有")&gt;1</formula>
    </cfRule>
  </conditionalFormatting>
  <conditionalFormatting sqref="H46:H48">
    <cfRule type="expression" dxfId="36" priority="23">
      <formula>COUNTIFS($I$46:$I$48,"有")&gt;1</formula>
    </cfRule>
  </conditionalFormatting>
  <dataValidations count="5">
    <dataValidation type="whole" showInputMessage="1" showErrorMessage="1" error="整数で入力してください" sqref="J31:J34 J9:J12 J37:J41 J14:J28 J44:J45 J71:J100" xr:uid="{00000000-0002-0000-0500-000000000000}">
      <formula1>0</formula1>
      <formula2>999999999</formula2>
    </dataValidation>
    <dataValidation type="list" allowBlank="1" showInputMessage="1" sqref="Q5:Q12 Q57:Q61 Q14:Q55 Q69:Q100" xr:uid="{00000000-0002-0000-0500-000001000000}">
      <formula1>"　,有"</formula1>
    </dataValidation>
    <dataValidation allowBlank="1" showInputMessage="1" sqref="Q1:Q2 Q101:Q1048576 Q13 Q56 Q4 Q62:Q68" xr:uid="{00000000-0002-0000-0500-000002000000}"/>
    <dataValidation showInputMessage="1" showErrorMessage="1" sqref="K71:K100" xr:uid="{00000000-0002-0000-0500-000003000000}"/>
    <dataValidation type="list" showInputMessage="1" showErrorMessage="1" sqref="I57:I61 I5:I12 I31:I55 I14:I29 I69:I100" xr:uid="{00000000-0002-0000-0500-000004000000}">
      <formula1>"　,有"</formula1>
    </dataValidation>
  </dataValidations>
  <pageMargins left="0.7" right="0.7" top="0.75" bottom="0.75" header="0.3" footer="0.3"/>
  <pageSetup paperSize="9" scale="58" orientation="portrait" r:id="rId1"/>
  <rowBreaks count="1" manualBreakCount="1">
    <brk id="65"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E5DC182D-B056-45DF-A19A-DFD18CEF1FC3}">
            <xm:f>入力シート!$S$2&lt;5</xm:f>
            <x14:dxf>
              <fill>
                <patternFill>
                  <bgColor theme="0" tint="-0.34998626667073579"/>
                </patternFill>
              </fill>
            </x14:dxf>
          </x14:cfRule>
          <xm:sqref>B61:L61</xm:sqref>
        </x14:conditionalFormatting>
        <x14:conditionalFormatting xmlns:xm="http://schemas.microsoft.com/office/excel/2006/main">
          <x14:cfRule type="expression" priority="4" id="{86AD4E48-8ED7-4849-9F82-3FB3ED785E3C}">
            <xm:f>入力シート!$S$2&gt;3</xm:f>
            <x14:dxf>
              <fill>
                <patternFill>
                  <bgColor theme="0" tint="-0.34998626667073579"/>
                </patternFill>
              </fill>
            </x14:dxf>
          </x14:cfRule>
          <xm:sqref>C40:G40 I40:L40</xm:sqref>
        </x14:conditionalFormatting>
        <x14:conditionalFormatting xmlns:xm="http://schemas.microsoft.com/office/excel/2006/main">
          <x14:cfRule type="expression" priority="3" id="{94AB795B-574B-4035-9576-12186444E799}">
            <xm:f>入力シート!$S$2&gt;3</xm:f>
            <x14:dxf>
              <fill>
                <patternFill>
                  <bgColor theme="0" tint="-0.34998626667073579"/>
                </patternFill>
              </fill>
            </x14:dxf>
          </x14:cfRule>
          <xm:sqref>C52:G53 I52:L53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500-000005000000}">
          <x14:formula1>
            <xm:f>入力シート!$C$22:$C$26</xm:f>
          </x14:formula1>
          <xm:sqref>Q3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6" tint="0.79998168889431442"/>
  </sheetPr>
  <dimension ref="A1:Q112"/>
  <sheetViews>
    <sheetView view="pageBreakPreview" zoomScale="85" zoomScaleNormal="85" zoomScaleSheetLayoutView="85" workbookViewId="0">
      <selection activeCell="D1" sqref="D1"/>
    </sheetView>
  </sheetViews>
  <sheetFormatPr defaultColWidth="0" defaultRowHeight="18.75" zeroHeight="1"/>
  <cols>
    <col min="1" max="1" width="2.125" style="138" customWidth="1"/>
    <col min="2" max="2" width="31.5" style="138" customWidth="1"/>
    <col min="3" max="3" width="8.875" style="138" customWidth="1"/>
    <col min="4" max="4" width="14" style="138" customWidth="1"/>
    <col min="5" max="5" width="13.5" style="138" customWidth="1"/>
    <col min="6" max="7" width="8.875" style="138" customWidth="1"/>
    <col min="8" max="8" width="11.875" style="138" customWidth="1"/>
    <col min="9" max="9" width="8.875" style="129" customWidth="1"/>
    <col min="10" max="10" width="12.5" style="138" customWidth="1"/>
    <col min="11" max="11" width="3.125" style="138" customWidth="1"/>
    <col min="12" max="12" width="17.125" style="160" customWidth="1"/>
    <col min="13" max="13" width="1.5" style="138" customWidth="1"/>
    <col min="14" max="16" width="17.625" style="138" hidden="1" customWidth="1"/>
    <col min="17" max="17" width="10.875" style="129" customWidth="1"/>
    <col min="18" max="16384" width="8.875" style="138" hidden="1"/>
  </cols>
  <sheetData>
    <row r="1" spans="1:17" ht="22.5">
      <c r="B1" s="903" t="str">
        <f>HYPERLINK("#'入力シート'!A63","入力シートに戻る")</f>
        <v>入力シートに戻る</v>
      </c>
      <c r="D1" s="137"/>
      <c r="Q1" s="522" t="s">
        <v>991</v>
      </c>
    </row>
    <row r="2" spans="1:17">
      <c r="B2" s="904"/>
      <c r="Q2" s="523" t="s">
        <v>961</v>
      </c>
    </row>
    <row r="3" spans="1:17" s="161" customFormat="1" ht="20.45" customHeight="1">
      <c r="A3" s="162"/>
      <c r="B3" s="887" t="s">
        <v>839</v>
      </c>
      <c r="C3" s="887"/>
      <c r="D3" s="887"/>
      <c r="E3" s="887"/>
      <c r="F3" s="162"/>
      <c r="G3" s="162"/>
      <c r="H3" s="162"/>
      <c r="I3" s="511" t="str">
        <f>IF(Q3="未選択","","↓加算をコピーする際はI列に「値」貼付けをしてください")</f>
        <v/>
      </c>
      <c r="J3" s="419"/>
      <c r="K3" s="419"/>
      <c r="L3" s="419"/>
      <c r="O3" s="393"/>
      <c r="Q3" s="159" t="s">
        <v>962</v>
      </c>
    </row>
    <row r="4" spans="1:17" s="161" customFormat="1" ht="49.7" customHeight="1">
      <c r="B4" s="110" t="s">
        <v>992</v>
      </c>
      <c r="C4" s="860" t="s">
        <v>993</v>
      </c>
      <c r="D4" s="861"/>
      <c r="E4" s="82" t="s">
        <v>898</v>
      </c>
      <c r="F4" s="387" t="s">
        <v>63</v>
      </c>
      <c r="G4" s="109" t="s">
        <v>160</v>
      </c>
      <c r="H4" s="50"/>
      <c r="I4" s="512" t="s">
        <v>66</v>
      </c>
      <c r="J4" s="862" t="s">
        <v>850</v>
      </c>
      <c r="K4" s="863"/>
      <c r="L4" s="450" t="s">
        <v>994</v>
      </c>
      <c r="O4" s="393"/>
      <c r="Q4" s="512" t="s">
        <v>66</v>
      </c>
    </row>
    <row r="5" spans="1:17" s="161" customFormat="1" ht="19.350000000000001" customHeight="1">
      <c r="B5" s="388" t="s">
        <v>134</v>
      </c>
      <c r="C5" s="898"/>
      <c r="D5" s="898"/>
      <c r="E5" s="165">
        <v>118</v>
      </c>
      <c r="F5" s="166">
        <v>23</v>
      </c>
      <c r="G5" s="905" t="s">
        <v>64</v>
      </c>
      <c r="H5" s="906" t="s">
        <v>827</v>
      </c>
      <c r="I5" s="153"/>
      <c r="J5" s="841"/>
      <c r="K5" s="841"/>
      <c r="L5" s="167" t="str">
        <f>IFERROR(IF(I5="有",F5*入力シート!$T$69*入力シート!$H$14/1000,"0"),"")</f>
        <v>0</v>
      </c>
      <c r="O5" s="393"/>
      <c r="Q5" s="524" t="str">
        <f ca="1">IFERROR(IF(INDEX(INDIRECT($Q$3),ROW())="有","有",""),"")</f>
        <v/>
      </c>
    </row>
    <row r="6" spans="1:17" s="161" customFormat="1" ht="19.350000000000001" customHeight="1">
      <c r="B6" s="388" t="s">
        <v>135</v>
      </c>
      <c r="C6" s="898"/>
      <c r="D6" s="898"/>
      <c r="E6" s="165">
        <v>118</v>
      </c>
      <c r="F6" s="166">
        <v>14</v>
      </c>
      <c r="G6" s="905"/>
      <c r="H6" s="907"/>
      <c r="I6" s="153"/>
      <c r="J6" s="841"/>
      <c r="K6" s="841"/>
      <c r="L6" s="167" t="str">
        <f>IFERROR(IF(I6="有",F6*入力シート!$T$69*入力シート!$H$14/1000,"0"),"")</f>
        <v>0</v>
      </c>
      <c r="O6" s="393"/>
      <c r="Q6" s="524" t="str">
        <f t="shared" ref="Q6:Q12" ca="1" si="0">IFERROR(IF(INDEX(INDIRECT($Q$3),ROW())="有","有",""),"")</f>
        <v/>
      </c>
    </row>
    <row r="7" spans="1:17" s="161" customFormat="1" ht="19.350000000000001" customHeight="1">
      <c r="B7" s="388" t="s">
        <v>136</v>
      </c>
      <c r="C7" s="898"/>
      <c r="D7" s="898"/>
      <c r="E7" s="165">
        <v>118</v>
      </c>
      <c r="F7" s="166">
        <v>14</v>
      </c>
      <c r="G7" s="905"/>
      <c r="H7" s="907"/>
      <c r="I7" s="153"/>
      <c r="J7" s="841"/>
      <c r="K7" s="841"/>
      <c r="L7" s="167" t="str">
        <f>IFERROR(IF(I7="有",F7*入力シート!$T$69*入力シート!$H$14/1000,"0"),"")</f>
        <v>0</v>
      </c>
      <c r="O7" s="393"/>
      <c r="Q7" s="524" t="str">
        <f t="shared" ca="1" si="0"/>
        <v/>
      </c>
    </row>
    <row r="8" spans="1:17" s="161" customFormat="1" ht="19.350000000000001" customHeight="1">
      <c r="B8" s="388" t="s">
        <v>137</v>
      </c>
      <c r="C8" s="898"/>
      <c r="D8" s="898"/>
      <c r="E8" s="165">
        <v>118</v>
      </c>
      <c r="F8" s="166">
        <v>7</v>
      </c>
      <c r="G8" s="905"/>
      <c r="H8" s="907"/>
      <c r="I8" s="153"/>
      <c r="J8" s="841"/>
      <c r="K8" s="841"/>
      <c r="L8" s="167" t="str">
        <f>IFERROR(IF(I8="有",F8*入力シート!$T$69*入力シート!$H$14/1000,"0"),"")</f>
        <v>0</v>
      </c>
      <c r="O8" s="393"/>
      <c r="Q8" s="524" t="str">
        <f ca="1">IFERROR(IF(INDEX(INDIRECT($Q$3),ROW())="有","有",""),"")</f>
        <v/>
      </c>
    </row>
    <row r="9" spans="1:17" s="161" customFormat="1" ht="19.350000000000001" customHeight="1">
      <c r="B9" s="388" t="s">
        <v>154</v>
      </c>
      <c r="C9" s="898"/>
      <c r="D9" s="898"/>
      <c r="E9" s="165">
        <v>119</v>
      </c>
      <c r="F9" s="166">
        <v>120</v>
      </c>
      <c r="G9" s="394" t="s">
        <v>158</v>
      </c>
      <c r="H9" s="168" t="str">
        <f>IF(I9="有",IF(I34="有","！算定不可！",""),"")</f>
        <v/>
      </c>
      <c r="I9" s="153"/>
      <c r="J9" s="268"/>
      <c r="K9" s="271" t="s">
        <v>206</v>
      </c>
      <c r="L9" s="167" t="str">
        <f>IFERROR(IF(I9="有",F9*J9*入力シート!$H$14/1000,"0"),"")</f>
        <v>0</v>
      </c>
      <c r="O9" s="393"/>
      <c r="Q9" s="524" t="str">
        <f t="shared" ca="1" si="0"/>
        <v/>
      </c>
    </row>
    <row r="10" spans="1:17" s="161" customFormat="1" ht="19.350000000000001" customHeight="1">
      <c r="B10" s="388" t="s">
        <v>155</v>
      </c>
      <c r="C10" s="898"/>
      <c r="D10" s="898"/>
      <c r="E10" s="165">
        <v>119</v>
      </c>
      <c r="F10" s="166">
        <v>362</v>
      </c>
      <c r="G10" s="394" t="s">
        <v>158</v>
      </c>
      <c r="H10" s="169"/>
      <c r="I10" s="153"/>
      <c r="J10" s="268"/>
      <c r="K10" s="271" t="s">
        <v>206</v>
      </c>
      <c r="L10" s="167" t="str">
        <f>IFERROR(IF(I10="有",F10*J10*入力シート!$H$14/1000,"0"),"")</f>
        <v>0</v>
      </c>
      <c r="N10" s="161" t="s">
        <v>203</v>
      </c>
      <c r="O10" s="48">
        <f>IF(I10="有",J10,0)</f>
        <v>0</v>
      </c>
      <c r="P10" s="381" t="s">
        <v>205</v>
      </c>
      <c r="Q10" s="524" t="str">
        <f t="shared" ca="1" si="0"/>
        <v/>
      </c>
    </row>
    <row r="11" spans="1:17" s="161" customFormat="1" ht="19.350000000000001" customHeight="1">
      <c r="B11" s="379" t="s">
        <v>156</v>
      </c>
      <c r="C11" s="898"/>
      <c r="D11" s="898"/>
      <c r="E11" s="165">
        <v>120</v>
      </c>
      <c r="F11" s="166">
        <v>800</v>
      </c>
      <c r="G11" s="394" t="s">
        <v>158</v>
      </c>
      <c r="H11" s="170" t="str">
        <f>IF(I11="有",IF(I10="有","！算定不可！",""),"")</f>
        <v/>
      </c>
      <c r="I11" s="153"/>
      <c r="J11" s="268"/>
      <c r="K11" s="271" t="s">
        <v>206</v>
      </c>
      <c r="L11" s="167" t="str">
        <f>IFERROR(IF(I11="有",F11*J11*入力シート!$H$14/1000,"0"),"")</f>
        <v>0</v>
      </c>
      <c r="N11" s="161" t="s">
        <v>203</v>
      </c>
      <c r="O11" s="48">
        <f>IF(I11="有",J11,0)</f>
        <v>0</v>
      </c>
      <c r="P11" s="381" t="s">
        <v>205</v>
      </c>
      <c r="Q11" s="524" t="str">
        <f t="shared" ca="1" si="0"/>
        <v/>
      </c>
    </row>
    <row r="12" spans="1:17" s="161" customFormat="1" ht="19.350000000000001" customHeight="1">
      <c r="B12" s="392" t="s">
        <v>157</v>
      </c>
      <c r="C12" s="900"/>
      <c r="D12" s="900"/>
      <c r="E12" s="171">
        <v>121</v>
      </c>
      <c r="F12" s="172">
        <v>362</v>
      </c>
      <c r="G12" s="173" t="s">
        <v>158</v>
      </c>
      <c r="H12" s="174"/>
      <c r="I12" s="154"/>
      <c r="J12" s="269"/>
      <c r="K12" s="272" t="s">
        <v>206</v>
      </c>
      <c r="L12" s="175" t="str">
        <f>IFERROR(IF(I12="有",F12*J12*入力シート!$H$14/1000,"0"),"")</f>
        <v>0</v>
      </c>
      <c r="N12" s="161" t="s">
        <v>203</v>
      </c>
      <c r="O12" s="48">
        <f t="shared" ref="O12" si="1">IF(I12="有",J12,0)</f>
        <v>0</v>
      </c>
      <c r="P12" s="381" t="s">
        <v>205</v>
      </c>
      <c r="Q12" s="524" t="str">
        <f t="shared" ca="1" si="0"/>
        <v/>
      </c>
    </row>
    <row r="13" spans="1:17" s="161" customFormat="1" ht="19.350000000000001" customHeight="1">
      <c r="B13" s="176"/>
      <c r="C13" s="177"/>
      <c r="D13" s="177"/>
      <c r="E13" s="178"/>
      <c r="F13" s="176"/>
      <c r="G13" s="176"/>
      <c r="H13" s="179"/>
      <c r="I13" s="513"/>
      <c r="J13" s="176"/>
      <c r="K13" s="180"/>
      <c r="L13" s="181"/>
      <c r="N13" s="161" t="s">
        <v>760</v>
      </c>
      <c r="O13" s="48">
        <f>SUM(O10:O12)</f>
        <v>0</v>
      </c>
      <c r="P13" s="381"/>
      <c r="Q13" s="525"/>
    </row>
    <row r="14" spans="1:17" s="161" customFormat="1" ht="19.350000000000001" customHeight="1">
      <c r="B14" s="182" t="s">
        <v>140</v>
      </c>
      <c r="C14" s="901"/>
      <c r="D14" s="901"/>
      <c r="E14" s="183">
        <v>123</v>
      </c>
      <c r="F14" s="184">
        <v>30</v>
      </c>
      <c r="G14" s="185" t="s">
        <v>158</v>
      </c>
      <c r="H14" s="186"/>
      <c r="I14" s="155"/>
      <c r="J14" s="270"/>
      <c r="K14" s="428" t="s">
        <v>206</v>
      </c>
      <c r="L14" s="401" t="str">
        <f>IFERROR(IF(I14="有",F14*J14*入力シート!$H$14/1000,"0"),"")</f>
        <v>0</v>
      </c>
      <c r="O14" s="393"/>
      <c r="Q14" s="524" t="str">
        <f ca="1">IFERROR(IF(INDEX(INDIRECT($Q$3),ROW())="有","有",""),"")</f>
        <v/>
      </c>
    </row>
    <row r="15" spans="1:17" s="161" customFormat="1" ht="19.350000000000001" customHeight="1">
      <c r="B15" s="552" t="s">
        <v>141</v>
      </c>
      <c r="C15" s="898"/>
      <c r="D15" s="898"/>
      <c r="E15" s="165">
        <v>124</v>
      </c>
      <c r="F15" s="166">
        <v>200</v>
      </c>
      <c r="G15" s="553" t="s">
        <v>159</v>
      </c>
      <c r="H15" s="54" t="str">
        <f>IF(I15="有",IF(I61="有","！算定不可！",""),"")</f>
        <v/>
      </c>
      <c r="I15" s="153"/>
      <c r="J15" s="268"/>
      <c r="K15" s="271" t="s">
        <v>159</v>
      </c>
      <c r="L15" s="167" t="str">
        <f>IFERROR(IF(I15="有",F15*J15*入力シート!$H$14/1000,"0"),"")</f>
        <v>0</v>
      </c>
      <c r="O15" s="393"/>
      <c r="Q15" s="524" t="str">
        <f t="shared" ref="Q15:Q61" ca="1" si="2">IFERROR(IF(INDEX(INDIRECT($Q$3),ROW())="有","有",""),"")</f>
        <v/>
      </c>
    </row>
    <row r="16" spans="1:17" s="161" customFormat="1" ht="19.350000000000001" customHeight="1">
      <c r="B16" s="899" t="s">
        <v>142</v>
      </c>
      <c r="C16" s="902" t="s">
        <v>143</v>
      </c>
      <c r="D16" s="902"/>
      <c r="E16" s="165">
        <v>125</v>
      </c>
      <c r="F16" s="187">
        <v>460</v>
      </c>
      <c r="G16" s="553" t="s">
        <v>161</v>
      </c>
      <c r="H16" s="169"/>
      <c r="I16" s="153"/>
      <c r="J16" s="268"/>
      <c r="K16" s="271" t="s">
        <v>159</v>
      </c>
      <c r="L16" s="167" t="str">
        <f>IFERROR(IF(I16="有",F16*J16*入力シート!$H$14/1000,"0"),"")</f>
        <v>0</v>
      </c>
      <c r="O16" s="393"/>
      <c r="Q16" s="524" t="str">
        <f t="shared" ca="1" si="2"/>
        <v/>
      </c>
    </row>
    <row r="17" spans="2:17" s="161" customFormat="1" ht="19.350000000000001" customHeight="1">
      <c r="B17" s="899"/>
      <c r="C17" s="902" t="s">
        <v>144</v>
      </c>
      <c r="D17" s="902"/>
      <c r="E17" s="165">
        <v>125</v>
      </c>
      <c r="F17" s="187">
        <v>460</v>
      </c>
      <c r="G17" s="553" t="s">
        <v>161</v>
      </c>
      <c r="H17" s="169"/>
      <c r="I17" s="153"/>
      <c r="J17" s="268"/>
      <c r="K17" s="271" t="s">
        <v>159</v>
      </c>
      <c r="L17" s="167" t="str">
        <f>IFERROR(IF(I17="有",F17*J17*入力シート!$H$14/1000,"0"),"")</f>
        <v>0</v>
      </c>
      <c r="O17" s="393"/>
      <c r="Q17" s="524" t="str">
        <f t="shared" ca="1" si="2"/>
        <v/>
      </c>
    </row>
    <row r="18" spans="2:17" s="161" customFormat="1" ht="19.350000000000001" customHeight="1">
      <c r="B18" s="899"/>
      <c r="C18" s="902" t="s">
        <v>145</v>
      </c>
      <c r="D18" s="902"/>
      <c r="E18" s="165">
        <v>125</v>
      </c>
      <c r="F18" s="166">
        <v>400</v>
      </c>
      <c r="G18" s="553" t="s">
        <v>161</v>
      </c>
      <c r="H18" s="169"/>
      <c r="I18" s="153"/>
      <c r="J18" s="268"/>
      <c r="K18" s="271" t="s">
        <v>159</v>
      </c>
      <c r="L18" s="167" t="str">
        <f>IFERROR(IF(I18="有",F18*J18*入力シート!$H$14/1000,"0"),"")</f>
        <v>0</v>
      </c>
      <c r="O18" s="393"/>
      <c r="Q18" s="524" t="str">
        <f t="shared" ca="1" si="2"/>
        <v/>
      </c>
    </row>
    <row r="19" spans="2:17" s="161" customFormat="1" ht="19.350000000000001" customHeight="1">
      <c r="B19" s="899"/>
      <c r="C19" s="902" t="s">
        <v>146</v>
      </c>
      <c r="D19" s="902"/>
      <c r="E19" s="165">
        <v>126</v>
      </c>
      <c r="F19" s="166">
        <v>500</v>
      </c>
      <c r="G19" s="553" t="s">
        <v>161</v>
      </c>
      <c r="H19" s="169"/>
      <c r="I19" s="153"/>
      <c r="J19" s="268"/>
      <c r="K19" s="271" t="s">
        <v>159</v>
      </c>
      <c r="L19" s="167" t="str">
        <f>IFERROR(IF(I19="有",F19*J19*入力シート!$H$14/1000,"0"),"")</f>
        <v>0</v>
      </c>
      <c r="O19" s="393"/>
      <c r="Q19" s="524" t="str">
        <f t="shared" ca="1" si="2"/>
        <v/>
      </c>
    </row>
    <row r="20" spans="2:17" s="161" customFormat="1" ht="19.350000000000001" customHeight="1">
      <c r="B20" s="899"/>
      <c r="C20" s="902" t="s">
        <v>147</v>
      </c>
      <c r="D20" s="902"/>
      <c r="E20" s="165">
        <v>126</v>
      </c>
      <c r="F20" s="166">
        <v>500</v>
      </c>
      <c r="G20" s="553" t="s">
        <v>161</v>
      </c>
      <c r="H20" s="169"/>
      <c r="I20" s="153"/>
      <c r="J20" s="268"/>
      <c r="K20" s="271" t="s">
        <v>159</v>
      </c>
      <c r="L20" s="167" t="str">
        <f>IFERROR(IF(I20="有",F20*J20*入力シート!$H$14/1000,"0"),"")</f>
        <v>0</v>
      </c>
      <c r="O20" s="393"/>
      <c r="Q20" s="524" t="str">
        <f t="shared" ca="1" si="2"/>
        <v/>
      </c>
    </row>
    <row r="21" spans="2:17" s="161" customFormat="1" ht="19.350000000000001" customHeight="1">
      <c r="B21" s="899"/>
      <c r="C21" s="902" t="s">
        <v>148</v>
      </c>
      <c r="D21" s="902"/>
      <c r="E21" s="165">
        <v>126</v>
      </c>
      <c r="F21" s="166">
        <v>300</v>
      </c>
      <c r="G21" s="553" t="s">
        <v>161</v>
      </c>
      <c r="H21" s="169"/>
      <c r="I21" s="153"/>
      <c r="J21" s="268"/>
      <c r="K21" s="271" t="s">
        <v>159</v>
      </c>
      <c r="L21" s="167" t="str">
        <f>IFERROR(IF(I21="有",F21*J21*入力シート!$H$14/1000,"0"),"")</f>
        <v>0</v>
      </c>
      <c r="O21" s="393"/>
      <c r="Q21" s="524" t="str">
        <f t="shared" ca="1" si="2"/>
        <v/>
      </c>
    </row>
    <row r="22" spans="2:17" s="161" customFormat="1" ht="19.350000000000001" customHeight="1">
      <c r="B22" s="550" t="s">
        <v>1047</v>
      </c>
      <c r="C22" s="898"/>
      <c r="D22" s="898"/>
      <c r="E22" s="75" t="s">
        <v>1068</v>
      </c>
      <c r="F22" s="51">
        <v>11</v>
      </c>
      <c r="G22" s="551" t="s">
        <v>158</v>
      </c>
      <c r="H22" s="394"/>
      <c r="I22" s="153"/>
      <c r="J22" s="268"/>
      <c r="K22" s="271" t="s">
        <v>206</v>
      </c>
      <c r="L22" s="167" t="str">
        <f>IFERROR(IF(I22="有",F22*J22*入力シート!$H$14/1000,"0"),"")</f>
        <v>0</v>
      </c>
      <c r="Q22" s="524" t="str">
        <f t="shared" ca="1" si="2"/>
        <v/>
      </c>
    </row>
    <row r="23" spans="2:17" s="161" customFormat="1" ht="19.350000000000001" customHeight="1">
      <c r="B23" s="552" t="s">
        <v>101</v>
      </c>
      <c r="C23" s="898"/>
      <c r="D23" s="898"/>
      <c r="E23" s="165">
        <v>130</v>
      </c>
      <c r="F23" s="187">
        <v>28</v>
      </c>
      <c r="G23" s="554" t="s">
        <v>158</v>
      </c>
      <c r="H23" s="54" t="str">
        <f>IF(I23="有",IF(I61="有","！算定不可！",""),"")</f>
        <v/>
      </c>
      <c r="I23" s="153"/>
      <c r="J23" s="268"/>
      <c r="K23" s="271" t="s">
        <v>206</v>
      </c>
      <c r="L23" s="167" t="str">
        <f>IFERROR(IF(I23="有",F23*J23*入力シート!$H$14/1000,"0"),"")</f>
        <v>0</v>
      </c>
      <c r="Q23" s="524" t="str">
        <f t="shared" ca="1" si="2"/>
        <v/>
      </c>
    </row>
    <row r="24" spans="2:17" s="161" customFormat="1" ht="19.350000000000001" customHeight="1">
      <c r="B24" s="899" t="s">
        <v>102</v>
      </c>
      <c r="C24" s="856" t="s">
        <v>1007</v>
      </c>
      <c r="D24" s="856"/>
      <c r="E24" s="165">
        <v>131</v>
      </c>
      <c r="F24" s="187">
        <v>400</v>
      </c>
      <c r="G24" s="908" t="s">
        <v>65</v>
      </c>
      <c r="H24" s="67" t="str">
        <f>IF(AND(I24="有",OR(I23="有",I61="有")),"！算定不可！","")</f>
        <v/>
      </c>
      <c r="I24" s="153"/>
      <c r="J24" s="268"/>
      <c r="K24" s="271" t="s">
        <v>206</v>
      </c>
      <c r="L24" s="167" t="str">
        <f>IFERROR(IF(I24="有",F24*J24*入力シート!$H$14/1000,"0"),"")</f>
        <v>0</v>
      </c>
      <c r="Q24" s="524" t="str">
        <f t="shared" ca="1" si="2"/>
        <v/>
      </c>
    </row>
    <row r="25" spans="2:17" s="161" customFormat="1" ht="19.350000000000001" customHeight="1">
      <c r="B25" s="899"/>
      <c r="C25" s="902" t="s">
        <v>1008</v>
      </c>
      <c r="D25" s="902"/>
      <c r="E25" s="165">
        <v>131</v>
      </c>
      <c r="F25" s="187">
        <v>100</v>
      </c>
      <c r="G25" s="908"/>
      <c r="H25" s="67"/>
      <c r="I25" s="153"/>
      <c r="J25" s="268"/>
      <c r="K25" s="271" t="s">
        <v>206</v>
      </c>
      <c r="L25" s="167" t="str">
        <f>IFERROR(IF(I25="有",F25*J25*入力シート!$H$14/1000,"0"),"")</f>
        <v>0</v>
      </c>
      <c r="Q25" s="524" t="str">
        <f t="shared" ca="1" si="2"/>
        <v/>
      </c>
    </row>
    <row r="26" spans="2:17" s="161" customFormat="1" ht="19.350000000000001" customHeight="1">
      <c r="B26" s="835" t="s">
        <v>1044</v>
      </c>
      <c r="C26" s="843" t="s">
        <v>1045</v>
      </c>
      <c r="D26" s="843"/>
      <c r="E26" s="165">
        <v>133</v>
      </c>
      <c r="F26" s="66">
        <v>90</v>
      </c>
      <c r="G26" s="551" t="s">
        <v>65</v>
      </c>
      <c r="H26" s="188" t="str">
        <f>IF(I26="有",IF(I27="有","！算定不可！",""),"")</f>
        <v/>
      </c>
      <c r="I26" s="153"/>
      <c r="J26" s="268"/>
      <c r="K26" s="271" t="s">
        <v>206</v>
      </c>
      <c r="L26" s="167" t="str">
        <f>IFERROR(IF(I26="有",F26*J26*入力シート!$H$14/1000,"0"),"")</f>
        <v>0</v>
      </c>
      <c r="Q26" s="524" t="str">
        <f t="shared" ca="1" si="2"/>
        <v/>
      </c>
    </row>
    <row r="27" spans="2:17" s="161" customFormat="1" ht="19.350000000000001" customHeight="1">
      <c r="B27" s="836"/>
      <c r="C27" s="843" t="s">
        <v>1046</v>
      </c>
      <c r="D27" s="843"/>
      <c r="E27" s="75" t="s">
        <v>1068</v>
      </c>
      <c r="F27" s="66">
        <v>110</v>
      </c>
      <c r="G27" s="551" t="s">
        <v>65</v>
      </c>
      <c r="H27" s="188" t="str">
        <f>IF(I27="有",IF(I26="有","！算定不可！",""),"")</f>
        <v/>
      </c>
      <c r="I27" s="153"/>
      <c r="J27" s="268"/>
      <c r="K27" s="271" t="s">
        <v>206</v>
      </c>
      <c r="L27" s="167" t="str">
        <f>IFERROR(IF(I27="有",F27*J27*入力シート!$H$14/1000,"0"),"")</f>
        <v>0</v>
      </c>
      <c r="Q27" s="524" t="str">
        <f t="shared" ca="1" si="2"/>
        <v/>
      </c>
    </row>
    <row r="28" spans="2:17" s="161" customFormat="1" ht="19.350000000000001" customHeight="1">
      <c r="B28" s="388" t="s">
        <v>138</v>
      </c>
      <c r="C28" s="898"/>
      <c r="D28" s="898"/>
      <c r="E28" s="165">
        <v>134</v>
      </c>
      <c r="F28" s="187">
        <v>6</v>
      </c>
      <c r="G28" s="391" t="s">
        <v>159</v>
      </c>
      <c r="H28" s="394"/>
      <c r="I28" s="153"/>
      <c r="J28" s="268"/>
      <c r="K28" s="271" t="s">
        <v>159</v>
      </c>
      <c r="L28" s="167" t="str">
        <f>IFERROR(IF(I28="有",F28*J28*入力シート!$H$14/1000,"0"),"")</f>
        <v>0</v>
      </c>
      <c r="Q28" s="524" t="str">
        <f t="shared" ca="1" si="2"/>
        <v/>
      </c>
    </row>
    <row r="29" spans="2:17" s="161" customFormat="1" ht="19.350000000000001" customHeight="1">
      <c r="B29" s="388" t="s">
        <v>149</v>
      </c>
      <c r="C29" s="898"/>
      <c r="D29" s="898"/>
      <c r="E29" s="165">
        <v>135</v>
      </c>
      <c r="F29" s="187">
        <v>10</v>
      </c>
      <c r="G29" s="391" t="s">
        <v>158</v>
      </c>
      <c r="H29" s="394"/>
      <c r="I29" s="153"/>
      <c r="J29" s="841"/>
      <c r="K29" s="841"/>
      <c r="L29" s="167" t="str">
        <f>IFERROR(IF(I29="有",F29*入力シート!$T$69*入力シート!$H$14/1000,"0"),"")</f>
        <v>0</v>
      </c>
      <c r="Q29" s="524" t="str">
        <f t="shared" ca="1" si="2"/>
        <v/>
      </c>
    </row>
    <row r="30" spans="2:17" s="161" customFormat="1" ht="19.350000000000001" customHeight="1">
      <c r="B30" s="388" t="s">
        <v>150</v>
      </c>
      <c r="C30" s="898"/>
      <c r="D30" s="898"/>
      <c r="E30" s="189" t="s">
        <v>829</v>
      </c>
      <c r="F30" s="909" t="str">
        <f>HYPERLINK("#A８５","別に掲げる点数")</f>
        <v>別に掲げる点数</v>
      </c>
      <c r="G30" s="908"/>
      <c r="H30" s="394"/>
      <c r="I30" s="514"/>
      <c r="J30" s="841"/>
      <c r="K30" s="841"/>
      <c r="L30" s="223"/>
      <c r="M30" s="470"/>
      <c r="Q30" s="524" t="str">
        <f t="shared" ca="1" si="2"/>
        <v/>
      </c>
    </row>
    <row r="31" spans="2:17" s="161" customFormat="1" ht="19.350000000000001" customHeight="1">
      <c r="B31" s="388" t="s">
        <v>151</v>
      </c>
      <c r="C31" s="898"/>
      <c r="D31" s="898"/>
      <c r="E31" s="165">
        <v>136</v>
      </c>
      <c r="F31" s="187">
        <v>518</v>
      </c>
      <c r="G31" s="391" t="s">
        <v>158</v>
      </c>
      <c r="H31" s="394"/>
      <c r="I31" s="153"/>
      <c r="J31" s="268"/>
      <c r="K31" s="271" t="s">
        <v>206</v>
      </c>
      <c r="L31" s="167" t="str">
        <f>IFERROR(IF(I31="有",F31*J31*入力シート!$H$14/1000,"0"),"")</f>
        <v>0</v>
      </c>
      <c r="Q31" s="524" t="str">
        <f t="shared" ca="1" si="2"/>
        <v/>
      </c>
    </row>
    <row r="32" spans="2:17" s="161" customFormat="1" ht="19.350000000000001" customHeight="1">
      <c r="B32" s="899" t="s">
        <v>99</v>
      </c>
      <c r="C32" s="908" t="s">
        <v>164</v>
      </c>
      <c r="D32" s="908"/>
      <c r="E32" s="165">
        <v>137</v>
      </c>
      <c r="F32" s="187">
        <v>3</v>
      </c>
      <c r="G32" s="554" t="s">
        <v>100</v>
      </c>
      <c r="H32" s="558" t="str">
        <f>IF(I32="有",IF(I33="有","Ⅱと同時算定不可",""),"")</f>
        <v/>
      </c>
      <c r="I32" s="153"/>
      <c r="J32" s="268"/>
      <c r="K32" s="271" t="s">
        <v>206</v>
      </c>
      <c r="L32" s="167" t="str">
        <f>IFERROR(IF(I32="有",F32*J32*入力シート!$H$14/1000,"0"),"")</f>
        <v>0</v>
      </c>
      <c r="O32" s="393"/>
      <c r="Q32" s="524" t="str">
        <f t="shared" ca="1" si="2"/>
        <v/>
      </c>
    </row>
    <row r="33" spans="2:17" s="161" customFormat="1" ht="19.350000000000001" customHeight="1">
      <c r="B33" s="899"/>
      <c r="C33" s="908" t="s">
        <v>165</v>
      </c>
      <c r="D33" s="908"/>
      <c r="E33" s="165">
        <v>137</v>
      </c>
      <c r="F33" s="187">
        <v>4</v>
      </c>
      <c r="G33" s="554" t="s">
        <v>100</v>
      </c>
      <c r="H33" s="558" t="str">
        <f>IF(I33="有",IF(I32="有","Ⅰと同時算定不可",""),"")</f>
        <v/>
      </c>
      <c r="I33" s="153"/>
      <c r="J33" s="268"/>
      <c r="K33" s="271" t="s">
        <v>206</v>
      </c>
      <c r="L33" s="167" t="str">
        <f>IFERROR(IF(I33="有",F33*J33*入力シート!$H$14/1000,"0"),"")</f>
        <v>0</v>
      </c>
      <c r="O33" s="393"/>
      <c r="Q33" s="524" t="str">
        <f t="shared" ca="1" si="2"/>
        <v/>
      </c>
    </row>
    <row r="34" spans="2:17" s="161" customFormat="1" ht="19.350000000000001" customHeight="1">
      <c r="B34" s="552" t="s">
        <v>152</v>
      </c>
      <c r="C34" s="898"/>
      <c r="D34" s="898"/>
      <c r="E34" s="165">
        <v>138</v>
      </c>
      <c r="F34" s="187">
        <v>200</v>
      </c>
      <c r="G34" s="554" t="s">
        <v>100</v>
      </c>
      <c r="H34" s="559"/>
      <c r="I34" s="153"/>
      <c r="J34" s="268"/>
      <c r="K34" s="271" t="s">
        <v>206</v>
      </c>
      <c r="L34" s="167" t="str">
        <f>IFERROR(IF(I34="有",F34*J34*入力シート!$H$14/1000,"0"),"")</f>
        <v>0</v>
      </c>
      <c r="O34" s="393"/>
      <c r="Q34" s="524" t="str">
        <f t="shared" ca="1" si="2"/>
        <v/>
      </c>
    </row>
    <row r="35" spans="2:17" s="161" customFormat="1" ht="19.350000000000001" customHeight="1">
      <c r="B35" s="899" t="s">
        <v>153</v>
      </c>
      <c r="C35" s="908" t="s">
        <v>864</v>
      </c>
      <c r="D35" s="908"/>
      <c r="E35" s="165">
        <v>139</v>
      </c>
      <c r="F35" s="554" t="s">
        <v>204</v>
      </c>
      <c r="G35" s="554" t="s">
        <v>100</v>
      </c>
      <c r="H35" s="558" t="str">
        <f>IF(I35="有",IF(I36="有","Ⅱと同時算定不可",""),"")</f>
        <v/>
      </c>
      <c r="I35" s="153"/>
      <c r="J35" s="841"/>
      <c r="K35" s="841"/>
      <c r="L35" s="167" t="str">
        <f>IFERROR(IF(I35="有",((入力シート!O63+入力シート!O64)*140+(入力シート!O65+入力シート!O66+入力シート!O67)*40)*入力シート!$H$14/1000,"0"),"")</f>
        <v>0</v>
      </c>
      <c r="O35" s="393"/>
      <c r="Q35" s="524" t="str">
        <f t="shared" ca="1" si="2"/>
        <v/>
      </c>
    </row>
    <row r="36" spans="2:17" s="161" customFormat="1" ht="19.350000000000001" customHeight="1">
      <c r="B36" s="899"/>
      <c r="C36" s="908" t="s">
        <v>163</v>
      </c>
      <c r="D36" s="908"/>
      <c r="E36" s="165">
        <v>139</v>
      </c>
      <c r="F36" s="554" t="s">
        <v>858</v>
      </c>
      <c r="G36" s="554" t="s">
        <v>100</v>
      </c>
      <c r="H36" s="558" t="str">
        <f>IF(I36="有",IF(I35="有","Ⅰと同時算定不可",""),"")</f>
        <v/>
      </c>
      <c r="I36" s="153"/>
      <c r="J36" s="841"/>
      <c r="K36" s="841"/>
      <c r="L36" s="167" t="str">
        <f>IFERROR(IF(I36="有",((入力シート!O63+入力シート!O64)*200+(入力シート!O65+入力シート!O66+入力シート!O67)*100)*入力シート!$H$14/1000,"0"),"")</f>
        <v>0</v>
      </c>
      <c r="O36" s="393"/>
      <c r="Q36" s="524" t="str">
        <f t="shared" ca="1" si="2"/>
        <v/>
      </c>
    </row>
    <row r="37" spans="2:17" s="161" customFormat="1" ht="19.350000000000001" customHeight="1">
      <c r="B37" s="835" t="s">
        <v>139</v>
      </c>
      <c r="C37" s="867" t="s">
        <v>1056</v>
      </c>
      <c r="D37" s="867"/>
      <c r="E37" s="75" t="s">
        <v>1068</v>
      </c>
      <c r="F37" s="66">
        <v>10</v>
      </c>
      <c r="G37" s="551" t="s">
        <v>65</v>
      </c>
      <c r="H37" s="560" t="str">
        <f>IF(I37="有",IF(OR(I40="有",I39="有",I38="有"),"同時算定不可",""),"")</f>
        <v/>
      </c>
      <c r="I37" s="153"/>
      <c r="J37" s="268"/>
      <c r="K37" s="271" t="s">
        <v>206</v>
      </c>
      <c r="L37" s="167" t="str">
        <f>IFERROR(IF(I37="有",F37*J37*入力シート!$H$14/1000,"0"),"")</f>
        <v>0</v>
      </c>
      <c r="O37" s="438"/>
      <c r="Q37" s="524" t="str">
        <f t="shared" ca="1" si="2"/>
        <v/>
      </c>
    </row>
    <row r="38" spans="2:17" s="161" customFormat="1" ht="19.350000000000001" customHeight="1">
      <c r="B38" s="848"/>
      <c r="C38" s="867" t="s">
        <v>1057</v>
      </c>
      <c r="D38" s="867"/>
      <c r="E38" s="75" t="s">
        <v>1068</v>
      </c>
      <c r="F38" s="66">
        <v>15</v>
      </c>
      <c r="G38" s="551" t="s">
        <v>65</v>
      </c>
      <c r="H38" s="560" t="str">
        <f>IF(I38="有",IF(OR(I37="有",I40="有",I39="有"),"同時算定不可",""),"")</f>
        <v/>
      </c>
      <c r="I38" s="153"/>
      <c r="J38" s="459"/>
      <c r="K38" s="271" t="s">
        <v>206</v>
      </c>
      <c r="L38" s="167" t="str">
        <f>IFERROR(IF(I38="有",F38*J38*入力シート!$H$14/1000,"0"),"")</f>
        <v>0</v>
      </c>
      <c r="O38" s="438"/>
      <c r="Q38" s="524" t="str">
        <f t="shared" ca="1" si="2"/>
        <v/>
      </c>
    </row>
    <row r="39" spans="2:17" s="161" customFormat="1" ht="19.5" customHeight="1">
      <c r="B39" s="848"/>
      <c r="C39" s="867" t="s">
        <v>1058</v>
      </c>
      <c r="D39" s="867"/>
      <c r="E39" s="75" t="s">
        <v>1068</v>
      </c>
      <c r="F39" s="66">
        <v>20</v>
      </c>
      <c r="G39" s="551" t="s">
        <v>65</v>
      </c>
      <c r="H39" s="560" t="str">
        <f>IF(I39="有",IF(OR(I38="有",I37="有",I40="有"),"同時算定不可",""),"")</f>
        <v/>
      </c>
      <c r="I39" s="153"/>
      <c r="J39" s="459"/>
      <c r="K39" s="271" t="s">
        <v>206</v>
      </c>
      <c r="L39" s="167" t="str">
        <f>IFERROR(IF(I39="有",F39*J39*入力シート!$H$14/1000,"0"),"")</f>
        <v>0</v>
      </c>
      <c r="O39" s="438"/>
      <c r="Q39" s="524" t="str">
        <f t="shared" ca="1" si="2"/>
        <v/>
      </c>
    </row>
    <row r="40" spans="2:17" s="161" customFormat="1" ht="19.5" customHeight="1">
      <c r="B40" s="836"/>
      <c r="C40" s="867" t="str">
        <f ca="1">IF(入力シート!S2&lt;4,"排せつ支援加算（Ⅳ）","")</f>
        <v>排せつ支援加算（Ⅳ）</v>
      </c>
      <c r="D40" s="867"/>
      <c r="E40" s="75" t="s">
        <v>1068</v>
      </c>
      <c r="F40" s="66">
        <f ca="1">IF(入力シート!S2&lt;4,100,"")</f>
        <v>100</v>
      </c>
      <c r="G40" s="551" t="str">
        <f ca="1">IF(入力シート!S2&lt;4,"月毎","")</f>
        <v>月毎</v>
      </c>
      <c r="H40" s="560" t="str">
        <f>IF(I40="有",IF(OR(I37="有",I39="有",I38="有"),"同時算定不可",""),"")</f>
        <v/>
      </c>
      <c r="I40" s="153"/>
      <c r="J40" s="459"/>
      <c r="K40" s="271" t="str">
        <f ca="1">IF(入力シート!S2&lt;4,"人","")</f>
        <v>人</v>
      </c>
      <c r="L40" s="167" t="str">
        <f>IFERROR(IF(I40="有",F40*J40*入力シート!$H$14/1000,"0"),"")</f>
        <v>0</v>
      </c>
      <c r="O40" s="438"/>
      <c r="Q40" s="524" t="str">
        <f t="shared" ca="1" si="2"/>
        <v/>
      </c>
    </row>
    <row r="41" spans="2:17" s="161" customFormat="1" ht="19.350000000000001" customHeight="1">
      <c r="B41" s="550" t="s">
        <v>1048</v>
      </c>
      <c r="C41" s="837"/>
      <c r="D41" s="838"/>
      <c r="E41" s="75" t="s">
        <v>1068</v>
      </c>
      <c r="F41" s="66">
        <v>300</v>
      </c>
      <c r="G41" s="551" t="s">
        <v>65</v>
      </c>
      <c r="H41" s="549"/>
      <c r="I41" s="153"/>
      <c r="J41" s="459"/>
      <c r="K41" s="271" t="s">
        <v>206</v>
      </c>
      <c r="L41" s="167" t="str">
        <f>IFERROR(IF(I41="有",F41*J41*入力シート!$H$14/1000,"0"),"")</f>
        <v>0</v>
      </c>
      <c r="O41" s="438"/>
      <c r="Q41" s="524" t="str">
        <f t="shared" ca="1" si="2"/>
        <v/>
      </c>
    </row>
    <row r="42" spans="2:17" s="161" customFormat="1" ht="19.350000000000001" customHeight="1">
      <c r="B42" s="835" t="s">
        <v>1049</v>
      </c>
      <c r="C42" s="839" t="s">
        <v>1050</v>
      </c>
      <c r="D42" s="840"/>
      <c r="E42" s="75" t="s">
        <v>1068</v>
      </c>
      <c r="F42" s="66">
        <v>40</v>
      </c>
      <c r="G42" s="551" t="s">
        <v>65</v>
      </c>
      <c r="H42" s="560" t="str">
        <f>IF(I42="有",IF(I43="有","Ⅱと同時算定不可",""),"")</f>
        <v/>
      </c>
      <c r="I42" s="153"/>
      <c r="J42" s="841"/>
      <c r="K42" s="841"/>
      <c r="L42" s="167" t="str">
        <f>IFERROR(IF(I42="有",F42*入力シート!$T$69/365*12*入力シート!$H$14/1000,"0"),"")</f>
        <v>0</v>
      </c>
      <c r="O42" s="438"/>
      <c r="Q42" s="524" t="str">
        <f t="shared" ca="1" si="2"/>
        <v/>
      </c>
    </row>
    <row r="43" spans="2:17" s="161" customFormat="1" ht="19.350000000000001" customHeight="1">
      <c r="B43" s="836"/>
      <c r="C43" s="839" t="s">
        <v>1051</v>
      </c>
      <c r="D43" s="840"/>
      <c r="E43" s="75" t="s">
        <v>1068</v>
      </c>
      <c r="F43" s="66">
        <v>60</v>
      </c>
      <c r="G43" s="551" t="s">
        <v>65</v>
      </c>
      <c r="H43" s="560" t="str">
        <f>IF(I43="有",IF(I42="有","Ⅰと同時算定不可",""),"")</f>
        <v/>
      </c>
      <c r="I43" s="153"/>
      <c r="J43" s="841"/>
      <c r="K43" s="841"/>
      <c r="L43" s="460" t="str">
        <f>IFERROR(IF(I43="有",F43*入力シート!$T$69/365*12*入力シート!$H$14/1000,"0"),"")</f>
        <v>0</v>
      </c>
      <c r="O43" s="438"/>
      <c r="Q43" s="524" t="str">
        <f t="shared" ca="1" si="2"/>
        <v/>
      </c>
    </row>
    <row r="44" spans="2:17" s="161" customFormat="1" ht="19.350000000000001" customHeight="1">
      <c r="B44" s="550" t="s">
        <v>1041</v>
      </c>
      <c r="C44" s="842"/>
      <c r="D44" s="842"/>
      <c r="E44" s="75" t="s">
        <v>1068</v>
      </c>
      <c r="F44" s="66">
        <v>60</v>
      </c>
      <c r="G44" s="551" t="s">
        <v>100</v>
      </c>
      <c r="H44" s="561"/>
      <c r="I44" s="446"/>
      <c r="J44" s="268"/>
      <c r="K44" s="271" t="s">
        <v>206</v>
      </c>
      <c r="L44" s="167" t="str">
        <f>IFERROR(IF(I44="有",F44*J44*入力シート!$H$14/1000,"0"),"")</f>
        <v>0</v>
      </c>
      <c r="O44" s="438"/>
      <c r="Q44" s="524" t="str">
        <f t="shared" ca="1" si="2"/>
        <v/>
      </c>
    </row>
    <row r="45" spans="2:17" s="161" customFormat="1" ht="19.350000000000001" customHeight="1">
      <c r="B45" s="550" t="s">
        <v>1053</v>
      </c>
      <c r="C45" s="842"/>
      <c r="D45" s="842"/>
      <c r="E45" s="75" t="s">
        <v>1068</v>
      </c>
      <c r="F45" s="66">
        <v>20</v>
      </c>
      <c r="G45" s="549" t="s">
        <v>161</v>
      </c>
      <c r="H45" s="561"/>
      <c r="I45" s="446"/>
      <c r="J45" s="459"/>
      <c r="K45" s="271" t="s">
        <v>1061</v>
      </c>
      <c r="L45" s="458" t="str">
        <f>IFERROR(IF(I45="有",F45*J45*入力シート!$H$14/1000,"0"),"")</f>
        <v>0</v>
      </c>
      <c r="Q45" s="524" t="str">
        <f t="shared" ca="1" si="2"/>
        <v/>
      </c>
    </row>
    <row r="46" spans="2:17" s="161" customFormat="1" ht="19.350000000000001" customHeight="1">
      <c r="B46" s="870" t="s">
        <v>192</v>
      </c>
      <c r="C46" s="849" t="s">
        <v>1059</v>
      </c>
      <c r="D46" s="849"/>
      <c r="E46" s="75">
        <v>143</v>
      </c>
      <c r="F46" s="66">
        <v>22</v>
      </c>
      <c r="G46" s="864" t="s">
        <v>64</v>
      </c>
      <c r="H46" s="910" t="s">
        <v>827</v>
      </c>
      <c r="I46" s="153"/>
      <c r="J46" s="841"/>
      <c r="K46" s="841"/>
      <c r="L46" s="167" t="str">
        <f>IFERROR(IF(I46="有",F46*入力シート!$T$69*入力シート!$H$14/1000,"0"),"")</f>
        <v>0</v>
      </c>
      <c r="Q46" s="524" t="str">
        <f t="shared" ca="1" si="2"/>
        <v/>
      </c>
    </row>
    <row r="47" spans="2:17" s="161" customFormat="1" ht="19.350000000000001" customHeight="1">
      <c r="B47" s="870"/>
      <c r="C47" s="849" t="s">
        <v>859</v>
      </c>
      <c r="D47" s="849"/>
      <c r="E47" s="75">
        <v>143</v>
      </c>
      <c r="F47" s="51">
        <v>18</v>
      </c>
      <c r="G47" s="864"/>
      <c r="H47" s="911"/>
      <c r="I47" s="153"/>
      <c r="J47" s="841"/>
      <c r="K47" s="841"/>
      <c r="L47" s="167" t="str">
        <f>IFERROR(IF(I47="有",F47*入力シート!$T$69*入力シート!$H$14/1000,"0"),"")</f>
        <v>0</v>
      </c>
      <c r="M47" s="193"/>
      <c r="N47" s="872" t="s">
        <v>759</v>
      </c>
      <c r="O47" s="872"/>
      <c r="P47" s="872"/>
      <c r="Q47" s="524" t="str">
        <f t="shared" ca="1" si="2"/>
        <v/>
      </c>
    </row>
    <row r="48" spans="2:17" s="161" customFormat="1" ht="19.350000000000001" customHeight="1">
      <c r="B48" s="870"/>
      <c r="C48" s="849" t="s">
        <v>96</v>
      </c>
      <c r="D48" s="849"/>
      <c r="E48" s="75">
        <v>143</v>
      </c>
      <c r="F48" s="51">
        <v>6</v>
      </c>
      <c r="G48" s="864"/>
      <c r="H48" s="911"/>
      <c r="I48" s="153"/>
      <c r="J48" s="841"/>
      <c r="K48" s="841"/>
      <c r="L48" s="167" t="str">
        <f>IFERROR(IF(I48="有",F48*入力シート!$T$69*入力シート!$H$14/1000,"0"),"")</f>
        <v>0</v>
      </c>
      <c r="O48" s="69"/>
      <c r="P48" s="69" t="e">
        <f>(SUM(L5:L9)+SUM(L14:L48)+SUM(L58:L61))/入力シート!$H$14*1000</f>
        <v>#VALUE!</v>
      </c>
      <c r="Q48" s="524" t="str">
        <f t="shared" ca="1" si="2"/>
        <v/>
      </c>
    </row>
    <row r="49" spans="2:17" s="161" customFormat="1" ht="19.350000000000001" customHeight="1">
      <c r="B49" s="835" t="s">
        <v>901</v>
      </c>
      <c r="C49" s="908" t="s">
        <v>860</v>
      </c>
      <c r="D49" s="908"/>
      <c r="E49" s="165">
        <v>144</v>
      </c>
      <c r="F49" s="554" t="s">
        <v>865</v>
      </c>
      <c r="G49" s="554" t="s">
        <v>65</v>
      </c>
      <c r="H49" s="918" t="s">
        <v>827</v>
      </c>
      <c r="I49" s="153"/>
      <c r="J49" s="841"/>
      <c r="K49" s="841"/>
      <c r="L49" s="191" t="str">
        <f>IFERROR(IF(I49="有",(入力シート!$T$70+$P$48)*入力シート!$H$14/1000*26/1000,"0"),"")</f>
        <v>0</v>
      </c>
      <c r="Q49" s="524" t="str">
        <f t="shared" ca="1" si="2"/>
        <v/>
      </c>
    </row>
    <row r="50" spans="2:17" s="161" customFormat="1" ht="19.350000000000001" customHeight="1">
      <c r="B50" s="848"/>
      <c r="C50" s="908" t="s">
        <v>866</v>
      </c>
      <c r="D50" s="908"/>
      <c r="E50" s="165">
        <v>144</v>
      </c>
      <c r="F50" s="554" t="s">
        <v>862</v>
      </c>
      <c r="G50" s="554" t="s">
        <v>65</v>
      </c>
      <c r="H50" s="919"/>
      <c r="I50" s="153"/>
      <c r="J50" s="841"/>
      <c r="K50" s="841"/>
      <c r="L50" s="191" t="str">
        <f>IFERROR(IF(I50="有",(入力シート!$T$70+$P$48)*入力シート!$H$14/1000*19/1000,"0"),"")</f>
        <v>0</v>
      </c>
      <c r="Q50" s="524" t="str">
        <f t="shared" ca="1" si="2"/>
        <v/>
      </c>
    </row>
    <row r="51" spans="2:17" s="161" customFormat="1" ht="19.350000000000001" customHeight="1">
      <c r="B51" s="848"/>
      <c r="C51" s="908" t="s">
        <v>863</v>
      </c>
      <c r="D51" s="908"/>
      <c r="E51" s="165">
        <v>144</v>
      </c>
      <c r="F51" s="554" t="s">
        <v>833</v>
      </c>
      <c r="G51" s="554" t="s">
        <v>65</v>
      </c>
      <c r="H51" s="919"/>
      <c r="I51" s="153"/>
      <c r="J51" s="841"/>
      <c r="K51" s="841"/>
      <c r="L51" s="191" t="str">
        <f>IFERROR(IF(I51="有",(入力シート!$T$70+$P$48)*入力シート!$H$14/1000*10/1000,"0"),"")</f>
        <v>0</v>
      </c>
      <c r="Q51" s="524" t="str">
        <f t="shared" ca="1" si="2"/>
        <v/>
      </c>
    </row>
    <row r="52" spans="2:17" s="161" customFormat="1" ht="19.350000000000001" customHeight="1">
      <c r="B52" s="848"/>
      <c r="C52" s="849" t="str">
        <f ca="1">IF(入力シート!S2&lt;4,"介護職員処遇改善加算（Ⅳ）","")</f>
        <v>介護職員処遇改善加算（Ⅳ）</v>
      </c>
      <c r="D52" s="849"/>
      <c r="E52" s="75" t="str">
        <f ca="1">IF(入力シート!S2&lt;4,"P.144","")</f>
        <v>P.144</v>
      </c>
      <c r="F52" s="551" t="str">
        <f ca="1">IF(入力シート!S2&lt;4,"×10/1000×0.9","")</f>
        <v>×10/1000×0.9</v>
      </c>
      <c r="G52" s="551" t="str">
        <f ca="1">IF(入力シート!S2&lt;4,"月毎","")</f>
        <v>月毎</v>
      </c>
      <c r="H52" s="919"/>
      <c r="I52" s="153"/>
      <c r="J52" s="841"/>
      <c r="K52" s="841"/>
      <c r="L52" s="191" t="str">
        <f>IFERROR(IF(I52="有",(入力シート!$T$70+$P$48)*入力シート!$H$14/1000*9/1000,"0"),"")</f>
        <v>0</v>
      </c>
      <c r="Q52" s="524" t="str">
        <f t="shared" ca="1" si="2"/>
        <v/>
      </c>
    </row>
    <row r="53" spans="2:17" s="161" customFormat="1" ht="19.350000000000001" customHeight="1">
      <c r="B53" s="836"/>
      <c r="C53" s="849" t="str">
        <f ca="1">IF(入力シート!S2&lt;4,"介護職員処遇改善加算（Ⅴ）","")</f>
        <v>介護職員処遇改善加算（Ⅴ）</v>
      </c>
      <c r="D53" s="849"/>
      <c r="E53" s="75" t="str">
        <f ca="1">IF(入力シート!S2&lt;4,"P.144","")</f>
        <v>P.144</v>
      </c>
      <c r="F53" s="551" t="str">
        <f ca="1">IF(入力シート!S2&lt;4,"×10/1000×0.8","")</f>
        <v>×10/1000×0.8</v>
      </c>
      <c r="G53" s="551" t="str">
        <f ca="1">IF(入力シート!S2&lt;4,"月毎","")</f>
        <v>月毎</v>
      </c>
      <c r="H53" s="920"/>
      <c r="I53" s="153"/>
      <c r="J53" s="841"/>
      <c r="K53" s="841"/>
      <c r="L53" s="191" t="str">
        <f>IFERROR(IF(I53="有",(入力シート!$T$70+$P$48)*入力シート!$H$14/1000*8/1000,"0"),"")</f>
        <v>0</v>
      </c>
      <c r="Q53" s="524" t="str">
        <f t="shared" ca="1" si="2"/>
        <v/>
      </c>
    </row>
    <row r="54" spans="2:17" s="161" customFormat="1" ht="19.350000000000001" customHeight="1">
      <c r="B54" s="870" t="s">
        <v>899</v>
      </c>
      <c r="C54" s="849" t="s">
        <v>1009</v>
      </c>
      <c r="D54" s="849"/>
      <c r="E54" s="165">
        <v>146</v>
      </c>
      <c r="F54" s="554" t="s">
        <v>834</v>
      </c>
      <c r="G54" s="554" t="s">
        <v>65</v>
      </c>
      <c r="H54" s="556" t="str">
        <f>IF(AND(I54="有",OR(SUM(L49:L51)=0,I55="有")),"！算定不可！","")</f>
        <v/>
      </c>
      <c r="I54" s="153"/>
      <c r="J54" s="841"/>
      <c r="K54" s="841"/>
      <c r="L54" s="191" t="str">
        <f>IFERROR(IF(I54="有",(入力シート!$T$70+$P$48)*入力シート!$H$14/1000*15/1000,"0"),"")</f>
        <v>0</v>
      </c>
      <c r="M54" s="181"/>
      <c r="N54" s="193"/>
      <c r="O54" s="193"/>
      <c r="P54" s="193"/>
      <c r="Q54" s="524" t="str">
        <f t="shared" ca="1" si="2"/>
        <v/>
      </c>
    </row>
    <row r="55" spans="2:17" s="161" customFormat="1" ht="19.350000000000001" customHeight="1">
      <c r="B55" s="876"/>
      <c r="C55" s="877" t="s">
        <v>1010</v>
      </c>
      <c r="D55" s="877"/>
      <c r="E55" s="171">
        <v>146</v>
      </c>
      <c r="F55" s="227" t="s">
        <v>835</v>
      </c>
      <c r="G55" s="227" t="s">
        <v>65</v>
      </c>
      <c r="H55" s="562" t="str">
        <f>IF(AND(I55="有",OR(SUM(L49:L51)=0,I54="有")),"！算定不可！","")</f>
        <v/>
      </c>
      <c r="I55" s="154"/>
      <c r="J55" s="878"/>
      <c r="K55" s="878"/>
      <c r="L55" s="195" t="str">
        <f>IFERROR(IF(I55="有",(入力シート!$T$70+$P$48)*入力シート!$H$14/1000*11/1000,"0"),"")</f>
        <v>0</v>
      </c>
      <c r="M55" s="181"/>
      <c r="N55" s="193"/>
      <c r="O55" s="193"/>
      <c r="P55" s="193"/>
      <c r="Q55" s="524" t="str">
        <f t="shared" ca="1" si="2"/>
        <v/>
      </c>
    </row>
    <row r="56" spans="2:17" s="161" customFormat="1" ht="19.350000000000001" customHeight="1">
      <c r="B56" s="563" t="str">
        <f>IF(OR(H54="！算定不可！",H55="！算定不可！"),"↑（エラー）「介護職員等特定処遇改善加算」は「介護職員改善加算」の算定が条件です。また、介護職員等特定処遇改善加算（Ⅰ）、（Ⅱ）の同時算定はできません。","")</f>
        <v/>
      </c>
      <c r="C56" s="564"/>
      <c r="D56" s="564"/>
      <c r="E56" s="564"/>
      <c r="F56" s="564"/>
      <c r="G56" s="564"/>
      <c r="H56" s="564"/>
      <c r="I56" s="527"/>
      <c r="J56" s="273"/>
      <c r="K56" s="273"/>
      <c r="L56" s="273"/>
      <c r="M56" s="193"/>
      <c r="N56" s="193"/>
      <c r="O56" s="193"/>
      <c r="Q56" s="530"/>
    </row>
    <row r="57" spans="2:17" s="161" customFormat="1" ht="19.350000000000001" customHeight="1">
      <c r="B57" s="62" t="s">
        <v>1060</v>
      </c>
      <c r="C57" s="916"/>
      <c r="D57" s="916"/>
      <c r="E57" s="474" t="s">
        <v>1068</v>
      </c>
      <c r="F57" s="63">
        <v>-5</v>
      </c>
      <c r="G57" s="64" t="s">
        <v>158</v>
      </c>
      <c r="H57" s="565"/>
      <c r="I57" s="155"/>
      <c r="J57" s="917"/>
      <c r="K57" s="917"/>
      <c r="L57" s="401" t="str">
        <f>IFERROR(IF(I57="有",F57*入力シート!$T$69*入力シート!$H$14/1000,"0"),"")</f>
        <v>0</v>
      </c>
      <c r="M57" s="193"/>
      <c r="N57" s="193"/>
      <c r="O57" s="193"/>
      <c r="Q57" s="524" t="str">
        <f t="shared" ca="1" si="2"/>
        <v/>
      </c>
    </row>
    <row r="58" spans="2:17" s="161" customFormat="1" ht="19.350000000000001" customHeight="1">
      <c r="B58" s="555" t="s">
        <v>900</v>
      </c>
      <c r="C58" s="912"/>
      <c r="D58" s="912"/>
      <c r="E58" s="471">
        <v>113</v>
      </c>
      <c r="F58" s="566">
        <v>-25</v>
      </c>
      <c r="G58" s="473" t="s">
        <v>158</v>
      </c>
      <c r="H58" s="567"/>
      <c r="I58" s="457"/>
      <c r="J58" s="913"/>
      <c r="K58" s="913"/>
      <c r="L58" s="167" t="str">
        <f>IFERROR(IF(I58="有",F58*入力シート!$T$69*入力シート!$H$14/1000,"0"),"")</f>
        <v>0</v>
      </c>
      <c r="Q58" s="524" t="str">
        <f t="shared" ca="1" si="2"/>
        <v/>
      </c>
    </row>
    <row r="59" spans="2:17" s="161" customFormat="1" ht="19.350000000000001" customHeight="1">
      <c r="B59" s="552" t="s">
        <v>903</v>
      </c>
      <c r="C59" s="898"/>
      <c r="D59" s="898"/>
      <c r="E59" s="165">
        <v>113</v>
      </c>
      <c r="F59" s="166">
        <v>-25</v>
      </c>
      <c r="G59" s="553" t="s">
        <v>158</v>
      </c>
      <c r="H59" s="568"/>
      <c r="I59" s="153"/>
      <c r="J59" s="841"/>
      <c r="K59" s="841"/>
      <c r="L59" s="167" t="str">
        <f>IFERROR(IF(I59="有",F59*入力シート!$T$69*入力シート!$H$14/1000,"0"),"")</f>
        <v>0</v>
      </c>
      <c r="M59" s="193"/>
      <c r="N59" s="193"/>
      <c r="O59" s="193"/>
      <c r="Q59" s="524" t="str">
        <f t="shared" ca="1" si="2"/>
        <v/>
      </c>
    </row>
    <row r="60" spans="2:17" s="161" customFormat="1" ht="19.350000000000001" customHeight="1">
      <c r="B60" s="552" t="s">
        <v>905</v>
      </c>
      <c r="C60" s="898"/>
      <c r="D60" s="898"/>
      <c r="E60" s="165">
        <v>113</v>
      </c>
      <c r="F60" s="166">
        <v>-25</v>
      </c>
      <c r="G60" s="553" t="s">
        <v>158</v>
      </c>
      <c r="H60" s="568"/>
      <c r="I60" s="528" t="str">
        <f>IF(L60="0","","有")</f>
        <v/>
      </c>
      <c r="J60" s="841" t="str">
        <f>IF(L60="","","A病棟で入力")</f>
        <v>A病棟で入力</v>
      </c>
      <c r="K60" s="841"/>
      <c r="L60" s="167" t="str">
        <f>IFERROR(IF('加算項目（A病棟）'!L60="0","0",F60*入力シート!$T$69*入力シート!$H$14/1000),"")</f>
        <v>0</v>
      </c>
      <c r="M60" s="193"/>
      <c r="N60" s="193"/>
      <c r="O60" s="193"/>
      <c r="Q60" s="524" t="str">
        <f t="shared" ca="1" si="2"/>
        <v/>
      </c>
    </row>
    <row r="61" spans="2:17" s="161" customFormat="1" ht="19.350000000000001" customHeight="1">
      <c r="B61" s="121" t="str">
        <f ca="1">IF(入力シート!S2=5,"（減算）栄養ケア・マネジメントの未実施減算","")</f>
        <v/>
      </c>
      <c r="C61" s="914"/>
      <c r="D61" s="914"/>
      <c r="E61" s="122" t="s">
        <v>1068</v>
      </c>
      <c r="F61" s="123" t="str">
        <f ca="1">IF(入力シート!S2=5,-14,"")</f>
        <v/>
      </c>
      <c r="G61" s="124" t="str">
        <f ca="1">IF(入力シート!S2=5,"日毎","")</f>
        <v/>
      </c>
      <c r="H61" s="125"/>
      <c r="I61" s="157"/>
      <c r="J61" s="915"/>
      <c r="K61" s="915"/>
      <c r="L61" s="203" t="str">
        <f>IFERROR(IF(I61="有",F61*入力シート!$T$69*入力シート!$H$14/1000,""),"")</f>
        <v/>
      </c>
      <c r="M61" s="193"/>
      <c r="N61" s="193"/>
      <c r="O61" s="193"/>
      <c r="Q61" s="524" t="str">
        <f t="shared" ca="1" si="2"/>
        <v/>
      </c>
    </row>
    <row r="62" spans="2:17" s="161" customFormat="1" ht="19.350000000000001" customHeight="1">
      <c r="B62" s="922" t="str">
        <f>IF(AND(I58="有",OR(I6="有",I7="有",I8="有",I5="有")),"（エラー）夜勤体制減算を算定している場合、夜間勤務等看護加算等は算定できません","")</f>
        <v/>
      </c>
      <c r="C62" s="922"/>
      <c r="D62" s="922"/>
      <c r="E62" s="922"/>
      <c r="F62" s="922"/>
      <c r="G62" s="922"/>
      <c r="H62" s="922"/>
      <c r="I62" s="529"/>
      <c r="L62" s="204"/>
      <c r="Q62" s="523"/>
    </row>
    <row r="63" spans="2:17" s="161" customFormat="1" ht="19.7" customHeight="1">
      <c r="I63" s="517"/>
      <c r="J63" s="882" t="s">
        <v>1015</v>
      </c>
      <c r="K63" s="882"/>
      <c r="L63" s="882"/>
      <c r="Q63" s="523"/>
    </row>
    <row r="64" spans="2:17" s="161" customFormat="1" ht="24.6" customHeight="1">
      <c r="B64" s="883" t="str">
        <f>HYPERLINK("#'入力シート'!A69","特別診療費を入力しない場合はこちらをクリックしてください")</f>
        <v>特別診療費を入力しない場合はこちらをクリックしてください</v>
      </c>
      <c r="C64" s="884"/>
      <c r="D64" s="884"/>
      <c r="E64" s="884"/>
      <c r="F64" s="884"/>
      <c r="G64" s="884"/>
      <c r="I64" s="518"/>
      <c r="J64" s="885">
        <f>IFERROR(SUM(L5:L61),"")</f>
        <v>0</v>
      </c>
      <c r="K64" s="885"/>
      <c r="L64" s="885"/>
      <c r="Q64" s="523"/>
    </row>
    <row r="65" spans="2:17" ht="19.350000000000001" customHeight="1">
      <c r="J65" s="886" t="s">
        <v>1014</v>
      </c>
      <c r="K65" s="886"/>
      <c r="L65" s="886"/>
    </row>
    <row r="66" spans="2:17" ht="19.350000000000001" customHeight="1">
      <c r="B66" s="887" t="s">
        <v>761</v>
      </c>
      <c r="C66" s="887"/>
      <c r="D66" s="887"/>
      <c r="E66" s="162"/>
      <c r="F66" s="162"/>
      <c r="G66" s="162"/>
      <c r="H66" s="162"/>
      <c r="I66" s="519"/>
      <c r="J66" s="162"/>
      <c r="K66" s="162"/>
      <c r="L66" s="163"/>
      <c r="M66" s="162"/>
    </row>
    <row r="67" spans="2:17" ht="19.350000000000001" customHeight="1">
      <c r="B67" s="879" t="s">
        <v>748</v>
      </c>
      <c r="C67" s="879"/>
      <c r="D67" s="879"/>
      <c r="E67" s="161"/>
      <c r="F67" s="161"/>
      <c r="G67" s="161"/>
      <c r="H67" s="205"/>
      <c r="I67" s="520"/>
      <c r="J67" s="880" t="s">
        <v>749</v>
      </c>
      <c r="K67" s="880"/>
      <c r="L67" s="880"/>
    </row>
    <row r="68" spans="2:17" ht="33">
      <c r="B68" s="207" t="s">
        <v>172</v>
      </c>
      <c r="C68" s="921" t="s">
        <v>173</v>
      </c>
      <c r="D68" s="921"/>
      <c r="E68" s="164" t="s">
        <v>831</v>
      </c>
      <c r="F68" s="389" t="s">
        <v>63</v>
      </c>
      <c r="G68" s="207" t="s">
        <v>160</v>
      </c>
      <c r="H68" s="208"/>
      <c r="I68" s="512" t="s">
        <v>66</v>
      </c>
      <c r="J68" s="863" t="s">
        <v>202</v>
      </c>
      <c r="K68" s="863"/>
      <c r="L68" s="209" t="s">
        <v>207</v>
      </c>
      <c r="Q68" s="512" t="s">
        <v>66</v>
      </c>
    </row>
    <row r="69" spans="2:17" ht="19.350000000000001" customHeight="1">
      <c r="B69" s="550" t="s">
        <v>166</v>
      </c>
      <c r="C69" s="898"/>
      <c r="D69" s="898"/>
      <c r="E69" s="165">
        <v>148</v>
      </c>
      <c r="F69" s="166">
        <v>6</v>
      </c>
      <c r="G69" s="553" t="s">
        <v>158</v>
      </c>
      <c r="H69" s="568"/>
      <c r="I69" s="158"/>
      <c r="J69" s="841"/>
      <c r="K69" s="841"/>
      <c r="L69" s="167" t="str">
        <f>IFERROR(IF(I69="有",F69*入力シート!$T$69*入力シート!$H$14/1000,"0"),"")</f>
        <v>0</v>
      </c>
      <c r="Q69" s="524" t="str">
        <f t="shared" ref="Q69:Q100" ca="1" si="3">IFERROR(IF(INDEX(INDIRECT($Q$3),ROW())="有","有",""),"")</f>
        <v/>
      </c>
    </row>
    <row r="70" spans="2:17" ht="19.350000000000001" customHeight="1">
      <c r="B70" s="835" t="s">
        <v>167</v>
      </c>
      <c r="C70" s="843" t="s">
        <v>1054</v>
      </c>
      <c r="D70" s="843"/>
      <c r="E70" s="75">
        <v>149</v>
      </c>
      <c r="F70" s="51">
        <v>6</v>
      </c>
      <c r="G70" s="549" t="s">
        <v>158</v>
      </c>
      <c r="H70" s="569"/>
      <c r="I70" s="153"/>
      <c r="J70" s="841"/>
      <c r="K70" s="841"/>
      <c r="L70" s="167" t="str">
        <f>IFERROR(IF(I70="有",F70*入力シート!$T$69*入力シート!$H$14/1000,"0"),"")</f>
        <v>0</v>
      </c>
      <c r="Q70" s="524" t="str">
        <f t="shared" ca="1" si="3"/>
        <v/>
      </c>
    </row>
    <row r="71" spans="2:17" ht="19.350000000000001" customHeight="1">
      <c r="B71" s="836"/>
      <c r="C71" s="843" t="s">
        <v>1055</v>
      </c>
      <c r="D71" s="843"/>
      <c r="E71" s="75" t="s">
        <v>1068</v>
      </c>
      <c r="F71" s="51">
        <v>10</v>
      </c>
      <c r="G71" s="549" t="s">
        <v>65</v>
      </c>
      <c r="H71" s="569"/>
      <c r="I71" s="153"/>
      <c r="J71" s="268"/>
      <c r="K71" s="271" t="s">
        <v>206</v>
      </c>
      <c r="L71" s="167" t="str">
        <f>IFERROR(IF(I71="有",F71*J71*入力シート!$H$14/1000,"0"),"")</f>
        <v>0</v>
      </c>
      <c r="Q71" s="524" t="str">
        <f t="shared" ca="1" si="3"/>
        <v/>
      </c>
    </row>
    <row r="72" spans="2:17" ht="19.350000000000001" customHeight="1">
      <c r="B72" s="552" t="s">
        <v>168</v>
      </c>
      <c r="C72" s="898"/>
      <c r="D72" s="898"/>
      <c r="E72" s="165">
        <v>150</v>
      </c>
      <c r="F72" s="166">
        <v>250</v>
      </c>
      <c r="G72" s="553" t="s">
        <v>159</v>
      </c>
      <c r="H72" s="568"/>
      <c r="I72" s="153"/>
      <c r="J72" s="268"/>
      <c r="K72" s="271" t="s">
        <v>159</v>
      </c>
      <c r="L72" s="167" t="str">
        <f>IFERROR(IF(I72="有",F72*J72*入力シート!$H$14/1000,"0"),"")</f>
        <v>0</v>
      </c>
      <c r="Q72" s="524" t="str">
        <f t="shared" ca="1" si="3"/>
        <v/>
      </c>
    </row>
    <row r="73" spans="2:17" ht="19.350000000000001" customHeight="1">
      <c r="B73" s="552" t="s">
        <v>169</v>
      </c>
      <c r="C73" s="898"/>
      <c r="D73" s="898"/>
      <c r="E73" s="211">
        <v>151</v>
      </c>
      <c r="F73" s="166">
        <v>125</v>
      </c>
      <c r="G73" s="553" t="s">
        <v>158</v>
      </c>
      <c r="H73" s="568"/>
      <c r="I73" s="153"/>
      <c r="J73" s="268"/>
      <c r="K73" s="271" t="s">
        <v>206</v>
      </c>
      <c r="L73" s="167" t="str">
        <f>IFERROR(IF(I73="有",F73*J73*入力シート!$H$14/1000,"0"),"")</f>
        <v>0</v>
      </c>
      <c r="Q73" s="524" t="str">
        <f t="shared" ca="1" si="3"/>
        <v/>
      </c>
    </row>
    <row r="74" spans="2:17" ht="19.350000000000001" customHeight="1">
      <c r="B74" s="924" t="s">
        <v>170</v>
      </c>
      <c r="C74" s="898"/>
      <c r="D74" s="898"/>
      <c r="E74" s="211">
        <v>152</v>
      </c>
      <c r="F74" s="166">
        <v>250</v>
      </c>
      <c r="G74" s="553" t="s">
        <v>158</v>
      </c>
      <c r="H74" s="559"/>
      <c r="I74" s="153"/>
      <c r="J74" s="268"/>
      <c r="K74" s="271" t="s">
        <v>206</v>
      </c>
      <c r="L74" s="167" t="str">
        <f>IFERROR(IF(I74="有",F74*J74*入力シート!$H$14/1000,"0"),"")</f>
        <v>0</v>
      </c>
      <c r="M74" s="212"/>
      <c r="N74" s="145"/>
      <c r="O74" s="145"/>
      <c r="P74" s="145"/>
      <c r="Q74" s="524" t="str">
        <f t="shared" ca="1" si="3"/>
        <v/>
      </c>
    </row>
    <row r="75" spans="2:17" ht="19.350000000000001" customHeight="1">
      <c r="B75" s="925"/>
      <c r="C75" s="927" t="s">
        <v>956</v>
      </c>
      <c r="D75" s="927"/>
      <c r="E75" s="211">
        <v>152</v>
      </c>
      <c r="F75" s="166">
        <v>300</v>
      </c>
      <c r="G75" s="553" t="s">
        <v>158</v>
      </c>
      <c r="H75" s="559" t="str">
        <f>IF(I75="有",IF(I74="有","","！算定不可！"),"")</f>
        <v/>
      </c>
      <c r="I75" s="153"/>
      <c r="J75" s="268"/>
      <c r="K75" s="271" t="s">
        <v>206</v>
      </c>
      <c r="L75" s="167" t="str">
        <f>IFERROR(IF(I75="有",F75*J75*入力シート!$H$14/1000,"0"),"")</f>
        <v>0</v>
      </c>
      <c r="M75" s="212"/>
      <c r="N75" s="145"/>
      <c r="O75" s="145"/>
      <c r="P75" s="145"/>
      <c r="Q75" s="524" t="str">
        <f t="shared" ca="1" si="3"/>
        <v/>
      </c>
    </row>
    <row r="76" spans="2:17" ht="19.350000000000001" customHeight="1">
      <c r="B76" s="926"/>
      <c r="C76" s="927" t="s">
        <v>957</v>
      </c>
      <c r="D76" s="927"/>
      <c r="E76" s="211">
        <v>152</v>
      </c>
      <c r="F76" s="166">
        <v>150</v>
      </c>
      <c r="G76" s="553" t="s">
        <v>158</v>
      </c>
      <c r="H76" s="559" t="str">
        <f>IF(I76="有",IF(I74="有","","！算定不可！"),"")</f>
        <v/>
      </c>
      <c r="I76" s="153"/>
      <c r="J76" s="268"/>
      <c r="K76" s="271" t="s">
        <v>206</v>
      </c>
      <c r="L76" s="167" t="str">
        <f>IFERROR(IF(I76="有",F76*J76*入力シート!$H$14/1000,"0"),"")</f>
        <v>0</v>
      </c>
      <c r="M76" s="212"/>
      <c r="N76" s="145"/>
      <c r="O76" s="145"/>
      <c r="P76" s="145"/>
      <c r="Q76" s="524" t="str">
        <f t="shared" ca="1" si="3"/>
        <v/>
      </c>
    </row>
    <row r="77" spans="2:17" ht="19.350000000000001" customHeight="1">
      <c r="B77" s="552" t="s">
        <v>171</v>
      </c>
      <c r="C77" s="898"/>
      <c r="D77" s="898"/>
      <c r="E77" s="211">
        <v>153</v>
      </c>
      <c r="F77" s="166">
        <v>18</v>
      </c>
      <c r="G77" s="553" t="s">
        <v>158</v>
      </c>
      <c r="H77" s="559"/>
      <c r="I77" s="153"/>
      <c r="J77" s="268"/>
      <c r="K77" s="271" t="s">
        <v>206</v>
      </c>
      <c r="L77" s="167" t="str">
        <f>IFERROR(IF(I77="有",F77*J77*入力シート!$H$14/1000,"0"),"")</f>
        <v>0</v>
      </c>
      <c r="Q77" s="524" t="str">
        <f t="shared" ca="1" si="3"/>
        <v/>
      </c>
    </row>
    <row r="78" spans="2:17" ht="19.350000000000001" customHeight="1">
      <c r="B78" s="870" t="s">
        <v>191</v>
      </c>
      <c r="C78" s="842"/>
      <c r="D78" s="842"/>
      <c r="E78" s="80">
        <v>154</v>
      </c>
      <c r="F78" s="51">
        <v>350</v>
      </c>
      <c r="G78" s="549" t="s">
        <v>159</v>
      </c>
      <c r="H78" s="561"/>
      <c r="I78" s="153"/>
      <c r="J78" s="268"/>
      <c r="K78" s="271" t="s">
        <v>206</v>
      </c>
      <c r="L78" s="167" t="str">
        <f>IFERROR(IF(I78="有",F78*J78*入力シート!$H$14/1000,"0"),"")</f>
        <v>0</v>
      </c>
      <c r="Q78" s="524" t="str">
        <f t="shared" ca="1" si="3"/>
        <v/>
      </c>
    </row>
    <row r="79" spans="2:17" ht="19.350000000000001" customHeight="1">
      <c r="B79" s="870"/>
      <c r="C79" s="888" t="s">
        <v>1042</v>
      </c>
      <c r="D79" s="888"/>
      <c r="E79" s="80" t="s">
        <v>1068</v>
      </c>
      <c r="F79" s="51">
        <v>20</v>
      </c>
      <c r="G79" s="549" t="s">
        <v>65</v>
      </c>
      <c r="H79" s="561"/>
      <c r="I79" s="153"/>
      <c r="J79" s="268"/>
      <c r="K79" s="271" t="s">
        <v>206</v>
      </c>
      <c r="L79" s="167" t="str">
        <f>IFERROR(IF(I79="有",F79*J79*入力シート!$H$14/1000,"0"),"")</f>
        <v>0</v>
      </c>
      <c r="Q79" s="524" t="str">
        <f t="shared" ca="1" si="3"/>
        <v/>
      </c>
    </row>
    <row r="80" spans="2:17" ht="19.350000000000001" customHeight="1">
      <c r="B80" s="870"/>
      <c r="C80" s="888" t="s">
        <v>176</v>
      </c>
      <c r="D80" s="888"/>
      <c r="E80" s="80">
        <v>154</v>
      </c>
      <c r="F80" s="51">
        <v>50</v>
      </c>
      <c r="G80" s="549" t="s">
        <v>159</v>
      </c>
      <c r="H80" s="561"/>
      <c r="I80" s="153"/>
      <c r="J80" s="268"/>
      <c r="K80" s="271" t="s">
        <v>159</v>
      </c>
      <c r="L80" s="167" t="str">
        <f>IFERROR(IF(I80="有",F80*J80*入力シート!$H$14/1000,"0"),"")</f>
        <v>0</v>
      </c>
      <c r="Q80" s="524" t="str">
        <f t="shared" ca="1" si="3"/>
        <v/>
      </c>
    </row>
    <row r="81" spans="2:17" ht="19.350000000000001" customHeight="1">
      <c r="B81" s="899" t="s">
        <v>814</v>
      </c>
      <c r="C81" s="923" t="s">
        <v>174</v>
      </c>
      <c r="D81" s="923"/>
      <c r="E81" s="211">
        <v>156</v>
      </c>
      <c r="F81" s="166">
        <v>220</v>
      </c>
      <c r="G81" s="553" t="s">
        <v>159</v>
      </c>
      <c r="H81" s="559"/>
      <c r="I81" s="153"/>
      <c r="J81" s="268"/>
      <c r="K81" s="271" t="s">
        <v>206</v>
      </c>
      <c r="L81" s="167" t="str">
        <f>IFERROR(IF(I81="有",F81*J81*入力シート!$H$14/1000,"0"),"")</f>
        <v>0</v>
      </c>
      <c r="Q81" s="524" t="str">
        <f t="shared" ca="1" si="3"/>
        <v/>
      </c>
    </row>
    <row r="82" spans="2:17" ht="19.350000000000001" customHeight="1">
      <c r="B82" s="899"/>
      <c r="C82" s="923" t="s">
        <v>175</v>
      </c>
      <c r="D82" s="923"/>
      <c r="E82" s="211">
        <v>156</v>
      </c>
      <c r="F82" s="166">
        <v>290</v>
      </c>
      <c r="G82" s="553" t="s">
        <v>159</v>
      </c>
      <c r="H82" s="559"/>
      <c r="I82" s="153"/>
      <c r="J82" s="268"/>
      <c r="K82" s="271" t="s">
        <v>206</v>
      </c>
      <c r="L82" s="167" t="str">
        <f>IFERROR(IF(I82="有",F82*J82*入力シート!$H$14/1000,"0"),"")</f>
        <v>0</v>
      </c>
      <c r="Q82" s="524" t="str">
        <f t="shared" ca="1" si="3"/>
        <v/>
      </c>
    </row>
    <row r="83" spans="2:17" ht="19.350000000000001" customHeight="1">
      <c r="B83" s="899" t="s">
        <v>177</v>
      </c>
      <c r="C83" s="923" t="s">
        <v>178</v>
      </c>
      <c r="D83" s="923"/>
      <c r="E83" s="211">
        <v>158</v>
      </c>
      <c r="F83" s="187">
        <v>123</v>
      </c>
      <c r="G83" s="394" t="s">
        <v>159</v>
      </c>
      <c r="H83" s="169"/>
      <c r="I83" s="153"/>
      <c r="J83" s="268"/>
      <c r="K83" s="271" t="s">
        <v>159</v>
      </c>
      <c r="L83" s="167" t="str">
        <f>IFERROR(IF(I83="有",F83*J83*入力シート!$H$14/1000,"0"),"")</f>
        <v>0</v>
      </c>
      <c r="Q83" s="524" t="str">
        <f t="shared" ca="1" si="3"/>
        <v/>
      </c>
    </row>
    <row r="84" spans="2:17" ht="19.350000000000001" customHeight="1">
      <c r="B84" s="899"/>
      <c r="C84" s="923" t="s">
        <v>180</v>
      </c>
      <c r="D84" s="923"/>
      <c r="E84" s="211">
        <v>161</v>
      </c>
      <c r="F84" s="187">
        <v>480</v>
      </c>
      <c r="G84" s="394" t="s">
        <v>159</v>
      </c>
      <c r="H84" s="213" t="str">
        <f>IF(I84="有",IF(I83="有","","！算定不可！"),"")</f>
        <v/>
      </c>
      <c r="I84" s="153"/>
      <c r="J84" s="268"/>
      <c r="K84" s="271" t="s">
        <v>159</v>
      </c>
      <c r="L84" s="167" t="str">
        <f>IFERROR(IF(I84="有",F84*J84*入力シート!$H$14/1000,"0"),"")</f>
        <v>0</v>
      </c>
      <c r="Q84" s="524" t="str">
        <f t="shared" ca="1" si="3"/>
        <v/>
      </c>
    </row>
    <row r="85" spans="2:17" ht="19.350000000000001" customHeight="1">
      <c r="B85" s="899"/>
      <c r="C85" s="923" t="s">
        <v>181</v>
      </c>
      <c r="D85" s="923"/>
      <c r="E85" s="211">
        <v>161</v>
      </c>
      <c r="F85" s="187">
        <v>300</v>
      </c>
      <c r="G85" s="394" t="s">
        <v>65</v>
      </c>
      <c r="H85" s="213" t="str">
        <f>IF(I85="有",IF(I83="有","","！算定不可！"),"")</f>
        <v/>
      </c>
      <c r="I85" s="153"/>
      <c r="J85" s="268"/>
      <c r="K85" s="271" t="s">
        <v>159</v>
      </c>
      <c r="L85" s="167" t="str">
        <f>IFERROR(IF(I85="有",F85*J85*入力シート!$H$14/1000,"0"),"")</f>
        <v>0</v>
      </c>
      <c r="Q85" s="524" t="str">
        <f t="shared" ca="1" si="3"/>
        <v/>
      </c>
    </row>
    <row r="86" spans="2:17" ht="19.350000000000001" customHeight="1">
      <c r="B86" s="899"/>
      <c r="C86" s="923" t="s">
        <v>182</v>
      </c>
      <c r="D86" s="923"/>
      <c r="E86" s="211">
        <v>161</v>
      </c>
      <c r="F86" s="187">
        <v>35</v>
      </c>
      <c r="G86" s="394" t="s">
        <v>159</v>
      </c>
      <c r="H86" s="213" t="str">
        <f>IF(I86="有",IF(I83="有","","！算定不可！"),"")</f>
        <v/>
      </c>
      <c r="I86" s="153" t="s">
        <v>963</v>
      </c>
      <c r="J86" s="268"/>
      <c r="K86" s="271" t="s">
        <v>159</v>
      </c>
      <c r="L86" s="167" t="str">
        <f>IFERROR(IF(I86="有",F86*J86*入力シート!$H$14/1000,"0"),"")</f>
        <v>0</v>
      </c>
      <c r="Q86" s="524" t="str">
        <f t="shared" ca="1" si="3"/>
        <v/>
      </c>
    </row>
    <row r="87" spans="2:17" ht="19.350000000000001" customHeight="1">
      <c r="B87" s="899"/>
      <c r="C87" s="923" t="s">
        <v>179</v>
      </c>
      <c r="D87" s="923"/>
      <c r="E87" s="211">
        <v>158</v>
      </c>
      <c r="F87" s="187">
        <v>73</v>
      </c>
      <c r="G87" s="394" t="s">
        <v>159</v>
      </c>
      <c r="H87" s="169"/>
      <c r="I87" s="153" t="s">
        <v>963</v>
      </c>
      <c r="J87" s="268"/>
      <c r="K87" s="271" t="s">
        <v>159</v>
      </c>
      <c r="L87" s="167" t="str">
        <f>IFERROR(IF(I87="有",F87*J87*入力シート!$H$14/1000,"0"),"")</f>
        <v>0</v>
      </c>
      <c r="Q87" s="524" t="str">
        <f t="shared" ca="1" si="3"/>
        <v/>
      </c>
    </row>
    <row r="88" spans="2:17" ht="19.350000000000001" customHeight="1">
      <c r="B88" s="899" t="s">
        <v>183</v>
      </c>
      <c r="C88" s="898"/>
      <c r="D88" s="898"/>
      <c r="E88" s="211">
        <v>160</v>
      </c>
      <c r="F88" s="187">
        <v>123</v>
      </c>
      <c r="G88" s="394" t="s">
        <v>159</v>
      </c>
      <c r="H88" s="169"/>
      <c r="I88" s="153" t="s">
        <v>963</v>
      </c>
      <c r="J88" s="268"/>
      <c r="K88" s="271" t="s">
        <v>159</v>
      </c>
      <c r="L88" s="167" t="str">
        <f>IFERROR(IF(I88="有",F88*J88*入力シート!$H$14/1000,"0"),"")</f>
        <v>0</v>
      </c>
      <c r="Q88" s="524" t="str">
        <f t="shared" ca="1" si="3"/>
        <v/>
      </c>
    </row>
    <row r="89" spans="2:17" ht="19.350000000000001" customHeight="1">
      <c r="B89" s="899"/>
      <c r="C89" s="923" t="s">
        <v>180</v>
      </c>
      <c r="D89" s="923"/>
      <c r="E89" s="211">
        <v>161</v>
      </c>
      <c r="F89" s="187">
        <v>480</v>
      </c>
      <c r="G89" s="394" t="s">
        <v>159</v>
      </c>
      <c r="H89" s="169" t="str">
        <f>IF(I89="有",IF(I88="有","","！算定不可！"),"")</f>
        <v/>
      </c>
      <c r="I89" s="153" t="s">
        <v>963</v>
      </c>
      <c r="J89" s="268"/>
      <c r="K89" s="271" t="s">
        <v>159</v>
      </c>
      <c r="L89" s="167" t="str">
        <f>IFERROR(IF(I89="有",F89*J89*入力シート!$H$14/1000,"0"),"")</f>
        <v>0</v>
      </c>
      <c r="Q89" s="524" t="str">
        <f t="shared" ca="1" si="3"/>
        <v/>
      </c>
    </row>
    <row r="90" spans="2:17" ht="19.350000000000001" customHeight="1">
      <c r="B90" s="899"/>
      <c r="C90" s="923" t="s">
        <v>181</v>
      </c>
      <c r="D90" s="923"/>
      <c r="E90" s="211">
        <v>161</v>
      </c>
      <c r="F90" s="187">
        <v>300</v>
      </c>
      <c r="G90" s="394" t="s">
        <v>65</v>
      </c>
      <c r="H90" s="169" t="str">
        <f>IF(I90="有",IF(I88="有","","！算定不可！"),"")</f>
        <v/>
      </c>
      <c r="I90" s="153" t="s">
        <v>963</v>
      </c>
      <c r="J90" s="268"/>
      <c r="K90" s="271" t="s">
        <v>159</v>
      </c>
      <c r="L90" s="167" t="str">
        <f>IFERROR(IF(I90="有",F90*J90*入力シート!$H$14/1000,"0"),"")</f>
        <v>0</v>
      </c>
      <c r="Q90" s="524" t="str">
        <f t="shared" ca="1" si="3"/>
        <v/>
      </c>
    </row>
    <row r="91" spans="2:17" ht="19.350000000000001" customHeight="1">
      <c r="B91" s="899"/>
      <c r="C91" s="923" t="s">
        <v>182</v>
      </c>
      <c r="D91" s="923"/>
      <c r="E91" s="211">
        <v>161</v>
      </c>
      <c r="F91" s="187">
        <v>35</v>
      </c>
      <c r="G91" s="394" t="s">
        <v>159</v>
      </c>
      <c r="H91" s="169" t="str">
        <f>IF(I91="有",IF(I88="有","","！算定不可！"),"")</f>
        <v/>
      </c>
      <c r="I91" s="153" t="s">
        <v>963</v>
      </c>
      <c r="J91" s="268"/>
      <c r="K91" s="271" t="s">
        <v>159</v>
      </c>
      <c r="L91" s="167" t="str">
        <f>IFERROR(IF(I91="有",F91*J91*入力シート!$H$14/1000,"0"),"")</f>
        <v>0</v>
      </c>
      <c r="Q91" s="524" t="str">
        <f t="shared" ca="1" si="3"/>
        <v/>
      </c>
    </row>
    <row r="92" spans="2:17" ht="19.350000000000001" customHeight="1">
      <c r="B92" s="899" t="s">
        <v>184</v>
      </c>
      <c r="C92" s="898"/>
      <c r="D92" s="898"/>
      <c r="E92" s="211">
        <v>162</v>
      </c>
      <c r="F92" s="187">
        <v>203</v>
      </c>
      <c r="G92" s="394" t="s">
        <v>159</v>
      </c>
      <c r="H92" s="169"/>
      <c r="I92" s="153"/>
      <c r="J92" s="268"/>
      <c r="K92" s="271" t="s">
        <v>159</v>
      </c>
      <c r="L92" s="167" t="str">
        <f>IFERROR(IF(I92="有",F92*J92*入力シート!$H$14/1000,"0"),"")</f>
        <v>0</v>
      </c>
      <c r="Q92" s="524" t="str">
        <f t="shared" ca="1" si="3"/>
        <v/>
      </c>
    </row>
    <row r="93" spans="2:17" ht="19.350000000000001" customHeight="1">
      <c r="B93" s="899"/>
      <c r="C93" s="923" t="s">
        <v>182</v>
      </c>
      <c r="D93" s="923"/>
      <c r="E93" s="211">
        <v>162</v>
      </c>
      <c r="F93" s="187">
        <v>35</v>
      </c>
      <c r="G93" s="394" t="s">
        <v>159</v>
      </c>
      <c r="H93" s="169" t="str">
        <f>IF(I93="有",IF(I92="有","","！算定不可！"),"")</f>
        <v/>
      </c>
      <c r="I93" s="153"/>
      <c r="J93" s="268"/>
      <c r="K93" s="271" t="s">
        <v>159</v>
      </c>
      <c r="L93" s="167" t="str">
        <f>IFERROR(IF(I93="有",F93*J93*入力シート!$H$14/1000,"0"),"")</f>
        <v>0</v>
      </c>
      <c r="Q93" s="524" t="str">
        <f t="shared" ca="1" si="3"/>
        <v/>
      </c>
    </row>
    <row r="94" spans="2:17" ht="19.350000000000001" customHeight="1">
      <c r="B94" s="388" t="s">
        <v>185</v>
      </c>
      <c r="C94" s="898"/>
      <c r="D94" s="898"/>
      <c r="E94" s="211">
        <v>163</v>
      </c>
      <c r="F94" s="187">
        <v>50</v>
      </c>
      <c r="G94" s="394" t="s">
        <v>159</v>
      </c>
      <c r="H94" s="169"/>
      <c r="I94" s="153" t="s">
        <v>963</v>
      </c>
      <c r="J94" s="268"/>
      <c r="K94" s="271" t="s">
        <v>206</v>
      </c>
      <c r="L94" s="167" t="str">
        <f>IFERROR(IF(I94="有",F94*J94*入力シート!$H$14/1000,"0"),"")</f>
        <v>0</v>
      </c>
      <c r="Q94" s="524" t="str">
        <f t="shared" ca="1" si="3"/>
        <v/>
      </c>
    </row>
    <row r="95" spans="2:17" ht="19.350000000000001" customHeight="1">
      <c r="B95" s="552" t="s">
        <v>186</v>
      </c>
      <c r="C95" s="898"/>
      <c r="D95" s="898"/>
      <c r="E95" s="211">
        <v>164</v>
      </c>
      <c r="F95" s="166">
        <v>208</v>
      </c>
      <c r="G95" s="553" t="s">
        <v>159</v>
      </c>
      <c r="H95" s="559"/>
      <c r="I95" s="153" t="s">
        <v>963</v>
      </c>
      <c r="J95" s="268"/>
      <c r="K95" s="271" t="s">
        <v>206</v>
      </c>
      <c r="L95" s="167" t="str">
        <f>IFERROR(IF(I95="有",F95*J95*入力シート!$H$14/1000,"0"),"")</f>
        <v>0</v>
      </c>
      <c r="Q95" s="524" t="str">
        <f t="shared" ca="1" si="3"/>
        <v/>
      </c>
    </row>
    <row r="96" spans="2:17" ht="19.350000000000001" customHeight="1">
      <c r="B96" s="552" t="s">
        <v>187</v>
      </c>
      <c r="C96" s="898"/>
      <c r="D96" s="898"/>
      <c r="E96" s="211">
        <v>164</v>
      </c>
      <c r="F96" s="166">
        <v>240</v>
      </c>
      <c r="G96" s="553" t="s">
        <v>158</v>
      </c>
      <c r="H96" s="559"/>
      <c r="I96" s="153" t="s">
        <v>963</v>
      </c>
      <c r="J96" s="268"/>
      <c r="K96" s="271" t="s">
        <v>206</v>
      </c>
      <c r="L96" s="167" t="str">
        <f>IFERROR(IF(I96="有",F96*J96*入力シート!$H$14/1000,"0"),"")</f>
        <v>0</v>
      </c>
      <c r="Q96" s="524" t="str">
        <f t="shared" ca="1" si="3"/>
        <v/>
      </c>
    </row>
    <row r="97" spans="2:17" ht="19.350000000000001" customHeight="1">
      <c r="B97" s="552" t="s">
        <v>188</v>
      </c>
      <c r="C97" s="898"/>
      <c r="D97" s="898"/>
      <c r="E97" s="211">
        <v>165</v>
      </c>
      <c r="F97" s="166">
        <v>240</v>
      </c>
      <c r="G97" s="553" t="s">
        <v>158</v>
      </c>
      <c r="H97" s="559"/>
      <c r="I97" s="153" t="s">
        <v>963</v>
      </c>
      <c r="J97" s="268"/>
      <c r="K97" s="271" t="s">
        <v>206</v>
      </c>
      <c r="L97" s="167" t="str">
        <f>IFERROR(IF(I97="有",F97*J97*入力シート!$H$14/1000,"0"),"")</f>
        <v>0</v>
      </c>
      <c r="Q97" s="524" t="str">
        <f t="shared" ca="1" si="3"/>
        <v/>
      </c>
    </row>
    <row r="98" spans="2:17" ht="19.350000000000001" customHeight="1">
      <c r="B98" s="550" t="s">
        <v>1043</v>
      </c>
      <c r="C98" s="842"/>
      <c r="D98" s="842"/>
      <c r="E98" s="80" t="s">
        <v>1068</v>
      </c>
      <c r="F98" s="51">
        <v>33</v>
      </c>
      <c r="G98" s="549" t="s">
        <v>65</v>
      </c>
      <c r="H98" s="561"/>
      <c r="I98" s="153"/>
      <c r="J98" s="268"/>
      <c r="K98" s="271" t="s">
        <v>159</v>
      </c>
      <c r="L98" s="167" t="str">
        <f>IFERROR(IF(I98="有",F98*J98*入力シート!$H$14/1000,"0"),"")</f>
        <v>0</v>
      </c>
      <c r="Q98" s="524" t="str">
        <f t="shared" ca="1" si="3"/>
        <v/>
      </c>
    </row>
    <row r="99" spans="2:17" ht="19.350000000000001" customHeight="1">
      <c r="B99" s="388" t="s">
        <v>189</v>
      </c>
      <c r="C99" s="898"/>
      <c r="D99" s="898"/>
      <c r="E99" s="211">
        <v>166</v>
      </c>
      <c r="F99" s="166">
        <v>220</v>
      </c>
      <c r="G99" s="394" t="s">
        <v>159</v>
      </c>
      <c r="H99" s="169"/>
      <c r="I99" s="153" t="s">
        <v>963</v>
      </c>
      <c r="J99" s="268"/>
      <c r="K99" s="271" t="s">
        <v>159</v>
      </c>
      <c r="L99" s="167" t="str">
        <f>IFERROR(IF(I99="有",F99*J99*入力シート!$H$14/1000,"0"),"")</f>
        <v>0</v>
      </c>
      <c r="Q99" s="524" t="str">
        <f t="shared" ca="1" si="3"/>
        <v/>
      </c>
    </row>
    <row r="100" spans="2:17" ht="19.350000000000001" customHeight="1">
      <c r="B100" s="392" t="s">
        <v>190</v>
      </c>
      <c r="C100" s="900"/>
      <c r="D100" s="900"/>
      <c r="E100" s="214">
        <v>167</v>
      </c>
      <c r="F100" s="172">
        <v>330</v>
      </c>
      <c r="G100" s="173" t="s">
        <v>159</v>
      </c>
      <c r="H100" s="174"/>
      <c r="I100" s="154" t="s">
        <v>963</v>
      </c>
      <c r="J100" s="269"/>
      <c r="K100" s="272" t="s">
        <v>159</v>
      </c>
      <c r="L100" s="167" t="str">
        <f>IFERROR(IF(I100="有",F100*J100*入力シート!$H$14/1000,"0"),"")</f>
        <v>0</v>
      </c>
      <c r="Q100" s="524" t="str">
        <f t="shared" ca="1" si="3"/>
        <v/>
      </c>
    </row>
    <row r="101" spans="2:17" ht="19.350000000000001" customHeight="1">
      <c r="C101" s="161"/>
      <c r="D101" s="161"/>
      <c r="E101" s="393"/>
      <c r="F101" s="393"/>
      <c r="G101" s="393"/>
      <c r="H101" s="393"/>
      <c r="I101" s="521"/>
      <c r="J101" s="161"/>
      <c r="K101" s="161"/>
      <c r="L101" s="204"/>
      <c r="M101" s="215"/>
    </row>
    <row r="102" spans="2:17" ht="19.350000000000001" customHeight="1">
      <c r="B102" s="928" t="str">
        <f>HYPERLINK("#'入力シート'!A69","入力シートに戻る")</f>
        <v>入力シートに戻る</v>
      </c>
      <c r="C102" s="928"/>
      <c r="D102" s="928"/>
      <c r="E102" s="928"/>
      <c r="F102" s="928"/>
      <c r="G102" s="928"/>
      <c r="H102" s="161"/>
      <c r="I102" s="517"/>
      <c r="J102" s="891" t="s">
        <v>1016</v>
      </c>
      <c r="K102" s="892"/>
      <c r="L102" s="893"/>
      <c r="M102" s="216"/>
    </row>
    <row r="103" spans="2:17" ht="24" customHeight="1">
      <c r="B103" s="928"/>
      <c r="C103" s="928"/>
      <c r="D103" s="928"/>
      <c r="E103" s="928"/>
      <c r="F103" s="928"/>
      <c r="G103" s="928"/>
      <c r="H103" s="161"/>
      <c r="I103" s="518"/>
      <c r="J103" s="894">
        <f>IFERROR(SUM(L69:L100),"")</f>
        <v>0</v>
      </c>
      <c r="K103" s="895"/>
      <c r="L103" s="896"/>
      <c r="M103" s="217"/>
    </row>
    <row r="104" spans="2:17">
      <c r="J104" s="897" t="s">
        <v>1014</v>
      </c>
      <c r="K104" s="897"/>
      <c r="L104" s="897"/>
    </row>
    <row r="105" spans="2:17"/>
    <row r="106" spans="2:17"/>
    <row r="107" spans="2:17"/>
    <row r="108" spans="2:17"/>
    <row r="109" spans="2:17"/>
    <row r="110" spans="2:17"/>
    <row r="111" spans="2:17"/>
    <row r="112" spans="2:17"/>
  </sheetData>
  <sheetProtection algorithmName="SHA-512" hashValue="8vwZI/gXNLLuhsXiuDtf/0tpbb9czA4C/6LLJ6c8GwN5iqBinvfOtVrlYfuk2vekFxBZqVxSGM1tAkXGhxjHkA==" saltValue="d8lWxC05JrZH10SB6adZqQ==" spinCount="100000" sheet="1" objects="1" scenarios="1"/>
  <mergeCells count="157">
    <mergeCell ref="B102:G103"/>
    <mergeCell ref="J102:L102"/>
    <mergeCell ref="J103:L103"/>
    <mergeCell ref="J104:L104"/>
    <mergeCell ref="C94:D94"/>
    <mergeCell ref="C95:D95"/>
    <mergeCell ref="C96:D96"/>
    <mergeCell ref="C97:D97"/>
    <mergeCell ref="C99:D99"/>
    <mergeCell ref="C100:D100"/>
    <mergeCell ref="C98:D98"/>
    <mergeCell ref="B88:B91"/>
    <mergeCell ref="C88:D88"/>
    <mergeCell ref="C89:D89"/>
    <mergeCell ref="C90:D90"/>
    <mergeCell ref="C91:D91"/>
    <mergeCell ref="B92:B93"/>
    <mergeCell ref="C92:D92"/>
    <mergeCell ref="C93:D93"/>
    <mergeCell ref="B83:B87"/>
    <mergeCell ref="C83:D83"/>
    <mergeCell ref="C84:D84"/>
    <mergeCell ref="C85:D85"/>
    <mergeCell ref="C86:D86"/>
    <mergeCell ref="C87:D87"/>
    <mergeCell ref="C77:D77"/>
    <mergeCell ref="B78:B80"/>
    <mergeCell ref="C78:D78"/>
    <mergeCell ref="C80:D80"/>
    <mergeCell ref="B81:B82"/>
    <mergeCell ref="C81:D81"/>
    <mergeCell ref="C82:D82"/>
    <mergeCell ref="C70:D70"/>
    <mergeCell ref="J70:K70"/>
    <mergeCell ref="C72:D72"/>
    <mergeCell ref="C73:D73"/>
    <mergeCell ref="B74:B76"/>
    <mergeCell ref="C74:D74"/>
    <mergeCell ref="C75:D75"/>
    <mergeCell ref="C76:D76"/>
    <mergeCell ref="B70:B71"/>
    <mergeCell ref="C71:D71"/>
    <mergeCell ref="C79:D79"/>
    <mergeCell ref="B67:D67"/>
    <mergeCell ref="J67:L67"/>
    <mergeCell ref="C68:D68"/>
    <mergeCell ref="J68:K68"/>
    <mergeCell ref="C69:D69"/>
    <mergeCell ref="J69:K69"/>
    <mergeCell ref="B62:H62"/>
    <mergeCell ref="J63:L63"/>
    <mergeCell ref="B64:G64"/>
    <mergeCell ref="J64:L64"/>
    <mergeCell ref="J65:L65"/>
    <mergeCell ref="B66:D66"/>
    <mergeCell ref="C58:D58"/>
    <mergeCell ref="J58:K58"/>
    <mergeCell ref="C59:D59"/>
    <mergeCell ref="J59:K59"/>
    <mergeCell ref="C61:D61"/>
    <mergeCell ref="J61:K61"/>
    <mergeCell ref="J51:K51"/>
    <mergeCell ref="C52:D52"/>
    <mergeCell ref="J52:K52"/>
    <mergeCell ref="C57:D57"/>
    <mergeCell ref="J57:K57"/>
    <mergeCell ref="C53:D53"/>
    <mergeCell ref="H49:H53"/>
    <mergeCell ref="J53:K53"/>
    <mergeCell ref="C60:D60"/>
    <mergeCell ref="J60:K60"/>
    <mergeCell ref="B54:B55"/>
    <mergeCell ref="C54:D54"/>
    <mergeCell ref="J54:K54"/>
    <mergeCell ref="C55:D55"/>
    <mergeCell ref="J55:K55"/>
    <mergeCell ref="N47:P47"/>
    <mergeCell ref="C48:D48"/>
    <mergeCell ref="J48:K48"/>
    <mergeCell ref="C49:D49"/>
    <mergeCell ref="J49:K49"/>
    <mergeCell ref="C50:D50"/>
    <mergeCell ref="J50:K50"/>
    <mergeCell ref="C51:D51"/>
    <mergeCell ref="B46:B48"/>
    <mergeCell ref="C46:D46"/>
    <mergeCell ref="G46:G48"/>
    <mergeCell ref="H46:H48"/>
    <mergeCell ref="J46:K46"/>
    <mergeCell ref="C47:D47"/>
    <mergeCell ref="J47:K47"/>
    <mergeCell ref="B49:B53"/>
    <mergeCell ref="C37:D37"/>
    <mergeCell ref="C45:D45"/>
    <mergeCell ref="C34:D34"/>
    <mergeCell ref="B35:B36"/>
    <mergeCell ref="C35:D35"/>
    <mergeCell ref="J35:K35"/>
    <mergeCell ref="C36:D36"/>
    <mergeCell ref="J36:K36"/>
    <mergeCell ref="C38:D38"/>
    <mergeCell ref="C39:D39"/>
    <mergeCell ref="C41:D41"/>
    <mergeCell ref="B42:B43"/>
    <mergeCell ref="C42:D42"/>
    <mergeCell ref="J42:K42"/>
    <mergeCell ref="C43:D43"/>
    <mergeCell ref="J43:K43"/>
    <mergeCell ref="C44:D44"/>
    <mergeCell ref="C40:D40"/>
    <mergeCell ref="B37:B40"/>
    <mergeCell ref="G24:G25"/>
    <mergeCell ref="C25:D25"/>
    <mergeCell ref="C30:D30"/>
    <mergeCell ref="F30:G30"/>
    <mergeCell ref="J30:K30"/>
    <mergeCell ref="B26:B27"/>
    <mergeCell ref="C31:D31"/>
    <mergeCell ref="B32:B33"/>
    <mergeCell ref="C32:D32"/>
    <mergeCell ref="C33:D33"/>
    <mergeCell ref="C26:D26"/>
    <mergeCell ref="C27:D27"/>
    <mergeCell ref="C28:D28"/>
    <mergeCell ref="C29:D29"/>
    <mergeCell ref="J29:K29"/>
    <mergeCell ref="B1:B2"/>
    <mergeCell ref="B3:E3"/>
    <mergeCell ref="C4:D4"/>
    <mergeCell ref="J4:K4"/>
    <mergeCell ref="C5:D5"/>
    <mergeCell ref="G5:G8"/>
    <mergeCell ref="H5:H8"/>
    <mergeCell ref="J5:K5"/>
    <mergeCell ref="C6:D6"/>
    <mergeCell ref="J6:K6"/>
    <mergeCell ref="C7:D7"/>
    <mergeCell ref="J7:K7"/>
    <mergeCell ref="C8:D8"/>
    <mergeCell ref="J8:K8"/>
    <mergeCell ref="C22:D22"/>
    <mergeCell ref="C23:D23"/>
    <mergeCell ref="B24:B25"/>
    <mergeCell ref="C24:D24"/>
    <mergeCell ref="C9:D9"/>
    <mergeCell ref="C10:D10"/>
    <mergeCell ref="C11:D11"/>
    <mergeCell ref="C12:D12"/>
    <mergeCell ref="C14:D14"/>
    <mergeCell ref="C15:D15"/>
    <mergeCell ref="B16:B21"/>
    <mergeCell ref="C16:D16"/>
    <mergeCell ref="C17:D17"/>
    <mergeCell ref="C18:D18"/>
    <mergeCell ref="C19:D19"/>
    <mergeCell ref="C20:D20"/>
    <mergeCell ref="C21:D21"/>
  </mergeCells>
  <phoneticPr fontId="2"/>
  <conditionalFormatting sqref="H5:H8">
    <cfRule type="expression" dxfId="32" priority="11">
      <formula>COUNTIFS($I$5:$I$8,"有")&gt;1</formula>
    </cfRule>
  </conditionalFormatting>
  <conditionalFormatting sqref="H46:H48">
    <cfRule type="expression" dxfId="31" priority="7">
      <formula>COUNTIFS($I$46:$I$48,"有")&gt;1</formula>
    </cfRule>
  </conditionalFormatting>
  <conditionalFormatting sqref="H49">
    <cfRule type="expression" dxfId="30" priority="25">
      <formula>COUNTIFS($I$49:$I$51,"有")&gt;1</formula>
    </cfRule>
  </conditionalFormatting>
  <dataValidations count="5">
    <dataValidation type="whole" showInputMessage="1" showErrorMessage="1" error="整数で入力してください" sqref="J9:J12 J31:J34 J14:J28 J71:J100 J44:J45 J37:J41" xr:uid="{00000000-0002-0000-0600-000000000000}">
      <formula1>0</formula1>
      <formula2>999999999</formula2>
    </dataValidation>
    <dataValidation type="list" allowBlank="1" showInputMessage="1" sqref="Q5:Q12 Q69:Q100 Q57:Q61 Q14:Q55" xr:uid="{00000000-0002-0000-0600-000001000000}">
      <formula1>"　,有"</formula1>
    </dataValidation>
    <dataValidation allowBlank="1" showInputMessage="1" sqref="Q13 Q101:Q1048576 Q56 Q1:Q2 Q4 Q62:Q68" xr:uid="{00000000-0002-0000-0600-000002000000}"/>
    <dataValidation showInputMessage="1" showErrorMessage="1" sqref="K71:K100" xr:uid="{00000000-0002-0000-0600-000003000000}"/>
    <dataValidation type="list" showInputMessage="1" showErrorMessage="1" sqref="I61 I69:I100 I5:I12 I14:I29 I57:I59 I31:I55" xr:uid="{00000000-0002-0000-0600-000004000000}">
      <formula1>"　,有"</formula1>
    </dataValidation>
  </dataValidations>
  <pageMargins left="0.7" right="0.7" top="0.75" bottom="0.75" header="0.3" footer="0.3"/>
  <pageSetup paperSize="9" scale="58"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CBFA77CE-26A3-425D-AAE9-B3ECA2ABCE8F}">
            <xm:f>入力シート!$S$2&gt;3</xm:f>
            <x14:dxf>
              <fill>
                <patternFill>
                  <bgColor theme="0" tint="-0.34998626667073579"/>
                </patternFill>
              </fill>
            </x14:dxf>
          </x14:cfRule>
          <xm:sqref>C40:G40 J40:L40</xm:sqref>
        </x14:conditionalFormatting>
        <x14:conditionalFormatting xmlns:xm="http://schemas.microsoft.com/office/excel/2006/main">
          <x14:cfRule type="expression" priority="5" id="{E5219969-1F59-4F03-9A06-142DE6AF34D8}">
            <xm:f>入力シート!$S$2&gt;3</xm:f>
            <x14:dxf>
              <fill>
                <patternFill>
                  <bgColor theme="0" tint="-0.34998626667073579"/>
                </patternFill>
              </fill>
            </x14:dxf>
          </x14:cfRule>
          <xm:sqref>C52:G53</xm:sqref>
        </x14:conditionalFormatting>
        <x14:conditionalFormatting xmlns:xm="http://schemas.microsoft.com/office/excel/2006/main">
          <x14:cfRule type="expression" priority="4" id="{BD6895E6-3D2E-41FE-8397-96C629F3C52F}">
            <xm:f>入力シート!$S$2&gt;3</xm:f>
            <x14:dxf>
              <fill>
                <patternFill>
                  <bgColor theme="0" tint="-0.34998626667073579"/>
                </patternFill>
              </fill>
            </x14:dxf>
          </x14:cfRule>
          <xm:sqref>J52:L53</xm:sqref>
        </x14:conditionalFormatting>
        <x14:conditionalFormatting xmlns:xm="http://schemas.microsoft.com/office/excel/2006/main">
          <x14:cfRule type="expression" priority="3" id="{D143C382-528D-4D52-9678-A35E4884EB79}">
            <xm:f>入力シート!$S$2&lt;5</xm:f>
            <x14:dxf>
              <fill>
                <patternFill>
                  <bgColor theme="0" tint="-0.34998626667073579"/>
                </patternFill>
              </fill>
            </x14:dxf>
          </x14:cfRule>
          <xm:sqref>B61:L61</xm:sqref>
        </x14:conditionalFormatting>
        <x14:conditionalFormatting xmlns:xm="http://schemas.microsoft.com/office/excel/2006/main">
          <x14:cfRule type="expression" priority="2" id="{AFBF5DD2-5E61-4844-A146-0B2BBB5F9ACC}">
            <xm:f>入力シート!$S$2&gt;3</xm:f>
            <x14:dxf>
              <fill>
                <patternFill>
                  <bgColor theme="0" tint="-0.34998626667073579"/>
                </patternFill>
              </fill>
            </x14:dxf>
          </x14:cfRule>
          <xm:sqref>I40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600-000005000000}">
          <x14:formula1>
            <xm:f>入力シート!$C$22:$C$26</xm:f>
          </x14:formula1>
          <xm:sqref>Q3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6" tint="0.79998168889431442"/>
  </sheetPr>
  <dimension ref="A1:Q108"/>
  <sheetViews>
    <sheetView view="pageBreakPreview" zoomScale="85" zoomScaleNormal="85" zoomScaleSheetLayoutView="85" workbookViewId="0">
      <selection activeCell="D1" sqref="D1"/>
    </sheetView>
  </sheetViews>
  <sheetFormatPr defaultColWidth="0" defaultRowHeight="18.75" zeroHeight="1"/>
  <cols>
    <col min="1" max="1" width="2.125" style="138" customWidth="1"/>
    <col min="2" max="2" width="31.5" style="138" customWidth="1"/>
    <col min="3" max="3" width="8.875" style="138" customWidth="1"/>
    <col min="4" max="4" width="14" style="138" customWidth="1"/>
    <col min="5" max="5" width="13.5" style="138" customWidth="1"/>
    <col min="6" max="7" width="8.875" style="138" customWidth="1"/>
    <col min="8" max="8" width="11.875" style="129" customWidth="1"/>
    <col min="9" max="9" width="8.875" style="138" customWidth="1"/>
    <col min="10" max="10" width="12.625" style="138" customWidth="1"/>
    <col min="11" max="11" width="3.125" style="138" customWidth="1"/>
    <col min="12" max="12" width="17.125" style="160" customWidth="1"/>
    <col min="13" max="13" width="0.875" style="218" customWidth="1"/>
    <col min="14" max="14" width="1.125" style="138" hidden="1" customWidth="1"/>
    <col min="15" max="15" width="9" style="138" hidden="1" customWidth="1"/>
    <col min="16" max="16" width="6" style="138" hidden="1" customWidth="1"/>
    <col min="17" max="17" width="10.875" style="129" customWidth="1"/>
    <col min="18" max="16384" width="13.875" style="138" hidden="1"/>
  </cols>
  <sheetData>
    <row r="1" spans="1:17" ht="22.5">
      <c r="B1" s="903" t="str">
        <f>HYPERLINK("#'入力シート'!A８５","入力シートに戻る")</f>
        <v>入力シートに戻る</v>
      </c>
      <c r="D1" s="137"/>
      <c r="Q1" s="522" t="s">
        <v>991</v>
      </c>
    </row>
    <row r="2" spans="1:17">
      <c r="B2" s="904"/>
      <c r="Q2" s="523" t="s">
        <v>961</v>
      </c>
    </row>
    <row r="3" spans="1:17" s="161" customFormat="1" ht="20.45" customHeight="1">
      <c r="A3" s="162"/>
      <c r="B3" s="887" t="s">
        <v>840</v>
      </c>
      <c r="C3" s="887"/>
      <c r="D3" s="887"/>
      <c r="E3" s="887"/>
      <c r="F3" s="162"/>
      <c r="G3" s="162"/>
      <c r="H3" s="519"/>
      <c r="I3" s="418" t="str">
        <f>IF(Q3="未選択","","↓加算をコピーする際はI列に「値」貼付けをしてください")</f>
        <v/>
      </c>
      <c r="J3" s="419"/>
      <c r="K3" s="419"/>
      <c r="L3" s="419"/>
      <c r="M3" s="219"/>
      <c r="P3" s="393"/>
      <c r="Q3" s="159" t="s">
        <v>962</v>
      </c>
    </row>
    <row r="4" spans="1:17" s="161" customFormat="1" ht="50.45" customHeight="1">
      <c r="B4" s="110" t="s">
        <v>992</v>
      </c>
      <c r="C4" s="860" t="s">
        <v>993</v>
      </c>
      <c r="D4" s="861"/>
      <c r="E4" s="82" t="s">
        <v>898</v>
      </c>
      <c r="F4" s="387" t="s">
        <v>63</v>
      </c>
      <c r="G4" s="109" t="s">
        <v>160</v>
      </c>
      <c r="H4" s="531"/>
      <c r="I4" s="397" t="s">
        <v>66</v>
      </c>
      <c r="J4" s="862" t="s">
        <v>850</v>
      </c>
      <c r="K4" s="863"/>
      <c r="L4" s="207" t="s">
        <v>994</v>
      </c>
      <c r="M4" s="220"/>
      <c r="P4" s="393"/>
      <c r="Q4" s="512" t="s">
        <v>66</v>
      </c>
    </row>
    <row r="5" spans="1:17" s="161" customFormat="1" ht="19.350000000000001" customHeight="1">
      <c r="B5" s="552" t="s">
        <v>134</v>
      </c>
      <c r="C5" s="898"/>
      <c r="D5" s="898"/>
      <c r="E5" s="165">
        <v>118</v>
      </c>
      <c r="F5" s="166">
        <v>23</v>
      </c>
      <c r="G5" s="905" t="s">
        <v>64</v>
      </c>
      <c r="H5" s="929" t="s">
        <v>827</v>
      </c>
      <c r="I5" s="153"/>
      <c r="J5" s="841"/>
      <c r="K5" s="841"/>
      <c r="L5" s="167" t="str">
        <f>IFERROR(IF(I5="有",F5*入力シート!$T$92*入力シート!$H$14/1000,"0"),"")</f>
        <v>0</v>
      </c>
      <c r="M5" s="221"/>
      <c r="P5" s="393"/>
      <c r="Q5" s="524" t="str">
        <f ca="1">IFERROR(IF(INDEX(INDIRECT($Q$3),ROW())="有","有",""),"")</f>
        <v/>
      </c>
    </row>
    <row r="6" spans="1:17" s="161" customFormat="1" ht="19.350000000000001" customHeight="1">
      <c r="B6" s="552" t="s">
        <v>135</v>
      </c>
      <c r="C6" s="898"/>
      <c r="D6" s="898"/>
      <c r="E6" s="165">
        <v>118</v>
      </c>
      <c r="F6" s="166">
        <v>14</v>
      </c>
      <c r="G6" s="905"/>
      <c r="H6" s="930"/>
      <c r="I6" s="153"/>
      <c r="J6" s="841"/>
      <c r="K6" s="841"/>
      <c r="L6" s="167" t="str">
        <f>IFERROR(IF(I6="有",F6*入力シート!$T$92*入力シート!$H$14/1000,"0"),"")</f>
        <v>0</v>
      </c>
      <c r="M6" s="221"/>
      <c r="P6" s="393"/>
      <c r="Q6" s="524" t="str">
        <f t="shared" ref="Q6:Q12" ca="1" si="0">IFERROR(IF(INDEX(INDIRECT($Q$3),ROW())="有","有",""),"")</f>
        <v/>
      </c>
    </row>
    <row r="7" spans="1:17" s="161" customFormat="1" ht="19.350000000000001" customHeight="1">
      <c r="B7" s="552" t="s">
        <v>136</v>
      </c>
      <c r="C7" s="898"/>
      <c r="D7" s="898"/>
      <c r="E7" s="165">
        <v>118</v>
      </c>
      <c r="F7" s="166">
        <v>14</v>
      </c>
      <c r="G7" s="905"/>
      <c r="H7" s="930"/>
      <c r="I7" s="153"/>
      <c r="J7" s="841"/>
      <c r="K7" s="841"/>
      <c r="L7" s="167" t="str">
        <f>IFERROR(IF(I7="有",F7*入力シート!$T$92*入力シート!$H$14/1000,"0"),"")</f>
        <v>0</v>
      </c>
      <c r="M7" s="221"/>
      <c r="P7" s="393"/>
      <c r="Q7" s="524" t="str">
        <f t="shared" ca="1" si="0"/>
        <v/>
      </c>
    </row>
    <row r="8" spans="1:17" s="161" customFormat="1" ht="19.350000000000001" customHeight="1">
      <c r="B8" s="552" t="s">
        <v>137</v>
      </c>
      <c r="C8" s="898"/>
      <c r="D8" s="898"/>
      <c r="E8" s="165">
        <v>118</v>
      </c>
      <c r="F8" s="166">
        <v>7</v>
      </c>
      <c r="G8" s="905"/>
      <c r="H8" s="930"/>
      <c r="I8" s="153"/>
      <c r="J8" s="841"/>
      <c r="K8" s="841"/>
      <c r="L8" s="167" t="str">
        <f>IFERROR(IF(I8="有",F8*入力シート!$T$92*入力シート!$H$14/1000,"0"),"")</f>
        <v>0</v>
      </c>
      <c r="M8" s="221"/>
      <c r="P8" s="393"/>
      <c r="Q8" s="524" t="str">
        <f t="shared" ca="1" si="0"/>
        <v/>
      </c>
    </row>
    <row r="9" spans="1:17" s="161" customFormat="1" ht="19.350000000000001" customHeight="1">
      <c r="B9" s="552" t="s">
        <v>154</v>
      </c>
      <c r="C9" s="898"/>
      <c r="D9" s="898"/>
      <c r="E9" s="165">
        <v>119</v>
      </c>
      <c r="F9" s="166">
        <v>120</v>
      </c>
      <c r="G9" s="553" t="s">
        <v>158</v>
      </c>
      <c r="H9" s="532" t="str">
        <f>IF(I9="有",IF(I34="有","！算定不可！",""),"")</f>
        <v/>
      </c>
      <c r="I9" s="153"/>
      <c r="J9" s="268"/>
      <c r="K9" s="271" t="s">
        <v>206</v>
      </c>
      <c r="L9" s="167" t="str">
        <f>IFERROR(IF(I9="有",F9*J9*入力シート!$H$14/1000,"0"),"")</f>
        <v>0</v>
      </c>
      <c r="M9" s="221"/>
      <c r="P9" s="393"/>
      <c r="Q9" s="524" t="str">
        <f t="shared" ca="1" si="0"/>
        <v/>
      </c>
    </row>
    <row r="10" spans="1:17" s="161" customFormat="1" ht="19.350000000000001" customHeight="1">
      <c r="B10" s="552" t="s">
        <v>155</v>
      </c>
      <c r="C10" s="898"/>
      <c r="D10" s="898"/>
      <c r="E10" s="165">
        <v>119</v>
      </c>
      <c r="F10" s="166">
        <v>362</v>
      </c>
      <c r="G10" s="553" t="s">
        <v>158</v>
      </c>
      <c r="H10" s="533"/>
      <c r="I10" s="153"/>
      <c r="J10" s="268"/>
      <c r="K10" s="271" t="s">
        <v>206</v>
      </c>
      <c r="L10" s="167" t="str">
        <f>IFERROR(IF(I10="有",F10*J10*入力シート!$H$14/1000,"0"),"")</f>
        <v>0</v>
      </c>
      <c r="M10" s="221"/>
      <c r="N10" s="161" t="s">
        <v>203</v>
      </c>
      <c r="O10" s="48">
        <f>IF(I10="有",J10,0)</f>
        <v>0</v>
      </c>
      <c r="P10" s="381" t="s">
        <v>205</v>
      </c>
      <c r="Q10" s="524" t="str">
        <f t="shared" ca="1" si="0"/>
        <v/>
      </c>
    </row>
    <row r="11" spans="1:17" s="161" customFormat="1" ht="19.350000000000001" customHeight="1">
      <c r="B11" s="550" t="s">
        <v>156</v>
      </c>
      <c r="C11" s="898"/>
      <c r="D11" s="898"/>
      <c r="E11" s="165">
        <v>120</v>
      </c>
      <c r="F11" s="166">
        <v>800</v>
      </c>
      <c r="G11" s="553" t="s">
        <v>158</v>
      </c>
      <c r="H11" s="534" t="str">
        <f>IF(I11="有",IF(I10="有","！算定不可！",""),"")</f>
        <v/>
      </c>
      <c r="I11" s="153"/>
      <c r="J11" s="268"/>
      <c r="K11" s="271" t="s">
        <v>206</v>
      </c>
      <c r="L11" s="167" t="str">
        <f>IFERROR(IF(I11="有",F11*J11*入力シート!$H$14/1000,"0"),"")</f>
        <v>0</v>
      </c>
      <c r="M11" s="221"/>
      <c r="N11" s="161" t="s">
        <v>203</v>
      </c>
      <c r="O11" s="48">
        <f t="shared" ref="O11:O12" si="1">IF(I11="有",J11,0)</f>
        <v>0</v>
      </c>
      <c r="P11" s="381" t="s">
        <v>205</v>
      </c>
      <c r="Q11" s="524" t="str">
        <f t="shared" ca="1" si="0"/>
        <v/>
      </c>
    </row>
    <row r="12" spans="1:17" s="161" customFormat="1" ht="19.350000000000001" customHeight="1">
      <c r="B12" s="392" t="s">
        <v>157</v>
      </c>
      <c r="C12" s="900"/>
      <c r="D12" s="900"/>
      <c r="E12" s="171">
        <v>121</v>
      </c>
      <c r="F12" s="172">
        <v>362</v>
      </c>
      <c r="G12" s="173" t="s">
        <v>158</v>
      </c>
      <c r="H12" s="535"/>
      <c r="I12" s="154"/>
      <c r="J12" s="269"/>
      <c r="K12" s="272" t="s">
        <v>206</v>
      </c>
      <c r="L12" s="175" t="str">
        <f>IFERROR(IF(I12="有",F12*J12*入力シート!$H$14/1000,"0"),"")</f>
        <v>0</v>
      </c>
      <c r="M12" s="221"/>
      <c r="N12" s="161" t="s">
        <v>203</v>
      </c>
      <c r="O12" s="48">
        <f t="shared" si="1"/>
        <v>0</v>
      </c>
      <c r="P12" s="381" t="s">
        <v>205</v>
      </c>
      <c r="Q12" s="524" t="str">
        <f t="shared" ca="1" si="0"/>
        <v/>
      </c>
    </row>
    <row r="13" spans="1:17" s="161" customFormat="1" ht="19.350000000000001" customHeight="1">
      <c r="B13" s="176"/>
      <c r="C13" s="177"/>
      <c r="D13" s="177"/>
      <c r="E13" s="222"/>
      <c r="F13" s="176"/>
      <c r="G13" s="176"/>
      <c r="H13" s="513"/>
      <c r="I13" s="179"/>
      <c r="J13" s="176"/>
      <c r="K13" s="180"/>
      <c r="L13" s="181"/>
      <c r="M13" s="221"/>
      <c r="N13" s="161" t="s">
        <v>760</v>
      </c>
      <c r="O13" s="48">
        <f>SUM(O10:O12)</f>
        <v>0</v>
      </c>
      <c r="P13" s="381"/>
      <c r="Q13" s="525"/>
    </row>
    <row r="14" spans="1:17" s="161" customFormat="1" ht="19.350000000000001" customHeight="1">
      <c r="B14" s="182" t="s">
        <v>140</v>
      </c>
      <c r="C14" s="901"/>
      <c r="D14" s="901"/>
      <c r="E14" s="183">
        <v>123</v>
      </c>
      <c r="F14" s="184">
        <v>30</v>
      </c>
      <c r="G14" s="185" t="s">
        <v>158</v>
      </c>
      <c r="H14" s="536"/>
      <c r="I14" s="155"/>
      <c r="J14" s="270"/>
      <c r="K14" s="428" t="s">
        <v>206</v>
      </c>
      <c r="L14" s="167" t="str">
        <f>IFERROR(IF(I14="有",F14*J14*入力シート!$H$14/1000,"0"),"")</f>
        <v>0</v>
      </c>
      <c r="M14" s="221"/>
      <c r="P14" s="393"/>
      <c r="Q14" s="524" t="str">
        <f ca="1">IFERROR(IF(INDEX(INDIRECT($Q$3),ROW())="有","有",""),"")</f>
        <v/>
      </c>
    </row>
    <row r="15" spans="1:17" s="161" customFormat="1" ht="19.350000000000001" customHeight="1">
      <c r="B15" s="552" t="s">
        <v>141</v>
      </c>
      <c r="C15" s="898"/>
      <c r="D15" s="898"/>
      <c r="E15" s="165">
        <v>124</v>
      </c>
      <c r="F15" s="166">
        <v>200</v>
      </c>
      <c r="G15" s="553" t="s">
        <v>159</v>
      </c>
      <c r="H15" s="534" t="str">
        <f>IF(I15="有",IF(I61="有","！算定不可！",""),"")</f>
        <v/>
      </c>
      <c r="I15" s="153"/>
      <c r="J15" s="268"/>
      <c r="K15" s="271" t="s">
        <v>159</v>
      </c>
      <c r="L15" s="167" t="str">
        <f>IFERROR(IF(I15="有",F15*J15*入力シート!$H$14/1000,"0"),"")</f>
        <v>0</v>
      </c>
      <c r="M15" s="221"/>
      <c r="P15" s="393"/>
      <c r="Q15" s="524" t="str">
        <f t="shared" ref="Q15:Q29" ca="1" si="2">IFERROR(IF(INDEX(INDIRECT($Q$3),ROW())="有","有",""),"")</f>
        <v/>
      </c>
    </row>
    <row r="16" spans="1:17" s="161" customFormat="1" ht="19.350000000000001" customHeight="1">
      <c r="B16" s="899" t="s">
        <v>142</v>
      </c>
      <c r="C16" s="902" t="s">
        <v>143</v>
      </c>
      <c r="D16" s="902"/>
      <c r="E16" s="165">
        <v>125</v>
      </c>
      <c r="F16" s="187">
        <v>460</v>
      </c>
      <c r="G16" s="553" t="s">
        <v>161</v>
      </c>
      <c r="H16" s="533"/>
      <c r="I16" s="153"/>
      <c r="J16" s="268"/>
      <c r="K16" s="271" t="s">
        <v>159</v>
      </c>
      <c r="L16" s="167" t="str">
        <f>IFERROR(IF(I16="有",F16*J16*入力シート!$H$14/1000,"0"),"")</f>
        <v>0</v>
      </c>
      <c r="M16" s="221"/>
      <c r="P16" s="393"/>
      <c r="Q16" s="524" t="str">
        <f t="shared" ca="1" si="2"/>
        <v/>
      </c>
    </row>
    <row r="17" spans="2:17" s="161" customFormat="1" ht="19.350000000000001" customHeight="1">
      <c r="B17" s="899"/>
      <c r="C17" s="902" t="s">
        <v>144</v>
      </c>
      <c r="D17" s="902"/>
      <c r="E17" s="165">
        <v>125</v>
      </c>
      <c r="F17" s="187">
        <v>460</v>
      </c>
      <c r="G17" s="553" t="s">
        <v>161</v>
      </c>
      <c r="H17" s="533"/>
      <c r="I17" s="153"/>
      <c r="J17" s="268"/>
      <c r="K17" s="271" t="s">
        <v>159</v>
      </c>
      <c r="L17" s="167" t="str">
        <f>IFERROR(IF(I17="有",F17*J17*入力シート!$H$14/1000,"0"),"")</f>
        <v>0</v>
      </c>
      <c r="M17" s="221"/>
      <c r="P17" s="393"/>
      <c r="Q17" s="524" t="str">
        <f t="shared" ca="1" si="2"/>
        <v/>
      </c>
    </row>
    <row r="18" spans="2:17" s="161" customFormat="1" ht="19.350000000000001" customHeight="1">
      <c r="B18" s="899"/>
      <c r="C18" s="902" t="s">
        <v>145</v>
      </c>
      <c r="D18" s="902"/>
      <c r="E18" s="165">
        <v>125</v>
      </c>
      <c r="F18" s="166">
        <v>400</v>
      </c>
      <c r="G18" s="553" t="s">
        <v>161</v>
      </c>
      <c r="H18" s="533"/>
      <c r="I18" s="153"/>
      <c r="J18" s="268"/>
      <c r="K18" s="271" t="s">
        <v>159</v>
      </c>
      <c r="L18" s="167" t="str">
        <f>IFERROR(IF(I18="有",F18*J18*入力シート!$H$14/1000,"0"),"")</f>
        <v>0</v>
      </c>
      <c r="M18" s="221"/>
      <c r="P18" s="393"/>
      <c r="Q18" s="524" t="str">
        <f t="shared" ca="1" si="2"/>
        <v/>
      </c>
    </row>
    <row r="19" spans="2:17" s="161" customFormat="1" ht="19.350000000000001" customHeight="1">
      <c r="B19" s="899"/>
      <c r="C19" s="902" t="s">
        <v>146</v>
      </c>
      <c r="D19" s="902"/>
      <c r="E19" s="165">
        <v>126</v>
      </c>
      <c r="F19" s="166">
        <v>500</v>
      </c>
      <c r="G19" s="553" t="s">
        <v>161</v>
      </c>
      <c r="H19" s="533"/>
      <c r="I19" s="153"/>
      <c r="J19" s="268"/>
      <c r="K19" s="271" t="s">
        <v>159</v>
      </c>
      <c r="L19" s="167" t="str">
        <f>IFERROR(IF(I19="有",F19*J19*入力シート!$H$14/1000,"0"),"")</f>
        <v>0</v>
      </c>
      <c r="M19" s="221"/>
      <c r="P19" s="393"/>
      <c r="Q19" s="524" t="str">
        <f t="shared" ca="1" si="2"/>
        <v/>
      </c>
    </row>
    <row r="20" spans="2:17" s="161" customFormat="1" ht="19.350000000000001" customHeight="1">
      <c r="B20" s="899"/>
      <c r="C20" s="902" t="s">
        <v>147</v>
      </c>
      <c r="D20" s="902"/>
      <c r="E20" s="165">
        <v>126</v>
      </c>
      <c r="F20" s="166">
        <v>500</v>
      </c>
      <c r="G20" s="553" t="s">
        <v>161</v>
      </c>
      <c r="H20" s="533"/>
      <c r="I20" s="153"/>
      <c r="J20" s="268"/>
      <c r="K20" s="271" t="s">
        <v>159</v>
      </c>
      <c r="L20" s="167" t="str">
        <f>IFERROR(IF(I20="有",F20*J20*入力シート!$H$14/1000,"0"),"")</f>
        <v>0</v>
      </c>
      <c r="M20" s="221"/>
      <c r="P20" s="393"/>
      <c r="Q20" s="524" t="str">
        <f t="shared" ca="1" si="2"/>
        <v/>
      </c>
    </row>
    <row r="21" spans="2:17" s="161" customFormat="1" ht="19.350000000000001" customHeight="1">
      <c r="B21" s="899"/>
      <c r="C21" s="902" t="s">
        <v>148</v>
      </c>
      <c r="D21" s="902"/>
      <c r="E21" s="165">
        <v>126</v>
      </c>
      <c r="F21" s="166">
        <v>300</v>
      </c>
      <c r="G21" s="553" t="s">
        <v>161</v>
      </c>
      <c r="H21" s="533"/>
      <c r="I21" s="153"/>
      <c r="J21" s="268"/>
      <c r="K21" s="271" t="s">
        <v>159</v>
      </c>
      <c r="L21" s="167" t="str">
        <f>IFERROR(IF(I21="有",F21*J21*入力シート!$H$14/1000,"0"),"")</f>
        <v>0</v>
      </c>
      <c r="M21" s="221"/>
      <c r="P21" s="393"/>
      <c r="Q21" s="524" t="str">
        <f t="shared" ca="1" si="2"/>
        <v/>
      </c>
    </row>
    <row r="22" spans="2:17" s="161" customFormat="1" ht="19.350000000000001" customHeight="1">
      <c r="B22" s="550" t="s">
        <v>1047</v>
      </c>
      <c r="C22" s="898"/>
      <c r="D22" s="898"/>
      <c r="E22" s="75" t="s">
        <v>1068</v>
      </c>
      <c r="F22" s="51">
        <v>11</v>
      </c>
      <c r="G22" s="551" t="s">
        <v>158</v>
      </c>
      <c r="H22" s="537"/>
      <c r="I22" s="153"/>
      <c r="J22" s="268"/>
      <c r="K22" s="271" t="s">
        <v>206</v>
      </c>
      <c r="L22" s="167" t="str">
        <f>IFERROR(IF(I22="有",F22*J22*入力シート!$H$14/1000,"0"),"")</f>
        <v>0</v>
      </c>
      <c r="M22" s="221"/>
      <c r="Q22" s="524" t="str">
        <f t="shared" ca="1" si="2"/>
        <v/>
      </c>
    </row>
    <row r="23" spans="2:17" s="161" customFormat="1" ht="19.350000000000001" customHeight="1">
      <c r="B23" s="552" t="s">
        <v>101</v>
      </c>
      <c r="C23" s="898"/>
      <c r="D23" s="898"/>
      <c r="E23" s="165">
        <v>130</v>
      </c>
      <c r="F23" s="187">
        <v>28</v>
      </c>
      <c r="G23" s="554" t="s">
        <v>158</v>
      </c>
      <c r="H23" s="534" t="str">
        <f>IF(I23="有",IF(I61="有","！算定不可！",""),"")</f>
        <v/>
      </c>
      <c r="I23" s="153"/>
      <c r="J23" s="268"/>
      <c r="K23" s="271" t="s">
        <v>206</v>
      </c>
      <c r="L23" s="167" t="str">
        <f>IFERROR(IF(I23="有",F23*J23*入力シート!$H$14/1000,"0"),"")</f>
        <v>0</v>
      </c>
      <c r="M23" s="221"/>
      <c r="Q23" s="524" t="str">
        <f t="shared" ca="1" si="2"/>
        <v/>
      </c>
    </row>
    <row r="24" spans="2:17" s="161" customFormat="1" ht="19.350000000000001" customHeight="1">
      <c r="B24" s="899" t="s">
        <v>102</v>
      </c>
      <c r="C24" s="856" t="s">
        <v>1007</v>
      </c>
      <c r="D24" s="856"/>
      <c r="E24" s="165">
        <v>131</v>
      </c>
      <c r="F24" s="187">
        <v>400</v>
      </c>
      <c r="G24" s="908" t="s">
        <v>65</v>
      </c>
      <c r="H24" s="538" t="str">
        <f>IF(AND(I24="有",OR(I23="有",I61="有")),"！算定不可！","")</f>
        <v/>
      </c>
      <c r="I24" s="153"/>
      <c r="J24" s="268"/>
      <c r="K24" s="271" t="s">
        <v>206</v>
      </c>
      <c r="L24" s="167" t="str">
        <f>IFERROR(IF(I24="有",F24*J24*入力シート!$H$14/1000,"0"),"")</f>
        <v>0</v>
      </c>
      <c r="M24" s="221"/>
      <c r="Q24" s="524" t="str">
        <f t="shared" ca="1" si="2"/>
        <v/>
      </c>
    </row>
    <row r="25" spans="2:17" s="161" customFormat="1" ht="19.350000000000001" customHeight="1">
      <c r="B25" s="899"/>
      <c r="C25" s="902" t="s">
        <v>1008</v>
      </c>
      <c r="D25" s="902"/>
      <c r="E25" s="165">
        <v>131</v>
      </c>
      <c r="F25" s="187">
        <v>100</v>
      </c>
      <c r="G25" s="908"/>
      <c r="H25" s="538"/>
      <c r="I25" s="153"/>
      <c r="J25" s="268"/>
      <c r="K25" s="271" t="s">
        <v>206</v>
      </c>
      <c r="L25" s="167" t="str">
        <f>IFERROR(IF(I25="有",F25*J25*入力シート!$H$14/1000,"0"),"")</f>
        <v>0</v>
      </c>
      <c r="M25" s="221"/>
      <c r="Q25" s="524" t="str">
        <f t="shared" ca="1" si="2"/>
        <v/>
      </c>
    </row>
    <row r="26" spans="2:17" s="161" customFormat="1" ht="19.350000000000001" customHeight="1">
      <c r="B26" s="835" t="s">
        <v>1044</v>
      </c>
      <c r="C26" s="843" t="s">
        <v>1045</v>
      </c>
      <c r="D26" s="843"/>
      <c r="E26" s="165">
        <v>133</v>
      </c>
      <c r="F26" s="66">
        <v>90</v>
      </c>
      <c r="G26" s="551" t="s">
        <v>65</v>
      </c>
      <c r="H26" s="538" t="str">
        <f>IF(I26="有",IF(I27="有","！算定不可！",""),"")</f>
        <v/>
      </c>
      <c r="I26" s="153"/>
      <c r="J26" s="268"/>
      <c r="K26" s="271" t="s">
        <v>206</v>
      </c>
      <c r="L26" s="167" t="str">
        <f>IFERROR(IF(I26="有",F26*J26*入力シート!$H$14/1000,"0"),"")</f>
        <v>0</v>
      </c>
      <c r="M26" s="221"/>
      <c r="Q26" s="524" t="str">
        <f t="shared" ca="1" si="2"/>
        <v/>
      </c>
    </row>
    <row r="27" spans="2:17" s="161" customFormat="1" ht="19.350000000000001" customHeight="1">
      <c r="B27" s="836"/>
      <c r="C27" s="843" t="s">
        <v>1046</v>
      </c>
      <c r="D27" s="843"/>
      <c r="E27" s="75" t="s">
        <v>1068</v>
      </c>
      <c r="F27" s="66">
        <v>110</v>
      </c>
      <c r="G27" s="551" t="s">
        <v>65</v>
      </c>
      <c r="H27" s="538" t="str">
        <f>IF(I27="有",IF(I26="有","！算定不可！",""),"")</f>
        <v/>
      </c>
      <c r="I27" s="153"/>
      <c r="J27" s="268"/>
      <c r="K27" s="271" t="s">
        <v>206</v>
      </c>
      <c r="L27" s="167" t="str">
        <f>IFERROR(IF(I27="有",F27*J27*入力シート!$H$14/1000,"0"),"")</f>
        <v>0</v>
      </c>
      <c r="M27" s="221"/>
      <c r="Q27" s="524" t="str">
        <f t="shared" ca="1" si="2"/>
        <v/>
      </c>
    </row>
    <row r="28" spans="2:17" s="161" customFormat="1" ht="19.350000000000001" customHeight="1">
      <c r="B28" s="552" t="s">
        <v>138</v>
      </c>
      <c r="C28" s="898"/>
      <c r="D28" s="898"/>
      <c r="E28" s="165">
        <v>134</v>
      </c>
      <c r="F28" s="187">
        <v>6</v>
      </c>
      <c r="G28" s="554" t="s">
        <v>159</v>
      </c>
      <c r="H28" s="537"/>
      <c r="I28" s="153"/>
      <c r="J28" s="268"/>
      <c r="K28" s="271" t="s">
        <v>159</v>
      </c>
      <c r="L28" s="167" t="str">
        <f>IFERROR(IF(I28="有",F28*J28*入力シート!$H$14/1000,"0"),"")</f>
        <v>0</v>
      </c>
      <c r="M28" s="221"/>
      <c r="Q28" s="524" t="str">
        <f t="shared" ca="1" si="2"/>
        <v/>
      </c>
    </row>
    <row r="29" spans="2:17" s="161" customFormat="1" ht="19.350000000000001" customHeight="1">
      <c r="B29" s="552" t="s">
        <v>149</v>
      </c>
      <c r="C29" s="898"/>
      <c r="D29" s="898"/>
      <c r="E29" s="165">
        <v>135</v>
      </c>
      <c r="F29" s="187">
        <v>10</v>
      </c>
      <c r="G29" s="554" t="s">
        <v>158</v>
      </c>
      <c r="H29" s="537"/>
      <c r="I29" s="153"/>
      <c r="J29" s="841"/>
      <c r="K29" s="841"/>
      <c r="L29" s="167" t="str">
        <f>IFERROR(IF(I29="有",F29*入力シート!$T$92*入力シート!$H$14/1000,"0"),"")</f>
        <v>0</v>
      </c>
      <c r="M29" s="221"/>
      <c r="Q29" s="524" t="str">
        <f t="shared" ca="1" si="2"/>
        <v/>
      </c>
    </row>
    <row r="30" spans="2:17" s="161" customFormat="1" ht="19.350000000000001" customHeight="1">
      <c r="B30" s="388" t="s">
        <v>150</v>
      </c>
      <c r="C30" s="898"/>
      <c r="D30" s="898"/>
      <c r="E30" s="189" t="s">
        <v>829</v>
      </c>
      <c r="F30" s="909" t="str">
        <f>HYPERLINK("#A８５","別に掲げる点数")</f>
        <v>別に掲げる点数</v>
      </c>
      <c r="G30" s="908"/>
      <c r="H30" s="537"/>
      <c r="I30" s="420"/>
      <c r="J30" s="841"/>
      <c r="K30" s="841"/>
      <c r="L30" s="223"/>
      <c r="M30" s="221"/>
      <c r="Q30" s="524" t="str">
        <f t="shared" ref="Q30:Q61" ca="1" si="3">IFERROR(IF(INDEX(INDIRECT($Q$3),ROW())="有","有",""),"")</f>
        <v/>
      </c>
    </row>
    <row r="31" spans="2:17" s="161" customFormat="1" ht="19.350000000000001" customHeight="1">
      <c r="B31" s="388" t="s">
        <v>151</v>
      </c>
      <c r="C31" s="898"/>
      <c r="D31" s="898"/>
      <c r="E31" s="165">
        <v>136</v>
      </c>
      <c r="F31" s="187">
        <v>518</v>
      </c>
      <c r="G31" s="391" t="s">
        <v>158</v>
      </c>
      <c r="H31" s="537"/>
      <c r="I31" s="153"/>
      <c r="J31" s="268"/>
      <c r="K31" s="271" t="s">
        <v>206</v>
      </c>
      <c r="L31" s="167" t="str">
        <f>IFERROR(IF(I31="有",F31*J31*入力シート!$H$14/1000,"0"),"")</f>
        <v>0</v>
      </c>
      <c r="M31" s="221"/>
      <c r="Q31" s="524" t="str">
        <f t="shared" ca="1" si="3"/>
        <v/>
      </c>
    </row>
    <row r="32" spans="2:17" s="161" customFormat="1" ht="19.350000000000001" customHeight="1">
      <c r="B32" s="899" t="s">
        <v>99</v>
      </c>
      <c r="C32" s="908" t="s">
        <v>164</v>
      </c>
      <c r="D32" s="908"/>
      <c r="E32" s="165">
        <v>137</v>
      </c>
      <c r="F32" s="187">
        <v>3</v>
      </c>
      <c r="G32" s="391" t="s">
        <v>100</v>
      </c>
      <c r="H32" s="539" t="str">
        <f>IF(I32="有",IF(I33="有","Ⅱと同時算定不可",""),"")</f>
        <v/>
      </c>
      <c r="I32" s="153"/>
      <c r="J32" s="268"/>
      <c r="K32" s="271" t="s">
        <v>206</v>
      </c>
      <c r="L32" s="167" t="str">
        <f>IFERROR(IF(I32="有",F32*J32*入力シート!$H$14/1000,"0"),"")</f>
        <v>0</v>
      </c>
      <c r="M32" s="221"/>
      <c r="P32" s="393"/>
      <c r="Q32" s="524" t="str">
        <f t="shared" ca="1" si="3"/>
        <v/>
      </c>
    </row>
    <row r="33" spans="2:17" s="161" customFormat="1" ht="19.350000000000001" customHeight="1">
      <c r="B33" s="899"/>
      <c r="C33" s="908" t="s">
        <v>165</v>
      </c>
      <c r="D33" s="908"/>
      <c r="E33" s="165">
        <v>137</v>
      </c>
      <c r="F33" s="187">
        <v>4</v>
      </c>
      <c r="G33" s="391" t="s">
        <v>100</v>
      </c>
      <c r="H33" s="539" t="str">
        <f>IF(I33="有",IF(I32="有","Ⅰと同時算定不可",""),"")</f>
        <v/>
      </c>
      <c r="I33" s="153"/>
      <c r="J33" s="268"/>
      <c r="K33" s="271" t="s">
        <v>206</v>
      </c>
      <c r="L33" s="167" t="str">
        <f>IFERROR(IF(I33="有",F33*J33*入力シート!$H$14/1000,"0"),"")</f>
        <v>0</v>
      </c>
      <c r="M33" s="221"/>
      <c r="P33" s="393"/>
      <c r="Q33" s="524" t="str">
        <f t="shared" ca="1" si="3"/>
        <v/>
      </c>
    </row>
    <row r="34" spans="2:17" s="161" customFormat="1" ht="19.350000000000001" customHeight="1">
      <c r="B34" s="388" t="s">
        <v>152</v>
      </c>
      <c r="C34" s="898"/>
      <c r="D34" s="898"/>
      <c r="E34" s="165">
        <v>138</v>
      </c>
      <c r="F34" s="187">
        <v>200</v>
      </c>
      <c r="G34" s="391" t="s">
        <v>100</v>
      </c>
      <c r="H34" s="533"/>
      <c r="I34" s="153"/>
      <c r="J34" s="268"/>
      <c r="K34" s="271" t="s">
        <v>206</v>
      </c>
      <c r="L34" s="167" t="str">
        <f>IFERROR(IF(I34="有",F34*J34*入力シート!$H$14/1000,"0"),"")</f>
        <v>0</v>
      </c>
      <c r="M34" s="221"/>
      <c r="P34" s="393"/>
      <c r="Q34" s="524" t="str">
        <f t="shared" ca="1" si="3"/>
        <v/>
      </c>
    </row>
    <row r="35" spans="2:17" s="161" customFormat="1" ht="19.350000000000001" customHeight="1">
      <c r="B35" s="899" t="s">
        <v>153</v>
      </c>
      <c r="C35" s="908" t="s">
        <v>162</v>
      </c>
      <c r="D35" s="908"/>
      <c r="E35" s="165">
        <v>139</v>
      </c>
      <c r="F35" s="554" t="s">
        <v>204</v>
      </c>
      <c r="G35" s="554" t="s">
        <v>100</v>
      </c>
      <c r="H35" s="572" t="str">
        <f>IF(I35="有",IF(I36="有","Ⅱと同時算定不可",""),"")</f>
        <v/>
      </c>
      <c r="I35" s="153"/>
      <c r="J35" s="841"/>
      <c r="K35" s="841"/>
      <c r="L35" s="167" t="str">
        <f>IFERROR(IF(I35="有",((入力シート!O96+入力シート!O97)*140+(入力シート!O98+入力シート!O99+入力シート!O100)*40)*入力シート!$H$14/1000,"0"),"")</f>
        <v>0</v>
      </c>
      <c r="M35" s="221"/>
      <c r="P35" s="393"/>
      <c r="Q35" s="524" t="str">
        <f t="shared" ca="1" si="3"/>
        <v/>
      </c>
    </row>
    <row r="36" spans="2:17" s="161" customFormat="1" ht="19.350000000000001" customHeight="1">
      <c r="B36" s="899"/>
      <c r="C36" s="908" t="s">
        <v>163</v>
      </c>
      <c r="D36" s="908"/>
      <c r="E36" s="165">
        <v>139</v>
      </c>
      <c r="F36" s="554" t="s">
        <v>867</v>
      </c>
      <c r="G36" s="554" t="s">
        <v>100</v>
      </c>
      <c r="H36" s="572" t="str">
        <f>IF(I36="有",IF(I35="有","Ⅰと同時算定不可",""),"")</f>
        <v/>
      </c>
      <c r="I36" s="153"/>
      <c r="J36" s="841"/>
      <c r="K36" s="841"/>
      <c r="L36" s="167" t="str">
        <f>IFERROR(IF(I36="有",((入力シート!O96+入力シート!O97)*200+(入力シート!O98+入力シート!O99+入力シート!O100)*100)*入力シート!$H$14/1000,"0"),"")</f>
        <v>0</v>
      </c>
      <c r="M36" s="221"/>
      <c r="P36" s="393"/>
      <c r="Q36" s="524" t="str">
        <f t="shared" ca="1" si="3"/>
        <v/>
      </c>
    </row>
    <row r="37" spans="2:17" s="161" customFormat="1" ht="19.350000000000001" customHeight="1">
      <c r="B37" s="835" t="s">
        <v>139</v>
      </c>
      <c r="C37" s="867" t="s">
        <v>1056</v>
      </c>
      <c r="D37" s="867"/>
      <c r="E37" s="75" t="s">
        <v>1068</v>
      </c>
      <c r="F37" s="66">
        <v>10</v>
      </c>
      <c r="G37" s="551" t="s">
        <v>65</v>
      </c>
      <c r="H37" s="572" t="str">
        <f>IF(I37="有",IF(OR(I40="有",I39="有",I38="有"),"同時算定不可",""),"")</f>
        <v/>
      </c>
      <c r="I37" s="153"/>
      <c r="J37" s="268"/>
      <c r="K37" s="271" t="s">
        <v>206</v>
      </c>
      <c r="L37" s="167" t="str">
        <f>IFERROR(IF(I37="有",F37*J37*入力シート!$H$14/1000,"0"),"")</f>
        <v>0</v>
      </c>
      <c r="M37" s="221"/>
      <c r="P37" s="393"/>
      <c r="Q37" s="524" t="str">
        <f t="shared" ca="1" si="3"/>
        <v/>
      </c>
    </row>
    <row r="38" spans="2:17" s="161" customFormat="1" ht="19.350000000000001" customHeight="1">
      <c r="B38" s="848"/>
      <c r="C38" s="867" t="s">
        <v>1057</v>
      </c>
      <c r="D38" s="867"/>
      <c r="E38" s="75" t="s">
        <v>1068</v>
      </c>
      <c r="F38" s="66">
        <v>15</v>
      </c>
      <c r="G38" s="551" t="s">
        <v>65</v>
      </c>
      <c r="H38" s="572" t="str">
        <f>IF(I38="有",IF(OR(I37="有",I40="有",I39="有"),"同時算定不可",""),"")</f>
        <v/>
      </c>
      <c r="I38" s="153"/>
      <c r="J38" s="459"/>
      <c r="K38" s="271" t="s">
        <v>206</v>
      </c>
      <c r="L38" s="167" t="str">
        <f>IFERROR(IF(I38="有",F38*J38*入力シート!$H$14/1000,"0"),"")</f>
        <v>0</v>
      </c>
      <c r="M38" s="221"/>
      <c r="N38" s="477"/>
      <c r="O38" s="477"/>
      <c r="P38" s="478"/>
      <c r="Q38" s="524" t="str">
        <f t="shared" ca="1" si="3"/>
        <v/>
      </c>
    </row>
    <row r="39" spans="2:17" s="161" customFormat="1" ht="19.350000000000001" customHeight="1">
      <c r="B39" s="848"/>
      <c r="C39" s="867" t="s">
        <v>1058</v>
      </c>
      <c r="D39" s="867"/>
      <c r="E39" s="75" t="s">
        <v>1068</v>
      </c>
      <c r="F39" s="66">
        <v>20</v>
      </c>
      <c r="G39" s="551" t="s">
        <v>65</v>
      </c>
      <c r="H39" s="572" t="str">
        <f>IF(I39="有",IF(OR(I38="有",I37="有",I40="有"),"同時算定不可",""),"")</f>
        <v/>
      </c>
      <c r="I39" s="153"/>
      <c r="J39" s="459"/>
      <c r="K39" s="271" t="s">
        <v>206</v>
      </c>
      <c r="L39" s="167" t="str">
        <f>IFERROR(IF(I39="有",F39*J39*入力シート!$H$14/1000,"0"),"")</f>
        <v>0</v>
      </c>
      <c r="M39" s="221"/>
      <c r="Q39" s="524" t="str">
        <f t="shared" ca="1" si="3"/>
        <v/>
      </c>
    </row>
    <row r="40" spans="2:17" s="161" customFormat="1" ht="19.350000000000001" customHeight="1">
      <c r="B40" s="836"/>
      <c r="C40" s="867" t="str">
        <f ca="1">IF(入力シート!S2&lt;4,"排せつ支援加算（Ⅳ）","")</f>
        <v>排せつ支援加算（Ⅳ）</v>
      </c>
      <c r="D40" s="867"/>
      <c r="E40" s="75" t="s">
        <v>1068</v>
      </c>
      <c r="F40" s="66">
        <f ca="1">IF(入力シート!S2&lt;4,100,"")</f>
        <v>100</v>
      </c>
      <c r="G40" s="551" t="str">
        <f ca="1">IF(入力シート!S2&lt;4,"月毎","")</f>
        <v>月毎</v>
      </c>
      <c r="H40" s="572" t="str">
        <f>IF(I40="有",IF(OR(I37="有",I39="有",I38="有"),"同時算定不可",""),"")</f>
        <v/>
      </c>
      <c r="I40" s="153"/>
      <c r="J40" s="459"/>
      <c r="K40" s="271" t="str">
        <f ca="1">IF(入力シート!S2&lt;4,"人","")</f>
        <v>人</v>
      </c>
      <c r="L40" s="167" t="str">
        <f>IFERROR(IF(I40="有",F40*J40*入力シート!$H$14/1000,"0"),"")</f>
        <v>0</v>
      </c>
      <c r="M40" s="221"/>
      <c r="Q40" s="524" t="str">
        <f t="shared" ca="1" si="3"/>
        <v/>
      </c>
    </row>
    <row r="41" spans="2:17" s="161" customFormat="1" ht="19.350000000000001" customHeight="1">
      <c r="B41" s="550" t="s">
        <v>1048</v>
      </c>
      <c r="C41" s="837"/>
      <c r="D41" s="838"/>
      <c r="E41" s="75" t="s">
        <v>1068</v>
      </c>
      <c r="F41" s="66">
        <v>300</v>
      </c>
      <c r="G41" s="551" t="s">
        <v>65</v>
      </c>
      <c r="H41" s="537"/>
      <c r="I41" s="153"/>
      <c r="J41" s="459"/>
      <c r="K41" s="271" t="s">
        <v>206</v>
      </c>
      <c r="L41" s="167" t="str">
        <f>IFERROR(IF(I41="有",F41*J41*入力シート!$H$14/1000,"0"),"")</f>
        <v>0</v>
      </c>
      <c r="M41" s="221"/>
      <c r="Q41" s="524" t="str">
        <f t="shared" ca="1" si="3"/>
        <v/>
      </c>
    </row>
    <row r="42" spans="2:17" s="161" customFormat="1" ht="19.350000000000001" customHeight="1">
      <c r="B42" s="835" t="s">
        <v>1049</v>
      </c>
      <c r="C42" s="839" t="s">
        <v>1050</v>
      </c>
      <c r="D42" s="840"/>
      <c r="E42" s="75" t="s">
        <v>1068</v>
      </c>
      <c r="F42" s="66">
        <v>40</v>
      </c>
      <c r="G42" s="551" t="s">
        <v>65</v>
      </c>
      <c r="H42" s="572" t="str">
        <f>IF(I42="有",IF(I43="有","Ⅱと同時算定不可",""),"")</f>
        <v/>
      </c>
      <c r="I42" s="153"/>
      <c r="J42" s="841"/>
      <c r="K42" s="841"/>
      <c r="L42" s="167" t="str">
        <f>IFERROR(IF(I42="有",F42*入力シート!$T$92/365*12*入力シート!$H$14/1000,"0"),"")</f>
        <v>0</v>
      </c>
      <c r="M42" s="221"/>
      <c r="Q42" s="524" t="str">
        <f t="shared" ca="1" si="3"/>
        <v/>
      </c>
    </row>
    <row r="43" spans="2:17" s="161" customFormat="1" ht="19.350000000000001" customHeight="1">
      <c r="B43" s="836"/>
      <c r="C43" s="839" t="s">
        <v>1051</v>
      </c>
      <c r="D43" s="840"/>
      <c r="E43" s="75" t="s">
        <v>1068</v>
      </c>
      <c r="F43" s="66">
        <v>60</v>
      </c>
      <c r="G43" s="551" t="s">
        <v>65</v>
      </c>
      <c r="H43" s="572" t="str">
        <f>IF(I43="有",IF(I42="有","Ⅰと同時算定不可",""),"")</f>
        <v/>
      </c>
      <c r="I43" s="153"/>
      <c r="J43" s="841"/>
      <c r="K43" s="841"/>
      <c r="L43" s="167" t="str">
        <f>IFERROR(IF(I43="有",F43*入力シート!$T$92/365*12*入力シート!$H$14/1000,"0"),"")</f>
        <v>0</v>
      </c>
      <c r="M43" s="221"/>
      <c r="Q43" s="524" t="str">
        <f t="shared" ca="1" si="3"/>
        <v/>
      </c>
    </row>
    <row r="44" spans="2:17" s="161" customFormat="1" ht="19.350000000000001" customHeight="1">
      <c r="B44" s="550" t="s">
        <v>1041</v>
      </c>
      <c r="C44" s="842"/>
      <c r="D44" s="842"/>
      <c r="E44" s="75" t="s">
        <v>1068</v>
      </c>
      <c r="F44" s="66">
        <v>60</v>
      </c>
      <c r="G44" s="551" t="s">
        <v>100</v>
      </c>
      <c r="H44" s="570"/>
      <c r="I44" s="446"/>
      <c r="J44" s="268"/>
      <c r="K44" s="271" t="s">
        <v>206</v>
      </c>
      <c r="L44" s="167" t="str">
        <f>IFERROR(IF(I44="有",F44*入力シート!$T$92*入力シート!$H$14/1000,"0"),"")</f>
        <v>0</v>
      </c>
      <c r="M44" s="221"/>
      <c r="Q44" s="524" t="str">
        <f t="shared" ca="1" si="3"/>
        <v/>
      </c>
    </row>
    <row r="45" spans="2:17" s="161" customFormat="1" ht="19.350000000000001" customHeight="1">
      <c r="B45" s="550" t="s">
        <v>1053</v>
      </c>
      <c r="C45" s="842"/>
      <c r="D45" s="842"/>
      <c r="E45" s="75" t="s">
        <v>1068</v>
      </c>
      <c r="F45" s="66">
        <v>20</v>
      </c>
      <c r="G45" s="549" t="s">
        <v>161</v>
      </c>
      <c r="H45" s="570"/>
      <c r="I45" s="446"/>
      <c r="J45" s="459"/>
      <c r="K45" s="271" t="s">
        <v>1061</v>
      </c>
      <c r="L45" s="167" t="str">
        <f>IFERROR(IF(I45="有",F45*入力シート!$T$92*入力シート!$H$14/1000,"0"),"")</f>
        <v>0</v>
      </c>
      <c r="M45" s="221"/>
      <c r="Q45" s="524" t="str">
        <f t="shared" ca="1" si="3"/>
        <v/>
      </c>
    </row>
    <row r="46" spans="2:17" s="161" customFormat="1" ht="19.350000000000001" customHeight="1">
      <c r="B46" s="870" t="s">
        <v>192</v>
      </c>
      <c r="C46" s="849" t="s">
        <v>1059</v>
      </c>
      <c r="D46" s="849"/>
      <c r="E46" s="75">
        <v>143</v>
      </c>
      <c r="F46" s="66">
        <v>22</v>
      </c>
      <c r="G46" s="864" t="s">
        <v>64</v>
      </c>
      <c r="H46" s="931" t="s">
        <v>827</v>
      </c>
      <c r="I46" s="153"/>
      <c r="J46" s="841"/>
      <c r="K46" s="841"/>
      <c r="L46" s="167" t="str">
        <f>IFERROR(IF(I46="有",F46*入力シート!$T$92*入力シート!$H$14/1000,"0"),"")</f>
        <v>0</v>
      </c>
      <c r="M46" s="221"/>
      <c r="Q46" s="524" t="str">
        <f t="shared" ca="1" si="3"/>
        <v/>
      </c>
    </row>
    <row r="47" spans="2:17" s="161" customFormat="1" ht="19.350000000000001" customHeight="1">
      <c r="B47" s="870"/>
      <c r="C47" s="849" t="s">
        <v>859</v>
      </c>
      <c r="D47" s="849"/>
      <c r="E47" s="75">
        <v>143</v>
      </c>
      <c r="F47" s="51">
        <v>18</v>
      </c>
      <c r="G47" s="864"/>
      <c r="H47" s="932"/>
      <c r="I47" s="153"/>
      <c r="J47" s="841"/>
      <c r="K47" s="841"/>
      <c r="L47" s="167" t="str">
        <f>IFERROR(IF(I47="有",F47*入力シート!$T$92*入力シート!$H$14/1000,"0"),"")</f>
        <v>0</v>
      </c>
      <c r="M47" s="221"/>
      <c r="N47" s="872" t="s">
        <v>759</v>
      </c>
      <c r="O47" s="872"/>
      <c r="P47" s="872"/>
      <c r="Q47" s="524" t="str">
        <f t="shared" ca="1" si="3"/>
        <v/>
      </c>
    </row>
    <row r="48" spans="2:17" s="161" customFormat="1" ht="19.350000000000001" customHeight="1">
      <c r="B48" s="870"/>
      <c r="C48" s="849" t="s">
        <v>96</v>
      </c>
      <c r="D48" s="849"/>
      <c r="E48" s="75">
        <v>143</v>
      </c>
      <c r="F48" s="51">
        <v>6</v>
      </c>
      <c r="G48" s="864"/>
      <c r="H48" s="932"/>
      <c r="I48" s="153"/>
      <c r="J48" s="841"/>
      <c r="K48" s="841"/>
      <c r="L48" s="167" t="str">
        <f>IFERROR(IF(I48="有",F48*入力シート!$T$92*入力シート!$H$14/1000,"0"),"")</f>
        <v>0</v>
      </c>
      <c r="M48" s="221"/>
      <c r="O48" s="69"/>
      <c r="P48" s="69" t="e">
        <f>(SUM(L5:L9)+SUM(L14:L48)+SUM(L58:L61))/入力シート!$H$14*1000</f>
        <v>#VALUE!</v>
      </c>
      <c r="Q48" s="524" t="str">
        <f t="shared" ca="1" si="3"/>
        <v/>
      </c>
    </row>
    <row r="49" spans="2:17" s="161" customFormat="1" ht="19.350000000000001" customHeight="1">
      <c r="B49" s="835" t="s">
        <v>901</v>
      </c>
      <c r="C49" s="908" t="s">
        <v>868</v>
      </c>
      <c r="D49" s="908"/>
      <c r="E49" s="165">
        <v>144</v>
      </c>
      <c r="F49" s="554" t="s">
        <v>869</v>
      </c>
      <c r="G49" s="554" t="s">
        <v>65</v>
      </c>
      <c r="H49" s="936" t="s">
        <v>827</v>
      </c>
      <c r="I49" s="153"/>
      <c r="J49" s="841"/>
      <c r="K49" s="841"/>
      <c r="L49" s="191" t="str">
        <f>IFERROR(IF(I49="有",(入力シート!$T$93+$P$48)*入力シート!$H$14/1000*26/1000,"0"),"")</f>
        <v>0</v>
      </c>
      <c r="M49" s="221"/>
      <c r="Q49" s="524" t="str">
        <f t="shared" ca="1" si="3"/>
        <v/>
      </c>
    </row>
    <row r="50" spans="2:17" s="161" customFormat="1" ht="19.350000000000001" customHeight="1">
      <c r="B50" s="848"/>
      <c r="C50" s="908" t="s">
        <v>193</v>
      </c>
      <c r="D50" s="908"/>
      <c r="E50" s="165">
        <v>144</v>
      </c>
      <c r="F50" s="554" t="s">
        <v>832</v>
      </c>
      <c r="G50" s="554" t="s">
        <v>65</v>
      </c>
      <c r="H50" s="937"/>
      <c r="I50" s="153"/>
      <c r="J50" s="841"/>
      <c r="K50" s="841"/>
      <c r="L50" s="191" t="str">
        <f>IFERROR(IF(I50="有",(入力シート!$T$93+$P$48)*入力シート!$H$14/1000*19/1000,"0"),"")</f>
        <v>0</v>
      </c>
      <c r="M50" s="221"/>
      <c r="Q50" s="524" t="str">
        <f t="shared" ca="1" si="3"/>
        <v/>
      </c>
    </row>
    <row r="51" spans="2:17" s="161" customFormat="1" ht="19.350000000000001" customHeight="1">
      <c r="B51" s="848"/>
      <c r="C51" s="908" t="s">
        <v>870</v>
      </c>
      <c r="D51" s="908"/>
      <c r="E51" s="165">
        <v>144</v>
      </c>
      <c r="F51" s="554" t="s">
        <v>833</v>
      </c>
      <c r="G51" s="554" t="s">
        <v>65</v>
      </c>
      <c r="H51" s="937"/>
      <c r="I51" s="153"/>
      <c r="J51" s="841"/>
      <c r="K51" s="841"/>
      <c r="L51" s="191" t="str">
        <f>IFERROR(IF(I51="有",(入力シート!$T$93+$P$48)*入力シート!$H$14/1000*10/1000,"0"),"")</f>
        <v>0</v>
      </c>
      <c r="M51" s="221"/>
      <c r="Q51" s="524" t="str">
        <f t="shared" ca="1" si="3"/>
        <v/>
      </c>
    </row>
    <row r="52" spans="2:17" s="161" customFormat="1" ht="19.350000000000001" customHeight="1">
      <c r="B52" s="848"/>
      <c r="C52" s="849" t="str">
        <f ca="1">IF(入力シート!S2&lt;4,"介護職員処遇改善加算（Ⅳ）","")</f>
        <v>介護職員処遇改善加算（Ⅳ）</v>
      </c>
      <c r="D52" s="849"/>
      <c r="E52" s="75" t="str">
        <f ca="1">IF(入力シート!S2&lt;4,"P.144","")</f>
        <v>P.144</v>
      </c>
      <c r="F52" s="551" t="str">
        <f ca="1">IF(入力シート!S2&lt;4,"×10/1000×0.9","")</f>
        <v>×10/1000×0.9</v>
      </c>
      <c r="G52" s="551" t="str">
        <f ca="1">IF(入力シート!S2&lt;4,"月毎","")</f>
        <v>月毎</v>
      </c>
      <c r="H52" s="937"/>
      <c r="I52" s="153"/>
      <c r="J52" s="841"/>
      <c r="K52" s="841"/>
      <c r="L52" s="191" t="str">
        <f>IFERROR(IF(I52="有",(入力シート!$T$93+$P$48)*入力シート!$H$14/1000*9/1000,"0"),"")</f>
        <v>0</v>
      </c>
      <c r="M52" s="221"/>
      <c r="Q52" s="524" t="str">
        <f t="shared" ca="1" si="3"/>
        <v/>
      </c>
    </row>
    <row r="53" spans="2:17" s="161" customFormat="1" ht="19.350000000000001" customHeight="1">
      <c r="B53" s="836"/>
      <c r="C53" s="849" t="str">
        <f ca="1">IF(入力シート!S2&lt;4,"介護職員処遇改善加算（Ⅴ）","")</f>
        <v>介護職員処遇改善加算（Ⅴ）</v>
      </c>
      <c r="D53" s="849"/>
      <c r="E53" s="75" t="str">
        <f ca="1">IF(入力シート!S2&lt;4,"P.144","")</f>
        <v>P.144</v>
      </c>
      <c r="F53" s="551" t="str">
        <f ca="1">IF(入力シート!S2&lt;4,"×10/1000×0.8","")</f>
        <v>×10/1000×0.8</v>
      </c>
      <c r="G53" s="551" t="str">
        <f ca="1">IF(入力シート!S2&lt;4,"月毎","")</f>
        <v>月毎</v>
      </c>
      <c r="H53" s="938"/>
      <c r="I53" s="153"/>
      <c r="J53" s="841"/>
      <c r="K53" s="841"/>
      <c r="L53" s="191" t="str">
        <f>IFERROR(IF(I53="有",(入力シート!$T$93+$P$48)*入力シート!$H$14/1000*8/1000,"0"),"")</f>
        <v>0</v>
      </c>
      <c r="M53" s="221"/>
      <c r="Q53" s="524" t="str">
        <f t="shared" ca="1" si="3"/>
        <v/>
      </c>
    </row>
    <row r="54" spans="2:17" s="161" customFormat="1" ht="19.350000000000001" customHeight="1">
      <c r="B54" s="870" t="s">
        <v>899</v>
      </c>
      <c r="C54" s="849" t="s">
        <v>1009</v>
      </c>
      <c r="D54" s="849"/>
      <c r="E54" s="165">
        <v>146</v>
      </c>
      <c r="F54" s="554" t="s">
        <v>834</v>
      </c>
      <c r="G54" s="554" t="s">
        <v>65</v>
      </c>
      <c r="H54" s="573" t="str">
        <f>IF(AND(I54="有",OR(SUM(L49:L51)=0,I55="有")),"！算定不可！","")</f>
        <v/>
      </c>
      <c r="I54" s="153"/>
      <c r="J54" s="841"/>
      <c r="K54" s="841"/>
      <c r="L54" s="191" t="str">
        <f>IFERROR(IF(I54="有",(入力シート!$T$93+$P$48)*入力シート!$H$14/1000*15/1000,"0"),"")</f>
        <v>0</v>
      </c>
      <c r="M54" s="181"/>
      <c r="N54" s="193"/>
      <c r="O54" s="193"/>
      <c r="P54" s="193"/>
      <c r="Q54" s="524" t="str">
        <f t="shared" ca="1" si="3"/>
        <v/>
      </c>
    </row>
    <row r="55" spans="2:17" s="161" customFormat="1" ht="19.350000000000001" customHeight="1">
      <c r="B55" s="876"/>
      <c r="C55" s="877" t="s">
        <v>1010</v>
      </c>
      <c r="D55" s="877"/>
      <c r="E55" s="171">
        <v>146</v>
      </c>
      <c r="F55" s="227" t="s">
        <v>835</v>
      </c>
      <c r="G55" s="227" t="s">
        <v>65</v>
      </c>
      <c r="H55" s="574" t="str">
        <f>IF(AND(I55="有",OR(SUM(L49:L51)=0,I54="有")),"！算定不可！","")</f>
        <v/>
      </c>
      <c r="I55" s="154"/>
      <c r="J55" s="878"/>
      <c r="K55" s="878"/>
      <c r="L55" s="195" t="str">
        <f>IFERROR(IF(I55="有",(入力シート!$T$93+$P$48)*入力シート!$H$14/1000*11/1000,"0"),"")</f>
        <v>0</v>
      </c>
      <c r="M55" s="181"/>
      <c r="N55" s="193"/>
      <c r="O55" s="193"/>
      <c r="P55" s="193"/>
      <c r="Q55" s="524" t="str">
        <f t="shared" ca="1" si="3"/>
        <v/>
      </c>
    </row>
    <row r="56" spans="2:17" s="199" customFormat="1" ht="19.350000000000001" customHeight="1">
      <c r="B56" s="196" t="str">
        <f>IF(OR(H54="！算定不可！",H55="！算定不可！"),"↑（エラー）「介護職員等特定処遇改善加算」は「介護職員改善加算」の算定が条件です。また、介護職員等特定処遇改善加算（Ⅰ）、（Ⅱ）の同時算定はできません。","")</f>
        <v/>
      </c>
      <c r="C56" s="197"/>
      <c r="D56" s="197"/>
      <c r="E56" s="197"/>
      <c r="F56" s="197"/>
      <c r="G56" s="197"/>
      <c r="H56" s="541"/>
      <c r="I56" s="430"/>
      <c r="J56" s="197"/>
      <c r="K56" s="197"/>
      <c r="L56" s="197"/>
      <c r="M56" s="198"/>
      <c r="N56" s="198"/>
      <c r="O56" s="198"/>
      <c r="Q56" s="526"/>
    </row>
    <row r="57" spans="2:17" s="199" customFormat="1" ht="19.350000000000001" customHeight="1">
      <c r="B57" s="62" t="s">
        <v>1060</v>
      </c>
      <c r="C57" s="916"/>
      <c r="D57" s="916"/>
      <c r="E57" s="474" t="s">
        <v>1068</v>
      </c>
      <c r="F57" s="475">
        <v>-5</v>
      </c>
      <c r="G57" s="64" t="s">
        <v>158</v>
      </c>
      <c r="H57" s="542"/>
      <c r="I57" s="155"/>
      <c r="J57" s="917"/>
      <c r="K57" s="917"/>
      <c r="L57" s="401" t="str">
        <f>IFERROR(IF(I57="有",F57*入力シート!$T$92*入力シート!$H$14/1000,"0"),"")</f>
        <v>0</v>
      </c>
      <c r="M57" s="198"/>
      <c r="N57" s="198"/>
      <c r="O57" s="198"/>
      <c r="Q57" s="524" t="str">
        <f t="shared" ca="1" si="3"/>
        <v/>
      </c>
    </row>
    <row r="58" spans="2:17" s="161" customFormat="1" ht="19.350000000000001" customHeight="1">
      <c r="B58" s="441" t="s">
        <v>900</v>
      </c>
      <c r="C58" s="933"/>
      <c r="D58" s="933"/>
      <c r="E58" s="471">
        <v>113</v>
      </c>
      <c r="F58" s="472">
        <v>-25</v>
      </c>
      <c r="G58" s="473" t="s">
        <v>158</v>
      </c>
      <c r="H58" s="543"/>
      <c r="I58" s="457" t="s">
        <v>1052</v>
      </c>
      <c r="J58" s="934"/>
      <c r="K58" s="934"/>
      <c r="L58" s="480" t="str">
        <f>IFERROR(IF(I58="有",F58*入力シート!$T$92*入力シート!$H$14/1000,"0"),"")</f>
        <v>0</v>
      </c>
      <c r="M58" s="221"/>
      <c r="Q58" s="524" t="str">
        <f t="shared" ca="1" si="3"/>
        <v/>
      </c>
    </row>
    <row r="59" spans="2:17" s="199" customFormat="1" ht="19.350000000000001" customHeight="1">
      <c r="B59" s="388" t="s">
        <v>903</v>
      </c>
      <c r="C59" s="935"/>
      <c r="D59" s="935"/>
      <c r="E59" s="165">
        <v>113</v>
      </c>
      <c r="F59" s="201">
        <v>-25</v>
      </c>
      <c r="G59" s="394" t="s">
        <v>158</v>
      </c>
      <c r="H59" s="544"/>
      <c r="I59" s="153"/>
      <c r="J59" s="845"/>
      <c r="K59" s="845"/>
      <c r="L59" s="167" t="str">
        <f>IFERROR(IF(I59="有",F59*入力シート!$T$92*入力シート!$H$14/1000,"0"),"")</f>
        <v>0</v>
      </c>
      <c r="M59" s="221"/>
      <c r="N59" s="198"/>
      <c r="O59" s="198"/>
      <c r="P59" s="198"/>
      <c r="Q59" s="524" t="str">
        <f t="shared" ca="1" si="3"/>
        <v/>
      </c>
    </row>
    <row r="60" spans="2:17" s="199" customFormat="1" ht="19.350000000000001" customHeight="1">
      <c r="B60" s="451" t="s">
        <v>905</v>
      </c>
      <c r="C60" s="935"/>
      <c r="D60" s="935"/>
      <c r="E60" s="165">
        <v>113</v>
      </c>
      <c r="F60" s="201">
        <v>-25</v>
      </c>
      <c r="G60" s="452" t="s">
        <v>158</v>
      </c>
      <c r="H60" s="544"/>
      <c r="I60" s="449" t="str">
        <f>IF(L60="0","","有")</f>
        <v/>
      </c>
      <c r="J60" s="845" t="str">
        <f>IF(L60="","","A病棟で入力")</f>
        <v>A病棟で入力</v>
      </c>
      <c r="K60" s="845"/>
      <c r="L60" s="167" t="str">
        <f>IFERROR(IF('加算項目（A病棟）'!L60="0","0",F60*入力シート!$T$92*入力シート!$H$14/1000),"")</f>
        <v>0</v>
      </c>
      <c r="M60" s="221"/>
      <c r="N60" s="198"/>
      <c r="O60" s="198"/>
      <c r="P60" s="198"/>
      <c r="Q60" s="524" t="str">
        <f t="shared" ca="1" si="3"/>
        <v/>
      </c>
    </row>
    <row r="61" spans="2:17" s="199" customFormat="1" ht="19.350000000000001" customHeight="1">
      <c r="B61" s="121" t="str">
        <f ca="1">IF(入力シート!S2=5,"（減算）栄養ケア・マネジメントの未実施減算","")</f>
        <v/>
      </c>
      <c r="C61" s="914"/>
      <c r="D61" s="914"/>
      <c r="E61" s="122" t="s">
        <v>1068</v>
      </c>
      <c r="F61" s="123" t="str">
        <f ca="1">IF(入力シート!S2=5,-14,"")</f>
        <v/>
      </c>
      <c r="G61" s="124" t="str">
        <f ca="1">IF(入力シート!S2=5,"日毎","")</f>
        <v/>
      </c>
      <c r="H61" s="545"/>
      <c r="I61" s="157"/>
      <c r="J61" s="915"/>
      <c r="K61" s="915"/>
      <c r="L61" s="203" t="str">
        <f>IFERROR(IF(I61="有",F61*入力シート!$T$92*入力シート!$H$14/1000,""),"")</f>
        <v/>
      </c>
      <c r="M61" s="221"/>
      <c r="N61" s="198"/>
      <c r="O61" s="198"/>
      <c r="P61" s="198"/>
      <c r="Q61" s="524" t="str">
        <f t="shared" ca="1" si="3"/>
        <v/>
      </c>
    </row>
    <row r="62" spans="2:17" s="161" customFormat="1" ht="19.350000000000001" customHeight="1">
      <c r="B62" s="366" t="str">
        <f>IF(AND(I58="有",OR(I6="有",I7="有",I8="有",I5="有")),"（エラー）夜勤体制減算を算定している場合、夜間勤務等看護加算等は算定できません","")</f>
        <v/>
      </c>
      <c r="C62" s="366"/>
      <c r="D62" s="366"/>
      <c r="E62" s="366"/>
      <c r="F62" s="366"/>
      <c r="G62" s="366"/>
      <c r="H62" s="529"/>
      <c r="I62" s="366"/>
      <c r="L62" s="204"/>
      <c r="M62" s="224"/>
      <c r="Q62" s="523"/>
    </row>
    <row r="63" spans="2:17" s="161" customFormat="1" ht="19.350000000000001" customHeight="1">
      <c r="H63" s="523"/>
      <c r="I63" s="421"/>
      <c r="J63" s="882" t="s">
        <v>1015</v>
      </c>
      <c r="K63" s="882"/>
      <c r="L63" s="882"/>
      <c r="M63" s="180"/>
      <c r="Q63" s="523"/>
    </row>
    <row r="64" spans="2:17" s="161" customFormat="1" ht="24.6" customHeight="1">
      <c r="B64" s="883" t="str">
        <f>HYPERLINK("#'入力シート'!A89","特別診療費を入力しない場合はこちらをクリックしてください")</f>
        <v>特別診療費を入力しない場合はこちらをクリックしてください</v>
      </c>
      <c r="C64" s="884"/>
      <c r="D64" s="884"/>
      <c r="E64" s="884"/>
      <c r="F64" s="884"/>
      <c r="G64" s="884"/>
      <c r="H64" s="523"/>
      <c r="I64" s="423"/>
      <c r="J64" s="885">
        <f>IFERROR(SUM(L5:L61),"")</f>
        <v>0</v>
      </c>
      <c r="K64" s="885"/>
      <c r="L64" s="885"/>
      <c r="M64" s="225"/>
      <c r="Q64" s="523"/>
    </row>
    <row r="65" spans="2:17" ht="19.350000000000001" customHeight="1">
      <c r="J65" s="897" t="s">
        <v>1014</v>
      </c>
      <c r="K65" s="897"/>
      <c r="L65" s="897"/>
    </row>
    <row r="66" spans="2:17" ht="19.350000000000001" customHeight="1">
      <c r="B66" s="887" t="s">
        <v>874</v>
      </c>
      <c r="C66" s="887"/>
      <c r="D66" s="887"/>
      <c r="E66" s="162"/>
      <c r="F66" s="162"/>
      <c r="G66" s="162"/>
      <c r="H66" s="519"/>
      <c r="I66" s="162"/>
      <c r="J66" s="162"/>
      <c r="K66" s="162"/>
      <c r="L66" s="163"/>
      <c r="M66" s="219"/>
      <c r="N66" s="162"/>
    </row>
    <row r="67" spans="2:17" ht="19.350000000000001" customHeight="1">
      <c r="B67" s="879" t="s">
        <v>748</v>
      </c>
      <c r="C67" s="879"/>
      <c r="D67" s="879"/>
      <c r="E67" s="161"/>
      <c r="F67" s="161"/>
      <c r="G67" s="161"/>
      <c r="H67" s="520"/>
      <c r="I67" s="206"/>
      <c r="J67" s="880" t="s">
        <v>749</v>
      </c>
      <c r="K67" s="880"/>
      <c r="L67" s="880"/>
      <c r="M67" s="226"/>
    </row>
    <row r="68" spans="2:17" ht="36" customHeight="1">
      <c r="B68" s="207" t="s">
        <v>172</v>
      </c>
      <c r="C68" s="921" t="s">
        <v>173</v>
      </c>
      <c r="D68" s="921"/>
      <c r="E68" s="164" t="s">
        <v>831</v>
      </c>
      <c r="F68" s="389" t="s">
        <v>63</v>
      </c>
      <c r="G68" s="207" t="s">
        <v>160</v>
      </c>
      <c r="H68" s="546"/>
      <c r="I68" s="397" t="s">
        <v>66</v>
      </c>
      <c r="J68" s="863" t="s">
        <v>202</v>
      </c>
      <c r="K68" s="863"/>
      <c r="L68" s="209" t="s">
        <v>207</v>
      </c>
      <c r="M68" s="220"/>
      <c r="Q68" s="512" t="s">
        <v>66</v>
      </c>
    </row>
    <row r="69" spans="2:17" ht="19.350000000000001" customHeight="1">
      <c r="B69" s="448" t="s">
        <v>166</v>
      </c>
      <c r="C69" s="898"/>
      <c r="D69" s="898"/>
      <c r="E69" s="165">
        <v>148</v>
      </c>
      <c r="F69" s="166">
        <v>6</v>
      </c>
      <c r="G69" s="394" t="s">
        <v>158</v>
      </c>
      <c r="H69" s="547"/>
      <c r="I69" s="158"/>
      <c r="J69" s="841"/>
      <c r="K69" s="841"/>
      <c r="L69" s="167" t="str">
        <f>IFERROR(IF(I69="有",F69*入力シート!$T$92*入力シート!$H$14/1000,"0"),"")</f>
        <v>0</v>
      </c>
      <c r="M69" s="221"/>
      <c r="Q69" s="524" t="str">
        <f t="shared" ref="Q69:Q100" ca="1" si="4">IFERROR(IF(INDEX(INDIRECT($Q$3),ROW())="有","有",""),"")</f>
        <v/>
      </c>
    </row>
    <row r="70" spans="2:17" ht="19.350000000000001" customHeight="1">
      <c r="B70" s="835" t="s">
        <v>167</v>
      </c>
      <c r="C70" s="843" t="s">
        <v>1054</v>
      </c>
      <c r="D70" s="843"/>
      <c r="E70" s="75">
        <v>149</v>
      </c>
      <c r="F70" s="51">
        <v>6</v>
      </c>
      <c r="G70" s="549" t="s">
        <v>158</v>
      </c>
      <c r="H70" s="571"/>
      <c r="I70" s="153"/>
      <c r="J70" s="841"/>
      <c r="K70" s="841"/>
      <c r="L70" s="167" t="str">
        <f>IFERROR(IF(I70="有",F70*入力シート!$T$92*入力シート!$H$14/1000,"0"),"")</f>
        <v>0</v>
      </c>
      <c r="M70" s="221"/>
      <c r="Q70" s="524" t="str">
        <f t="shared" ca="1" si="4"/>
        <v/>
      </c>
    </row>
    <row r="71" spans="2:17" ht="19.350000000000001" customHeight="1">
      <c r="B71" s="836"/>
      <c r="C71" s="843" t="s">
        <v>1055</v>
      </c>
      <c r="D71" s="843"/>
      <c r="E71" s="75" t="s">
        <v>1068</v>
      </c>
      <c r="F71" s="51">
        <v>10</v>
      </c>
      <c r="G71" s="549" t="s">
        <v>65</v>
      </c>
      <c r="H71" s="571"/>
      <c r="I71" s="153"/>
      <c r="J71" s="268"/>
      <c r="K71" s="271" t="s">
        <v>206</v>
      </c>
      <c r="L71" s="167" t="str">
        <f>IFERROR(IF(I71="有",F71*J71*入力シート!$H$14/1000,"0"),"")</f>
        <v>0</v>
      </c>
      <c r="M71" s="221"/>
      <c r="Q71" s="524" t="str">
        <f t="shared" ca="1" si="4"/>
        <v/>
      </c>
    </row>
    <row r="72" spans="2:17" ht="19.350000000000001" customHeight="1">
      <c r="B72" s="552" t="s">
        <v>168</v>
      </c>
      <c r="C72" s="898"/>
      <c r="D72" s="898"/>
      <c r="E72" s="165">
        <v>150</v>
      </c>
      <c r="F72" s="166">
        <v>250</v>
      </c>
      <c r="G72" s="553" t="s">
        <v>159</v>
      </c>
      <c r="H72" s="571"/>
      <c r="I72" s="153"/>
      <c r="J72" s="268"/>
      <c r="K72" s="271" t="s">
        <v>159</v>
      </c>
      <c r="L72" s="167" t="str">
        <f>IFERROR(IF(I72="有",F72*J72*入力シート!$H$14/1000,"0"),"")</f>
        <v>0</v>
      </c>
      <c r="M72" s="221"/>
      <c r="Q72" s="524" t="str">
        <f t="shared" ca="1" si="4"/>
        <v/>
      </c>
    </row>
    <row r="73" spans="2:17" ht="19.350000000000001" customHeight="1">
      <c r="B73" s="552" t="s">
        <v>169</v>
      </c>
      <c r="C73" s="898"/>
      <c r="D73" s="898"/>
      <c r="E73" s="211">
        <v>151</v>
      </c>
      <c r="F73" s="166">
        <v>125</v>
      </c>
      <c r="G73" s="553" t="s">
        <v>158</v>
      </c>
      <c r="H73" s="571"/>
      <c r="I73" s="153"/>
      <c r="J73" s="268"/>
      <c r="K73" s="271" t="s">
        <v>206</v>
      </c>
      <c r="L73" s="167" t="str">
        <f>IFERROR(IF(I73="有",F73*J73*入力シート!$H$14/1000,"0"),"")</f>
        <v>0</v>
      </c>
      <c r="M73" s="221"/>
      <c r="Q73" s="524" t="str">
        <f t="shared" ca="1" si="4"/>
        <v/>
      </c>
    </row>
    <row r="74" spans="2:17" ht="19.350000000000001" customHeight="1">
      <c r="B74" s="924" t="s">
        <v>170</v>
      </c>
      <c r="C74" s="898"/>
      <c r="D74" s="898"/>
      <c r="E74" s="211">
        <v>152</v>
      </c>
      <c r="F74" s="166">
        <v>250</v>
      </c>
      <c r="G74" s="553" t="s">
        <v>158</v>
      </c>
      <c r="H74" s="570"/>
      <c r="I74" s="153"/>
      <c r="J74" s="268"/>
      <c r="K74" s="271" t="s">
        <v>206</v>
      </c>
      <c r="L74" s="167" t="str">
        <f>IFERROR(IF(I74="有",F74*J74*入力シート!$H$14/1000,"0"),"")</f>
        <v>0</v>
      </c>
      <c r="M74" s="212"/>
      <c r="N74" s="145"/>
      <c r="O74" s="145"/>
      <c r="P74" s="145"/>
      <c r="Q74" s="524" t="str">
        <f t="shared" ca="1" si="4"/>
        <v/>
      </c>
    </row>
    <row r="75" spans="2:17" ht="19.350000000000001" customHeight="1">
      <c r="B75" s="925"/>
      <c r="C75" s="927" t="s">
        <v>956</v>
      </c>
      <c r="D75" s="927"/>
      <c r="E75" s="211">
        <v>152</v>
      </c>
      <c r="F75" s="166">
        <v>300</v>
      </c>
      <c r="G75" s="553" t="s">
        <v>158</v>
      </c>
      <c r="H75" s="570" t="str">
        <f>IF(I75="有",IF(I74="有","","！算定不可！"),"")</f>
        <v/>
      </c>
      <c r="I75" s="153"/>
      <c r="J75" s="268"/>
      <c r="K75" s="271" t="s">
        <v>206</v>
      </c>
      <c r="L75" s="167" t="str">
        <f>IFERROR(IF(I75="有",F75*J75*入力シート!$H$14/1000,"0"),"")</f>
        <v>0</v>
      </c>
      <c r="M75" s="212"/>
      <c r="N75" s="145"/>
      <c r="O75" s="145"/>
      <c r="P75" s="145"/>
      <c r="Q75" s="524" t="str">
        <f t="shared" ca="1" si="4"/>
        <v/>
      </c>
    </row>
    <row r="76" spans="2:17" ht="19.350000000000001" customHeight="1">
      <c r="B76" s="926"/>
      <c r="C76" s="927" t="s">
        <v>957</v>
      </c>
      <c r="D76" s="927"/>
      <c r="E76" s="211">
        <v>152</v>
      </c>
      <c r="F76" s="166">
        <v>150</v>
      </c>
      <c r="G76" s="553" t="s">
        <v>158</v>
      </c>
      <c r="H76" s="570" t="str">
        <f>IF(I76="有",IF(I74="有","","！算定不可！"),"")</f>
        <v/>
      </c>
      <c r="I76" s="153"/>
      <c r="J76" s="268"/>
      <c r="K76" s="271" t="s">
        <v>206</v>
      </c>
      <c r="L76" s="167" t="str">
        <f>IFERROR(IF(I76="有",F76*J76*入力シート!$H$14/1000,"0"),"")</f>
        <v>0</v>
      </c>
      <c r="M76" s="212"/>
      <c r="N76" s="145"/>
      <c r="O76" s="145"/>
      <c r="P76" s="145"/>
      <c r="Q76" s="524" t="str">
        <f t="shared" ca="1" si="4"/>
        <v/>
      </c>
    </row>
    <row r="77" spans="2:17" ht="19.350000000000001" customHeight="1">
      <c r="B77" s="552" t="s">
        <v>171</v>
      </c>
      <c r="C77" s="898"/>
      <c r="D77" s="898"/>
      <c r="E77" s="211">
        <v>153</v>
      </c>
      <c r="F77" s="166">
        <v>18</v>
      </c>
      <c r="G77" s="553" t="s">
        <v>158</v>
      </c>
      <c r="H77" s="570"/>
      <c r="I77" s="153"/>
      <c r="J77" s="268"/>
      <c r="K77" s="271" t="s">
        <v>206</v>
      </c>
      <c r="L77" s="167" t="str">
        <f>IFERROR(IF(I77="有",F77*J77*入力シート!$H$14/1000,"0"),"")</f>
        <v>0</v>
      </c>
      <c r="M77" s="221"/>
      <c r="Q77" s="524" t="str">
        <f t="shared" ca="1" si="4"/>
        <v/>
      </c>
    </row>
    <row r="78" spans="2:17" ht="19.350000000000001" customHeight="1">
      <c r="B78" s="870" t="s">
        <v>191</v>
      </c>
      <c r="C78" s="842"/>
      <c r="D78" s="842"/>
      <c r="E78" s="80">
        <v>154</v>
      </c>
      <c r="F78" s="51">
        <v>350</v>
      </c>
      <c r="G78" s="549" t="s">
        <v>159</v>
      </c>
      <c r="H78" s="570"/>
      <c r="I78" s="153"/>
      <c r="J78" s="268"/>
      <c r="K78" s="271" t="s">
        <v>206</v>
      </c>
      <c r="L78" s="167" t="str">
        <f>IFERROR(IF(I78="有",F78*J78*入力シート!$H$14/1000,"0"),"")</f>
        <v>0</v>
      </c>
      <c r="M78" s="221"/>
      <c r="Q78" s="524" t="str">
        <f t="shared" ca="1" si="4"/>
        <v/>
      </c>
    </row>
    <row r="79" spans="2:17" ht="19.350000000000001" customHeight="1">
      <c r="B79" s="870"/>
      <c r="C79" s="888" t="s">
        <v>1042</v>
      </c>
      <c r="D79" s="888"/>
      <c r="E79" s="80" t="s">
        <v>1068</v>
      </c>
      <c r="F79" s="51">
        <v>20</v>
      </c>
      <c r="G79" s="549" t="s">
        <v>65</v>
      </c>
      <c r="H79" s="570"/>
      <c r="I79" s="153"/>
      <c r="J79" s="268"/>
      <c r="K79" s="271" t="s">
        <v>206</v>
      </c>
      <c r="L79" s="167" t="str">
        <f>IFERROR(IF(I79="有",F79*J79*入力シート!$H$14/1000,"0"),"")</f>
        <v>0</v>
      </c>
      <c r="M79" s="221"/>
      <c r="Q79" s="524" t="str">
        <f t="shared" ca="1" si="4"/>
        <v/>
      </c>
    </row>
    <row r="80" spans="2:17" ht="19.350000000000001" customHeight="1">
      <c r="B80" s="870"/>
      <c r="C80" s="888" t="s">
        <v>176</v>
      </c>
      <c r="D80" s="888"/>
      <c r="E80" s="80">
        <v>154</v>
      </c>
      <c r="F80" s="51">
        <v>50</v>
      </c>
      <c r="G80" s="549" t="s">
        <v>159</v>
      </c>
      <c r="H80" s="570"/>
      <c r="I80" s="153"/>
      <c r="J80" s="268"/>
      <c r="K80" s="271" t="s">
        <v>159</v>
      </c>
      <c r="L80" s="167" t="str">
        <f>IFERROR(IF(I80="有",F80*J80*入力シート!$H$14/1000,"0"),"")</f>
        <v>0</v>
      </c>
      <c r="M80" s="221"/>
      <c r="Q80" s="524" t="str">
        <f t="shared" ca="1" si="4"/>
        <v/>
      </c>
    </row>
    <row r="81" spans="2:17" ht="19.350000000000001" customHeight="1">
      <c r="B81" s="899" t="s">
        <v>814</v>
      </c>
      <c r="C81" s="923" t="s">
        <v>174</v>
      </c>
      <c r="D81" s="923"/>
      <c r="E81" s="211">
        <v>156</v>
      </c>
      <c r="F81" s="166">
        <v>220</v>
      </c>
      <c r="G81" s="553" t="s">
        <v>159</v>
      </c>
      <c r="H81" s="570"/>
      <c r="I81" s="153"/>
      <c r="J81" s="268"/>
      <c r="K81" s="271" t="s">
        <v>206</v>
      </c>
      <c r="L81" s="167" t="str">
        <f>IFERROR(IF(I81="有",F81*J81*入力シート!$H$14/1000,"0"),"")</f>
        <v>0</v>
      </c>
      <c r="M81" s="221"/>
      <c r="Q81" s="524" t="str">
        <f t="shared" ca="1" si="4"/>
        <v/>
      </c>
    </row>
    <row r="82" spans="2:17" ht="19.350000000000001" customHeight="1">
      <c r="B82" s="899"/>
      <c r="C82" s="923" t="s">
        <v>175</v>
      </c>
      <c r="D82" s="923"/>
      <c r="E82" s="211">
        <v>156</v>
      </c>
      <c r="F82" s="166">
        <v>290</v>
      </c>
      <c r="G82" s="553" t="s">
        <v>159</v>
      </c>
      <c r="H82" s="570"/>
      <c r="I82" s="153"/>
      <c r="J82" s="268"/>
      <c r="K82" s="271" t="s">
        <v>206</v>
      </c>
      <c r="L82" s="167" t="str">
        <f>IFERROR(IF(I82="有",F82*J82*入力シート!$H$14/1000,"0"),"")</f>
        <v>0</v>
      </c>
      <c r="M82" s="221"/>
      <c r="Q82" s="524" t="str">
        <f t="shared" ca="1" si="4"/>
        <v/>
      </c>
    </row>
    <row r="83" spans="2:17" ht="19.350000000000001" customHeight="1">
      <c r="B83" s="899" t="s">
        <v>177</v>
      </c>
      <c r="C83" s="923" t="s">
        <v>178</v>
      </c>
      <c r="D83" s="923"/>
      <c r="E83" s="211">
        <v>158</v>
      </c>
      <c r="F83" s="187">
        <v>123</v>
      </c>
      <c r="G83" s="394" t="s">
        <v>159</v>
      </c>
      <c r="H83" s="533"/>
      <c r="I83" s="153"/>
      <c r="J83" s="268"/>
      <c r="K83" s="271" t="s">
        <v>159</v>
      </c>
      <c r="L83" s="167" t="str">
        <f>IFERROR(IF(I83="有",F83*J83*入力シート!$H$14/1000,"0"),"")</f>
        <v>0</v>
      </c>
      <c r="M83" s="221"/>
      <c r="Q83" s="524" t="str">
        <f t="shared" ca="1" si="4"/>
        <v/>
      </c>
    </row>
    <row r="84" spans="2:17" ht="19.350000000000001" customHeight="1">
      <c r="B84" s="899"/>
      <c r="C84" s="923" t="s">
        <v>180</v>
      </c>
      <c r="D84" s="923"/>
      <c r="E84" s="211">
        <v>161</v>
      </c>
      <c r="F84" s="187">
        <v>480</v>
      </c>
      <c r="G84" s="394" t="s">
        <v>159</v>
      </c>
      <c r="H84" s="540" t="str">
        <f>IF(I84="有",IF(I83="有","","！算定不可！"),"")</f>
        <v/>
      </c>
      <c r="I84" s="153"/>
      <c r="J84" s="268"/>
      <c r="K84" s="271" t="s">
        <v>159</v>
      </c>
      <c r="L84" s="167" t="str">
        <f>IFERROR(IF(I84="有",F84*J84*入力シート!$H$14/1000,"0"),"")</f>
        <v>0</v>
      </c>
      <c r="M84" s="221"/>
      <c r="Q84" s="524" t="str">
        <f t="shared" ca="1" si="4"/>
        <v/>
      </c>
    </row>
    <row r="85" spans="2:17" ht="19.350000000000001" customHeight="1">
      <c r="B85" s="899"/>
      <c r="C85" s="923" t="s">
        <v>181</v>
      </c>
      <c r="D85" s="923"/>
      <c r="E85" s="211">
        <v>161</v>
      </c>
      <c r="F85" s="187">
        <v>300</v>
      </c>
      <c r="G85" s="394" t="s">
        <v>65</v>
      </c>
      <c r="H85" s="540" t="str">
        <f>IF(I85="有",IF(I83="有","","！算定不可！"),"")</f>
        <v/>
      </c>
      <c r="I85" s="153"/>
      <c r="J85" s="268"/>
      <c r="K85" s="271" t="s">
        <v>159</v>
      </c>
      <c r="L85" s="167" t="str">
        <f>IFERROR(IF(I85="有",F85*J85*入力シート!$H$14/1000,"0"),"")</f>
        <v>0</v>
      </c>
      <c r="M85" s="221"/>
      <c r="Q85" s="524" t="str">
        <f t="shared" ca="1" si="4"/>
        <v/>
      </c>
    </row>
    <row r="86" spans="2:17" ht="19.350000000000001" customHeight="1">
      <c r="B86" s="899"/>
      <c r="C86" s="923" t="s">
        <v>182</v>
      </c>
      <c r="D86" s="923"/>
      <c r="E86" s="211">
        <v>161</v>
      </c>
      <c r="F86" s="187">
        <v>35</v>
      </c>
      <c r="G86" s="394" t="s">
        <v>159</v>
      </c>
      <c r="H86" s="540" t="str">
        <f>IF(I86="有",IF(I83="有","","！算定不可！"),"")</f>
        <v/>
      </c>
      <c r="I86" s="153"/>
      <c r="J86" s="268"/>
      <c r="K86" s="271" t="s">
        <v>159</v>
      </c>
      <c r="L86" s="167" t="str">
        <f>IFERROR(IF(I86="有",F86*J86*入力シート!$H$14/1000,"0"),"")</f>
        <v>0</v>
      </c>
      <c r="M86" s="221"/>
      <c r="Q86" s="524" t="str">
        <f t="shared" ca="1" si="4"/>
        <v/>
      </c>
    </row>
    <row r="87" spans="2:17" ht="19.350000000000001" customHeight="1">
      <c r="B87" s="899"/>
      <c r="C87" s="923" t="s">
        <v>179</v>
      </c>
      <c r="D87" s="923"/>
      <c r="E87" s="211">
        <v>158</v>
      </c>
      <c r="F87" s="187">
        <v>73</v>
      </c>
      <c r="G87" s="394" t="s">
        <v>159</v>
      </c>
      <c r="H87" s="533"/>
      <c r="I87" s="153"/>
      <c r="J87" s="268"/>
      <c r="K87" s="271" t="s">
        <v>159</v>
      </c>
      <c r="L87" s="167" t="str">
        <f>IFERROR(IF(I87="有",F87*J87*入力シート!$H$14/1000,"0"),"")</f>
        <v>0</v>
      </c>
      <c r="M87" s="221"/>
      <c r="Q87" s="524" t="str">
        <f t="shared" ca="1" si="4"/>
        <v/>
      </c>
    </row>
    <row r="88" spans="2:17" ht="19.350000000000001" customHeight="1">
      <c r="B88" s="899" t="s">
        <v>183</v>
      </c>
      <c r="C88" s="898"/>
      <c r="D88" s="898"/>
      <c r="E88" s="211">
        <v>160</v>
      </c>
      <c r="F88" s="187">
        <v>123</v>
      </c>
      <c r="G88" s="394" t="s">
        <v>159</v>
      </c>
      <c r="H88" s="533"/>
      <c r="I88" s="153"/>
      <c r="J88" s="268"/>
      <c r="K88" s="271" t="s">
        <v>159</v>
      </c>
      <c r="L88" s="167" t="str">
        <f>IFERROR(IF(I88="有",F88*J88*入力シート!$H$14/1000,"0"),"")</f>
        <v>0</v>
      </c>
      <c r="M88" s="221"/>
      <c r="Q88" s="524" t="str">
        <f t="shared" ca="1" si="4"/>
        <v/>
      </c>
    </row>
    <row r="89" spans="2:17" ht="19.350000000000001" customHeight="1">
      <c r="B89" s="899"/>
      <c r="C89" s="923" t="s">
        <v>180</v>
      </c>
      <c r="D89" s="923"/>
      <c r="E89" s="211">
        <v>161</v>
      </c>
      <c r="F89" s="187">
        <v>480</v>
      </c>
      <c r="G89" s="394" t="s">
        <v>159</v>
      </c>
      <c r="H89" s="533" t="str">
        <f>IF(I89="有",IF(I88="有","","！算定不可！"),"")</f>
        <v/>
      </c>
      <c r="I89" s="153"/>
      <c r="J89" s="268"/>
      <c r="K89" s="271" t="s">
        <v>159</v>
      </c>
      <c r="L89" s="167" t="str">
        <f>IFERROR(IF(I89="有",F89*J89*入力シート!$H$14/1000,"0"),"")</f>
        <v>0</v>
      </c>
      <c r="M89" s="221"/>
      <c r="Q89" s="524" t="str">
        <f t="shared" ca="1" si="4"/>
        <v/>
      </c>
    </row>
    <row r="90" spans="2:17" ht="19.350000000000001" customHeight="1">
      <c r="B90" s="899"/>
      <c r="C90" s="923" t="s">
        <v>181</v>
      </c>
      <c r="D90" s="923"/>
      <c r="E90" s="211">
        <v>161</v>
      </c>
      <c r="F90" s="187">
        <v>300</v>
      </c>
      <c r="G90" s="394" t="s">
        <v>65</v>
      </c>
      <c r="H90" s="533" t="str">
        <f>IF(I90="有",IF(I88="有","","！算定不可！"),"")</f>
        <v/>
      </c>
      <c r="I90" s="153"/>
      <c r="J90" s="268"/>
      <c r="K90" s="271" t="s">
        <v>159</v>
      </c>
      <c r="L90" s="167" t="str">
        <f>IFERROR(IF(I90="有",F90*J90*入力シート!$H$14/1000,"0"),"")</f>
        <v>0</v>
      </c>
      <c r="M90" s="221"/>
      <c r="Q90" s="524" t="str">
        <f t="shared" ca="1" si="4"/>
        <v/>
      </c>
    </row>
    <row r="91" spans="2:17" ht="19.350000000000001" customHeight="1">
      <c r="B91" s="899"/>
      <c r="C91" s="923" t="s">
        <v>182</v>
      </c>
      <c r="D91" s="923"/>
      <c r="E91" s="211">
        <v>161</v>
      </c>
      <c r="F91" s="187">
        <v>35</v>
      </c>
      <c r="G91" s="394" t="s">
        <v>159</v>
      </c>
      <c r="H91" s="533" t="str">
        <f>IF(I91="有",IF(I88="有","","！算定不可！"),"")</f>
        <v/>
      </c>
      <c r="I91" s="153"/>
      <c r="J91" s="268"/>
      <c r="K91" s="271" t="s">
        <v>159</v>
      </c>
      <c r="L91" s="167" t="str">
        <f>IFERROR(IF(I91="有",F91*J91*入力シート!$H$14/1000,"0"),"")</f>
        <v>0</v>
      </c>
      <c r="M91" s="221"/>
      <c r="Q91" s="524" t="str">
        <f t="shared" ca="1" si="4"/>
        <v/>
      </c>
    </row>
    <row r="92" spans="2:17" ht="19.350000000000001" customHeight="1">
      <c r="B92" s="899" t="s">
        <v>184</v>
      </c>
      <c r="C92" s="898"/>
      <c r="D92" s="898"/>
      <c r="E92" s="211">
        <v>162</v>
      </c>
      <c r="F92" s="187">
        <v>203</v>
      </c>
      <c r="G92" s="394" t="s">
        <v>159</v>
      </c>
      <c r="H92" s="533"/>
      <c r="I92" s="153"/>
      <c r="J92" s="268"/>
      <c r="K92" s="271" t="s">
        <v>159</v>
      </c>
      <c r="L92" s="167" t="str">
        <f>IFERROR(IF(I92="有",F92*J92*入力シート!$H$14/1000,"0"),"")</f>
        <v>0</v>
      </c>
      <c r="M92" s="221"/>
      <c r="Q92" s="524" t="str">
        <f t="shared" ca="1" si="4"/>
        <v/>
      </c>
    </row>
    <row r="93" spans="2:17" ht="19.350000000000001" customHeight="1">
      <c r="B93" s="899"/>
      <c r="C93" s="923" t="s">
        <v>182</v>
      </c>
      <c r="D93" s="923"/>
      <c r="E93" s="211">
        <v>162</v>
      </c>
      <c r="F93" s="187">
        <v>35</v>
      </c>
      <c r="G93" s="394" t="s">
        <v>159</v>
      </c>
      <c r="H93" s="533" t="str">
        <f>IF(I93="有",IF(I92="有","","！算定不可！"),"")</f>
        <v/>
      </c>
      <c r="I93" s="153"/>
      <c r="J93" s="268"/>
      <c r="K93" s="271" t="s">
        <v>159</v>
      </c>
      <c r="L93" s="167" t="str">
        <f>IFERROR(IF(I93="有",F93*J93*入力シート!$H$14/1000,"0"),"")</f>
        <v>0</v>
      </c>
      <c r="M93" s="221"/>
      <c r="Q93" s="524" t="str">
        <f t="shared" ca="1" si="4"/>
        <v/>
      </c>
    </row>
    <row r="94" spans="2:17" ht="19.350000000000001" customHeight="1">
      <c r="B94" s="388" t="s">
        <v>185</v>
      </c>
      <c r="C94" s="898"/>
      <c r="D94" s="898"/>
      <c r="E94" s="211">
        <v>163</v>
      </c>
      <c r="F94" s="187">
        <v>50</v>
      </c>
      <c r="G94" s="394" t="s">
        <v>159</v>
      </c>
      <c r="H94" s="533"/>
      <c r="I94" s="153"/>
      <c r="J94" s="268"/>
      <c r="K94" s="271" t="s">
        <v>206</v>
      </c>
      <c r="L94" s="167" t="str">
        <f>IFERROR(IF(I94="有",F94*J94*入力シート!$H$14/1000,"0"),"")</f>
        <v>0</v>
      </c>
      <c r="M94" s="221"/>
      <c r="Q94" s="524" t="str">
        <f t="shared" ca="1" si="4"/>
        <v/>
      </c>
    </row>
    <row r="95" spans="2:17" ht="19.350000000000001" customHeight="1">
      <c r="B95" s="388" t="s">
        <v>186</v>
      </c>
      <c r="C95" s="898"/>
      <c r="D95" s="898"/>
      <c r="E95" s="211">
        <v>164</v>
      </c>
      <c r="F95" s="166">
        <v>208</v>
      </c>
      <c r="G95" s="394" t="s">
        <v>159</v>
      </c>
      <c r="H95" s="533"/>
      <c r="I95" s="153"/>
      <c r="J95" s="268"/>
      <c r="K95" s="271" t="s">
        <v>206</v>
      </c>
      <c r="L95" s="167" t="str">
        <f>IFERROR(IF(I95="有",F95*J95*入力シート!$H$14/1000,"0"),"")</f>
        <v>0</v>
      </c>
      <c r="M95" s="221"/>
      <c r="Q95" s="524" t="str">
        <f t="shared" ca="1" si="4"/>
        <v/>
      </c>
    </row>
    <row r="96" spans="2:17" ht="19.350000000000001" customHeight="1">
      <c r="B96" s="552" t="s">
        <v>187</v>
      </c>
      <c r="C96" s="898"/>
      <c r="D96" s="898"/>
      <c r="E96" s="211">
        <v>164</v>
      </c>
      <c r="F96" s="166">
        <v>240</v>
      </c>
      <c r="G96" s="553" t="s">
        <v>158</v>
      </c>
      <c r="H96" s="570"/>
      <c r="I96" s="153"/>
      <c r="J96" s="268"/>
      <c r="K96" s="271" t="s">
        <v>206</v>
      </c>
      <c r="L96" s="167" t="str">
        <f>IFERROR(IF(I96="有",F96*J96*入力シート!$H$14/1000,"0"),"")</f>
        <v>0</v>
      </c>
      <c r="M96" s="221"/>
      <c r="Q96" s="524" t="str">
        <f t="shared" ca="1" si="4"/>
        <v/>
      </c>
    </row>
    <row r="97" spans="2:17" ht="19.350000000000001" customHeight="1">
      <c r="B97" s="552" t="s">
        <v>188</v>
      </c>
      <c r="C97" s="898"/>
      <c r="D97" s="898"/>
      <c r="E97" s="211">
        <v>165</v>
      </c>
      <c r="F97" s="166">
        <v>240</v>
      </c>
      <c r="G97" s="553" t="s">
        <v>158</v>
      </c>
      <c r="H97" s="570"/>
      <c r="I97" s="153"/>
      <c r="J97" s="268"/>
      <c r="K97" s="271" t="s">
        <v>206</v>
      </c>
      <c r="L97" s="167" t="str">
        <f>IFERROR(IF(I97="有",F97*J97*入力シート!$H$14/1000,"0"),"")</f>
        <v>0</v>
      </c>
      <c r="M97" s="221"/>
      <c r="Q97" s="524" t="str">
        <f t="shared" ca="1" si="4"/>
        <v/>
      </c>
    </row>
    <row r="98" spans="2:17" ht="19.350000000000001" customHeight="1">
      <c r="B98" s="550" t="s">
        <v>1043</v>
      </c>
      <c r="C98" s="842"/>
      <c r="D98" s="842"/>
      <c r="E98" s="80" t="s">
        <v>1068</v>
      </c>
      <c r="F98" s="51">
        <v>33</v>
      </c>
      <c r="G98" s="549" t="s">
        <v>65</v>
      </c>
      <c r="H98" s="570"/>
      <c r="I98" s="153"/>
      <c r="J98" s="268"/>
      <c r="K98" s="271" t="s">
        <v>159</v>
      </c>
      <c r="L98" s="167" t="str">
        <f>IFERROR(IF(I98="有",F98*J98*入力シート!$H$14/1000,"0"),"")</f>
        <v>0</v>
      </c>
      <c r="M98" s="221"/>
      <c r="Q98" s="524" t="str">
        <f t="shared" ca="1" si="4"/>
        <v/>
      </c>
    </row>
    <row r="99" spans="2:17" ht="19.350000000000001" customHeight="1">
      <c r="B99" s="552" t="s">
        <v>189</v>
      </c>
      <c r="C99" s="898"/>
      <c r="D99" s="898"/>
      <c r="E99" s="211">
        <v>166</v>
      </c>
      <c r="F99" s="166">
        <v>220</v>
      </c>
      <c r="G99" s="553" t="s">
        <v>159</v>
      </c>
      <c r="H99" s="570"/>
      <c r="I99" s="153"/>
      <c r="J99" s="268"/>
      <c r="K99" s="271" t="s">
        <v>159</v>
      </c>
      <c r="L99" s="167" t="str">
        <f>IFERROR(IF(I99="有",F99*J99*入力シート!$H$14/1000,"0"),"")</f>
        <v>0</v>
      </c>
      <c r="M99" s="221"/>
      <c r="Q99" s="524" t="str">
        <f t="shared" ca="1" si="4"/>
        <v/>
      </c>
    </row>
    <row r="100" spans="2:17" ht="19.350000000000001" customHeight="1">
      <c r="B100" s="392" t="s">
        <v>190</v>
      </c>
      <c r="C100" s="900"/>
      <c r="D100" s="900"/>
      <c r="E100" s="214">
        <v>167</v>
      </c>
      <c r="F100" s="172">
        <v>330</v>
      </c>
      <c r="G100" s="173" t="s">
        <v>159</v>
      </c>
      <c r="H100" s="535"/>
      <c r="I100" s="154"/>
      <c r="J100" s="269"/>
      <c r="K100" s="272" t="s">
        <v>159</v>
      </c>
      <c r="L100" s="167" t="str">
        <f>IFERROR(IF(I100="有",F100*J100*入力シート!$H$14/1000,"0"),"")</f>
        <v>0</v>
      </c>
      <c r="M100" s="221"/>
      <c r="Q100" s="524" t="str">
        <f t="shared" ca="1" si="4"/>
        <v/>
      </c>
    </row>
    <row r="101" spans="2:17" ht="19.350000000000001" customHeight="1">
      <c r="C101" s="161"/>
      <c r="D101" s="161"/>
      <c r="E101" s="393"/>
      <c r="F101" s="393"/>
      <c r="G101" s="393"/>
      <c r="H101" s="521"/>
      <c r="I101" s="396"/>
      <c r="J101" s="161"/>
      <c r="K101" s="161"/>
      <c r="L101" s="204"/>
      <c r="M101" s="224"/>
      <c r="N101" s="215"/>
    </row>
    <row r="102" spans="2:17" ht="19.350000000000001" customHeight="1">
      <c r="B102" s="928" t="str">
        <f>HYPERLINK("#'入力シート'!A89","入力シートに戻る")</f>
        <v>入力シートに戻る</v>
      </c>
      <c r="C102" s="928"/>
      <c r="D102" s="928"/>
      <c r="E102" s="928"/>
      <c r="F102" s="928"/>
      <c r="G102" s="928"/>
      <c r="H102" s="523"/>
      <c r="I102" s="421"/>
      <c r="J102" s="891" t="s">
        <v>1016</v>
      </c>
      <c r="K102" s="892"/>
      <c r="L102" s="893"/>
      <c r="M102" s="180"/>
      <c r="N102" s="216"/>
    </row>
    <row r="103" spans="2:17" ht="22.7" customHeight="1">
      <c r="B103" s="928"/>
      <c r="C103" s="928"/>
      <c r="D103" s="928"/>
      <c r="E103" s="928"/>
      <c r="F103" s="928"/>
      <c r="G103" s="928"/>
      <c r="H103" s="523"/>
      <c r="I103" s="423"/>
      <c r="J103" s="894">
        <f>IFERROR(SUM(L69:L100),"")</f>
        <v>0</v>
      </c>
      <c r="K103" s="895"/>
      <c r="L103" s="896"/>
      <c r="M103" s="225"/>
      <c r="N103" s="217"/>
    </row>
    <row r="104" spans="2:17">
      <c r="J104" s="897" t="s">
        <v>1014</v>
      </c>
      <c r="K104" s="897"/>
      <c r="L104" s="897"/>
    </row>
    <row r="105" spans="2:17"/>
    <row r="106" spans="2:17"/>
    <row r="107" spans="2:17"/>
    <row r="108" spans="2:17"/>
  </sheetData>
  <sheetProtection algorithmName="SHA-512" hashValue="dTHePbo0IvOSY0AOac/WdocGLuSn9b6oBZx6VoaJ5JWCraqDUxgveTGgYwxRdfvB37G89+OeUKuVX3a5323/5g==" saltValue="UjhbvzXAR0NNKnn/PaLPHA==" spinCount="100000" sheet="1" objects="1" scenarios="1"/>
  <mergeCells count="156">
    <mergeCell ref="B102:G103"/>
    <mergeCell ref="J102:L102"/>
    <mergeCell ref="J103:L103"/>
    <mergeCell ref="J104:L104"/>
    <mergeCell ref="C94:D94"/>
    <mergeCell ref="C95:D95"/>
    <mergeCell ref="C96:D96"/>
    <mergeCell ref="C97:D97"/>
    <mergeCell ref="C99:D99"/>
    <mergeCell ref="C100:D100"/>
    <mergeCell ref="C98:D98"/>
    <mergeCell ref="B88:B91"/>
    <mergeCell ref="C88:D88"/>
    <mergeCell ref="C89:D89"/>
    <mergeCell ref="C90:D90"/>
    <mergeCell ref="C91:D91"/>
    <mergeCell ref="B92:B93"/>
    <mergeCell ref="C92:D92"/>
    <mergeCell ref="C93:D93"/>
    <mergeCell ref="B83:B87"/>
    <mergeCell ref="C83:D83"/>
    <mergeCell ref="C84:D84"/>
    <mergeCell ref="C85:D85"/>
    <mergeCell ref="C86:D86"/>
    <mergeCell ref="C87:D87"/>
    <mergeCell ref="C77:D77"/>
    <mergeCell ref="B78:B80"/>
    <mergeCell ref="C78:D78"/>
    <mergeCell ref="C80:D80"/>
    <mergeCell ref="B81:B82"/>
    <mergeCell ref="C81:D81"/>
    <mergeCell ref="C82:D82"/>
    <mergeCell ref="C70:D70"/>
    <mergeCell ref="J70:K70"/>
    <mergeCell ref="C72:D72"/>
    <mergeCell ref="C73:D73"/>
    <mergeCell ref="B74:B76"/>
    <mergeCell ref="C74:D74"/>
    <mergeCell ref="C75:D75"/>
    <mergeCell ref="C76:D76"/>
    <mergeCell ref="B70:B71"/>
    <mergeCell ref="C71:D71"/>
    <mergeCell ref="C79:D79"/>
    <mergeCell ref="C68:D68"/>
    <mergeCell ref="J68:K68"/>
    <mergeCell ref="C69:D69"/>
    <mergeCell ref="J69:K69"/>
    <mergeCell ref="J63:L63"/>
    <mergeCell ref="B64:G64"/>
    <mergeCell ref="J64:L64"/>
    <mergeCell ref="J65:L65"/>
    <mergeCell ref="B66:D66"/>
    <mergeCell ref="C58:D58"/>
    <mergeCell ref="J58:K58"/>
    <mergeCell ref="C59:D59"/>
    <mergeCell ref="J59:K59"/>
    <mergeCell ref="C61:D61"/>
    <mergeCell ref="J61:K61"/>
    <mergeCell ref="J51:K51"/>
    <mergeCell ref="B67:D67"/>
    <mergeCell ref="J67:L67"/>
    <mergeCell ref="B49:B53"/>
    <mergeCell ref="C52:D52"/>
    <mergeCell ref="C53:D53"/>
    <mergeCell ref="H49:H53"/>
    <mergeCell ref="J52:K52"/>
    <mergeCell ref="J53:K53"/>
    <mergeCell ref="C60:D60"/>
    <mergeCell ref="J60:K60"/>
    <mergeCell ref="N47:P47"/>
    <mergeCell ref="C48:D48"/>
    <mergeCell ref="J48:K48"/>
    <mergeCell ref="C49:D49"/>
    <mergeCell ref="J49:K49"/>
    <mergeCell ref="C50:D50"/>
    <mergeCell ref="J50:K50"/>
    <mergeCell ref="C51:D51"/>
    <mergeCell ref="B46:B48"/>
    <mergeCell ref="C46:D46"/>
    <mergeCell ref="G46:G48"/>
    <mergeCell ref="H46:H48"/>
    <mergeCell ref="J46:K46"/>
    <mergeCell ref="C47:D47"/>
    <mergeCell ref="J47:K47"/>
    <mergeCell ref="C37:D37"/>
    <mergeCell ref="C39:D39"/>
    <mergeCell ref="C34:D34"/>
    <mergeCell ref="B35:B36"/>
    <mergeCell ref="C35:D35"/>
    <mergeCell ref="J35:K35"/>
    <mergeCell ref="C36:D36"/>
    <mergeCell ref="J36:K36"/>
    <mergeCell ref="C38:D38"/>
    <mergeCell ref="B37:B40"/>
    <mergeCell ref="C40:D40"/>
    <mergeCell ref="C31:D31"/>
    <mergeCell ref="B32:B33"/>
    <mergeCell ref="C32:D32"/>
    <mergeCell ref="C33:D33"/>
    <mergeCell ref="C26:D26"/>
    <mergeCell ref="C27:D27"/>
    <mergeCell ref="C28:D28"/>
    <mergeCell ref="C29:D29"/>
    <mergeCell ref="J29:K29"/>
    <mergeCell ref="C22:D22"/>
    <mergeCell ref="C23:D23"/>
    <mergeCell ref="B24:B25"/>
    <mergeCell ref="C24:D24"/>
    <mergeCell ref="G24:G25"/>
    <mergeCell ref="C25:D25"/>
    <mergeCell ref="C30:D30"/>
    <mergeCell ref="F30:G30"/>
    <mergeCell ref="J30:K30"/>
    <mergeCell ref="B26:B27"/>
    <mergeCell ref="C11:D11"/>
    <mergeCell ref="C12:D12"/>
    <mergeCell ref="C14:D14"/>
    <mergeCell ref="C15:D15"/>
    <mergeCell ref="B16:B21"/>
    <mergeCell ref="C16:D16"/>
    <mergeCell ref="C17:D17"/>
    <mergeCell ref="C18:D18"/>
    <mergeCell ref="C19:D19"/>
    <mergeCell ref="C20:D20"/>
    <mergeCell ref="C21:D21"/>
    <mergeCell ref="C7:D7"/>
    <mergeCell ref="J7:K7"/>
    <mergeCell ref="C8:D8"/>
    <mergeCell ref="J8:K8"/>
    <mergeCell ref="C9:D9"/>
    <mergeCell ref="C10:D10"/>
    <mergeCell ref="B1:B2"/>
    <mergeCell ref="B3:E3"/>
    <mergeCell ref="C4:D4"/>
    <mergeCell ref="J4:K4"/>
    <mergeCell ref="C5:D5"/>
    <mergeCell ref="G5:G8"/>
    <mergeCell ref="H5:H8"/>
    <mergeCell ref="J5:K5"/>
    <mergeCell ref="C6:D6"/>
    <mergeCell ref="J6:K6"/>
    <mergeCell ref="C41:D41"/>
    <mergeCell ref="B42:B43"/>
    <mergeCell ref="C42:D42"/>
    <mergeCell ref="J42:K42"/>
    <mergeCell ref="C43:D43"/>
    <mergeCell ref="J43:K43"/>
    <mergeCell ref="C44:D44"/>
    <mergeCell ref="C45:D45"/>
    <mergeCell ref="C57:D57"/>
    <mergeCell ref="J57:K57"/>
    <mergeCell ref="B54:B55"/>
    <mergeCell ref="C54:D54"/>
    <mergeCell ref="J54:K54"/>
    <mergeCell ref="C55:D55"/>
    <mergeCell ref="J55:K55"/>
  </mergeCells>
  <phoneticPr fontId="2"/>
  <conditionalFormatting sqref="H5:H8">
    <cfRule type="expression" dxfId="24" priority="11">
      <formula>COUNTIFS($I$5:$I$8,"有")&gt;1</formula>
    </cfRule>
  </conditionalFormatting>
  <conditionalFormatting sqref="H46:H48">
    <cfRule type="expression" dxfId="23" priority="7">
      <formula>COUNTIFS($I$46:$I$48,"有")&gt;1</formula>
    </cfRule>
  </conditionalFormatting>
  <conditionalFormatting sqref="H49">
    <cfRule type="expression" dxfId="22" priority="26">
      <formula>COUNTIFS($I$49:$I$51,"有")&gt;1</formula>
    </cfRule>
  </conditionalFormatting>
  <dataValidations count="5">
    <dataValidation type="whole" showInputMessage="1" showErrorMessage="1" error="整数で入力してください" sqref="J9:J12 J31:J34 J14:J28 J44:J45 J71:J100 J37:J41" xr:uid="{00000000-0002-0000-0700-000000000000}">
      <formula1>0</formula1>
      <formula2>999999999</formula2>
    </dataValidation>
    <dataValidation type="list" allowBlank="1" showInputMessage="1" sqref="Q5:Q12 Q14:Q55 Q57:Q61 Q69:Q100" xr:uid="{00000000-0002-0000-0700-000001000000}">
      <formula1>"　,有"</formula1>
    </dataValidation>
    <dataValidation allowBlank="1" showInputMessage="1" sqref="Q13 Q101:Q1048576 Q56 Q4 Q1:Q2 Q62:Q68" xr:uid="{00000000-0002-0000-0700-000002000000}"/>
    <dataValidation showInputMessage="1" showErrorMessage="1" sqref="K71:K100" xr:uid="{00000000-0002-0000-0700-000003000000}"/>
    <dataValidation type="list" showInputMessage="1" showErrorMessage="1" sqref="I5:I12 I61 I69:I100 I14:I29 I57:I59 I31:I55" xr:uid="{00000000-0002-0000-0700-000004000000}">
      <formula1>"　,有"</formula1>
    </dataValidation>
  </dataValidations>
  <pageMargins left="0.7" right="0.7" top="0.75" bottom="0.75" header="0.3" footer="0.3"/>
  <pageSetup paperSize="9" scale="58" orientation="portrait" r:id="rId1"/>
  <rowBreaks count="1" manualBreakCount="1">
    <brk id="65"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D1C40B48-00A2-4D6A-8A09-9E538C41C596}">
            <xm:f>入力シート!$S$2&gt;3</xm:f>
            <x14:dxf>
              <fill>
                <patternFill>
                  <bgColor theme="0" tint="-0.34998626667073579"/>
                </patternFill>
              </fill>
            </x14:dxf>
          </x14:cfRule>
          <xm:sqref>C40:G40 J40:L40</xm:sqref>
        </x14:conditionalFormatting>
        <x14:conditionalFormatting xmlns:xm="http://schemas.microsoft.com/office/excel/2006/main">
          <x14:cfRule type="expression" priority="5" id="{B1BE9D69-AFC4-465E-8A5F-A81B84FF36E0}">
            <xm:f>入力シート!$S$2&gt;3</xm:f>
            <x14:dxf>
              <fill>
                <patternFill>
                  <bgColor theme="0" tint="-0.34998626667073579"/>
                </patternFill>
              </fill>
            </x14:dxf>
          </x14:cfRule>
          <xm:sqref>C52:G53</xm:sqref>
        </x14:conditionalFormatting>
        <x14:conditionalFormatting xmlns:xm="http://schemas.microsoft.com/office/excel/2006/main">
          <x14:cfRule type="expression" priority="4" id="{96F0FE7F-3C08-467F-A429-9864EC321284}">
            <xm:f>入力シート!$S$2&gt;3</xm:f>
            <x14:dxf>
              <fill>
                <patternFill>
                  <bgColor theme="0" tint="-0.34998626667073579"/>
                </patternFill>
              </fill>
            </x14:dxf>
          </x14:cfRule>
          <xm:sqref>J52:L53</xm:sqref>
        </x14:conditionalFormatting>
        <x14:conditionalFormatting xmlns:xm="http://schemas.microsoft.com/office/excel/2006/main">
          <x14:cfRule type="expression" priority="3" id="{BB3EBD87-E8D7-4939-A680-72E79FE82039}">
            <xm:f>入力シート!$S$2&lt;5</xm:f>
            <x14:dxf>
              <fill>
                <patternFill>
                  <bgColor theme="0" tint="-0.34998626667073579"/>
                </patternFill>
              </fill>
            </x14:dxf>
          </x14:cfRule>
          <xm:sqref>B61:L61</xm:sqref>
        </x14:conditionalFormatting>
        <x14:conditionalFormatting xmlns:xm="http://schemas.microsoft.com/office/excel/2006/main">
          <x14:cfRule type="expression" priority="2" id="{E2EF3B0B-7A69-4BD9-B016-35D6AEDB33C7}">
            <xm:f>入力シート!$S$2&gt;3</xm:f>
            <x14:dxf>
              <fill>
                <patternFill>
                  <bgColor theme="0" tint="-0.34998626667073579"/>
                </patternFill>
              </fill>
            </x14:dxf>
          </x14:cfRule>
          <xm:sqref>I40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700-000005000000}">
          <x14:formula1>
            <xm:f>入力シート!$C$22:$C$26</xm:f>
          </x14:formula1>
          <xm:sqref>Q3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theme="6" tint="0.79998168889431442"/>
  </sheetPr>
  <dimension ref="A1:Q112"/>
  <sheetViews>
    <sheetView view="pageBreakPreview" zoomScale="85" zoomScaleNormal="85" zoomScaleSheetLayoutView="85" workbookViewId="0">
      <selection activeCell="L3" sqref="L3"/>
    </sheetView>
  </sheetViews>
  <sheetFormatPr defaultColWidth="0" defaultRowHeight="18.75" zeroHeight="1"/>
  <cols>
    <col min="1" max="1" width="2.125" style="138" customWidth="1"/>
    <col min="2" max="2" width="31.5" style="138" customWidth="1"/>
    <col min="3" max="3" width="8.875" style="138" customWidth="1"/>
    <col min="4" max="4" width="14" style="138" customWidth="1"/>
    <col min="5" max="5" width="13.5" style="138" customWidth="1"/>
    <col min="6" max="7" width="8.875" style="138" customWidth="1"/>
    <col min="8" max="8" width="11.875" style="138" customWidth="1"/>
    <col min="9" max="9" width="8.875" style="129" customWidth="1"/>
    <col min="10" max="10" width="12.625" style="138" customWidth="1"/>
    <col min="11" max="11" width="3.125" style="138" customWidth="1"/>
    <col min="12" max="12" width="17.375" style="160" customWidth="1"/>
    <col min="13" max="13" width="1" style="138" customWidth="1"/>
    <col min="14" max="14" width="1.125" style="138" hidden="1" customWidth="1"/>
    <col min="15" max="15" width="7.5" style="138" hidden="1" customWidth="1"/>
    <col min="16" max="16" width="9.125" style="138" hidden="1" customWidth="1"/>
    <col min="17" max="17" width="10.875" style="129" customWidth="1"/>
    <col min="18" max="16384" width="8.875" style="138" hidden="1"/>
  </cols>
  <sheetData>
    <row r="1" spans="1:17" ht="22.5">
      <c r="B1" s="903" t="str">
        <f>HYPERLINK("#'入力シート'!A109","入力シートに戻る")</f>
        <v>入力シートに戻る</v>
      </c>
      <c r="D1" s="137"/>
      <c r="Q1" s="522" t="s">
        <v>991</v>
      </c>
    </row>
    <row r="2" spans="1:17">
      <c r="B2" s="904"/>
      <c r="Q2" s="523" t="s">
        <v>961</v>
      </c>
    </row>
    <row r="3" spans="1:17" s="161" customFormat="1" ht="20.45" customHeight="1">
      <c r="A3" s="162"/>
      <c r="B3" s="887" t="s">
        <v>841</v>
      </c>
      <c r="C3" s="887"/>
      <c r="D3" s="887"/>
      <c r="E3" s="887"/>
      <c r="F3" s="162"/>
      <c r="G3" s="162"/>
      <c r="H3" s="162"/>
      <c r="I3" s="511" t="str">
        <f>IF(Q3="未選択","","↓加算をコピーする際はI列に「値」貼付けをしてください")</f>
        <v/>
      </c>
      <c r="J3" s="419"/>
      <c r="K3" s="419"/>
      <c r="L3" s="419"/>
      <c r="O3" s="393"/>
      <c r="Q3" s="159" t="s">
        <v>962</v>
      </c>
    </row>
    <row r="4" spans="1:17" s="161" customFormat="1" ht="47.45" customHeight="1">
      <c r="B4" s="110" t="s">
        <v>992</v>
      </c>
      <c r="C4" s="860" t="s">
        <v>993</v>
      </c>
      <c r="D4" s="861"/>
      <c r="E4" s="82" t="s">
        <v>898</v>
      </c>
      <c r="F4" s="387" t="s">
        <v>63</v>
      </c>
      <c r="G4" s="109" t="s">
        <v>160</v>
      </c>
      <c r="H4" s="50"/>
      <c r="I4" s="512" t="s">
        <v>66</v>
      </c>
      <c r="J4" s="862" t="s">
        <v>850</v>
      </c>
      <c r="K4" s="863"/>
      <c r="L4" s="207" t="s">
        <v>994</v>
      </c>
      <c r="O4" s="393"/>
      <c r="Q4" s="512" t="s">
        <v>66</v>
      </c>
    </row>
    <row r="5" spans="1:17" s="161" customFormat="1" ht="19.350000000000001" customHeight="1">
      <c r="B5" s="552" t="s">
        <v>134</v>
      </c>
      <c r="C5" s="898"/>
      <c r="D5" s="898"/>
      <c r="E5" s="165">
        <v>118</v>
      </c>
      <c r="F5" s="166">
        <v>23</v>
      </c>
      <c r="G5" s="905" t="s">
        <v>64</v>
      </c>
      <c r="H5" s="906" t="s">
        <v>827</v>
      </c>
      <c r="I5" s="153"/>
      <c r="J5" s="841"/>
      <c r="K5" s="841"/>
      <c r="L5" s="167" t="str">
        <f>IFERROR(IF(I5="有",F5*入力シート!$T$115*入力シート!$H$14/1000,"0"),"")</f>
        <v>0</v>
      </c>
      <c r="O5" s="393"/>
      <c r="Q5" s="524" t="str">
        <f ca="1">IFERROR(IF(INDEX(INDIRECT($Q$3),ROW())="有","有",""),"")</f>
        <v/>
      </c>
    </row>
    <row r="6" spans="1:17" s="161" customFormat="1" ht="19.350000000000001" customHeight="1">
      <c r="B6" s="552" t="s">
        <v>135</v>
      </c>
      <c r="C6" s="898"/>
      <c r="D6" s="898"/>
      <c r="E6" s="165">
        <v>118</v>
      </c>
      <c r="F6" s="166">
        <v>14</v>
      </c>
      <c r="G6" s="905"/>
      <c r="H6" s="907"/>
      <c r="I6" s="153"/>
      <c r="J6" s="841"/>
      <c r="K6" s="841"/>
      <c r="L6" s="167" t="str">
        <f>IFERROR(IF(I6="有",F6*入力シート!$T$115*入力シート!$H$14/1000,"0"),"")</f>
        <v>0</v>
      </c>
      <c r="O6" s="393"/>
      <c r="Q6" s="524" t="str">
        <f t="shared" ref="Q6:Q12" ca="1" si="0">IFERROR(IF(INDEX(INDIRECT($Q$3),ROW())="有","有",""),"")</f>
        <v/>
      </c>
    </row>
    <row r="7" spans="1:17" s="161" customFormat="1" ht="19.350000000000001" customHeight="1">
      <c r="B7" s="552" t="s">
        <v>136</v>
      </c>
      <c r="C7" s="898"/>
      <c r="D7" s="898"/>
      <c r="E7" s="165">
        <v>118</v>
      </c>
      <c r="F7" s="166">
        <v>14</v>
      </c>
      <c r="G7" s="905"/>
      <c r="H7" s="907"/>
      <c r="I7" s="153"/>
      <c r="J7" s="841"/>
      <c r="K7" s="841"/>
      <c r="L7" s="167" t="str">
        <f>IFERROR(IF(I7="有",F7*入力シート!$T$115*入力シート!$H$14/1000,"0"),"")</f>
        <v>0</v>
      </c>
      <c r="O7" s="393"/>
      <c r="Q7" s="524" t="str">
        <f t="shared" ca="1" si="0"/>
        <v/>
      </c>
    </row>
    <row r="8" spans="1:17" s="161" customFormat="1" ht="19.350000000000001" customHeight="1">
      <c r="B8" s="552" t="s">
        <v>137</v>
      </c>
      <c r="C8" s="898"/>
      <c r="D8" s="898"/>
      <c r="E8" s="165">
        <v>118</v>
      </c>
      <c r="F8" s="166">
        <v>7</v>
      </c>
      <c r="G8" s="905"/>
      <c r="H8" s="907"/>
      <c r="I8" s="153"/>
      <c r="J8" s="841"/>
      <c r="K8" s="841"/>
      <c r="L8" s="167" t="str">
        <f>IFERROR(IF(I8="有",F8*入力シート!$T$115*入力シート!$H$14/1000,"0"),"")</f>
        <v>0</v>
      </c>
      <c r="O8" s="393"/>
      <c r="Q8" s="524" t="str">
        <f t="shared" ca="1" si="0"/>
        <v/>
      </c>
    </row>
    <row r="9" spans="1:17" s="161" customFormat="1" ht="19.350000000000001" customHeight="1">
      <c r="B9" s="552" t="s">
        <v>154</v>
      </c>
      <c r="C9" s="898"/>
      <c r="D9" s="898"/>
      <c r="E9" s="165">
        <v>119</v>
      </c>
      <c r="F9" s="166">
        <v>120</v>
      </c>
      <c r="G9" s="553" t="s">
        <v>871</v>
      </c>
      <c r="H9" s="168" t="str">
        <f>IF(I9="有",IF(I34="有","！算定不可！",""),"")</f>
        <v/>
      </c>
      <c r="I9" s="153"/>
      <c r="J9" s="268"/>
      <c r="K9" s="271" t="s">
        <v>206</v>
      </c>
      <c r="L9" s="167" t="str">
        <f>IFERROR(IF(I9="有",F9*J9*入力シート!$H$14/1000,"0"),"")</f>
        <v>0</v>
      </c>
      <c r="O9" s="393"/>
      <c r="Q9" s="524" t="str">
        <f t="shared" ca="1" si="0"/>
        <v/>
      </c>
    </row>
    <row r="10" spans="1:17" s="161" customFormat="1" ht="19.350000000000001" customHeight="1">
      <c r="B10" s="552" t="s">
        <v>155</v>
      </c>
      <c r="C10" s="898"/>
      <c r="D10" s="898"/>
      <c r="E10" s="165">
        <v>119</v>
      </c>
      <c r="F10" s="166">
        <v>362</v>
      </c>
      <c r="G10" s="553" t="s">
        <v>871</v>
      </c>
      <c r="H10" s="169"/>
      <c r="I10" s="153"/>
      <c r="J10" s="268"/>
      <c r="K10" s="271" t="s">
        <v>206</v>
      </c>
      <c r="L10" s="167" t="str">
        <f>IFERROR(IF(I10="有",F10*J10*入力シート!$H$14/1000,"0"),"")</f>
        <v>0</v>
      </c>
      <c r="N10" s="161" t="s">
        <v>203</v>
      </c>
      <c r="O10" s="48">
        <f>IF(I10="有",J10,0)</f>
        <v>0</v>
      </c>
      <c r="P10" s="381" t="s">
        <v>205</v>
      </c>
      <c r="Q10" s="524" t="str">
        <f t="shared" ca="1" si="0"/>
        <v/>
      </c>
    </row>
    <row r="11" spans="1:17" s="161" customFormat="1" ht="19.350000000000001" customHeight="1">
      <c r="B11" s="550" t="s">
        <v>156</v>
      </c>
      <c r="C11" s="898"/>
      <c r="D11" s="898"/>
      <c r="E11" s="165">
        <v>120</v>
      </c>
      <c r="F11" s="166">
        <v>800</v>
      </c>
      <c r="G11" s="553" t="s">
        <v>871</v>
      </c>
      <c r="H11" s="170" t="str">
        <f>IF(I11="有",IF(I10="有","！算定不可！",""),"")</f>
        <v/>
      </c>
      <c r="I11" s="153"/>
      <c r="J11" s="268"/>
      <c r="K11" s="271" t="s">
        <v>206</v>
      </c>
      <c r="L11" s="167" t="str">
        <f>IFERROR(IF(I11="有",F11*J11*入力シート!$H$14/1000,"0"),"")</f>
        <v>0</v>
      </c>
      <c r="N11" s="161" t="s">
        <v>203</v>
      </c>
      <c r="O11" s="48">
        <f t="shared" ref="O11:O12" si="1">IF(I11="有",J11,0)</f>
        <v>0</v>
      </c>
      <c r="P11" s="381" t="s">
        <v>205</v>
      </c>
      <c r="Q11" s="524" t="str">
        <f t="shared" ca="1" si="0"/>
        <v/>
      </c>
    </row>
    <row r="12" spans="1:17" s="161" customFormat="1" ht="19.350000000000001" customHeight="1">
      <c r="B12" s="392" t="s">
        <v>157</v>
      </c>
      <c r="C12" s="900"/>
      <c r="D12" s="900"/>
      <c r="E12" s="171">
        <v>121</v>
      </c>
      <c r="F12" s="172">
        <v>362</v>
      </c>
      <c r="G12" s="173" t="s">
        <v>871</v>
      </c>
      <c r="H12" s="174"/>
      <c r="I12" s="154"/>
      <c r="J12" s="269"/>
      <c r="K12" s="272" t="s">
        <v>206</v>
      </c>
      <c r="L12" s="175" t="str">
        <f>IFERROR(IF(I12="有",F12*J12*入力シート!$H$14/1000,"0"),"")</f>
        <v>0</v>
      </c>
      <c r="N12" s="161" t="s">
        <v>203</v>
      </c>
      <c r="O12" s="48">
        <f t="shared" si="1"/>
        <v>0</v>
      </c>
      <c r="P12" s="381" t="s">
        <v>205</v>
      </c>
      <c r="Q12" s="524" t="str">
        <f t="shared" ca="1" si="0"/>
        <v/>
      </c>
    </row>
    <row r="13" spans="1:17" s="161" customFormat="1" ht="19.350000000000001" customHeight="1">
      <c r="B13" s="176"/>
      <c r="C13" s="177"/>
      <c r="D13" s="177"/>
      <c r="E13" s="222"/>
      <c r="F13" s="176"/>
      <c r="G13" s="176"/>
      <c r="H13" s="179"/>
      <c r="I13" s="513"/>
      <c r="J13" s="176"/>
      <c r="K13" s="180"/>
      <c r="L13" s="181"/>
      <c r="N13" s="161" t="s">
        <v>760</v>
      </c>
      <c r="O13" s="48">
        <f>SUM(O10:O12)</f>
        <v>0</v>
      </c>
      <c r="P13" s="381"/>
      <c r="Q13" s="525"/>
    </row>
    <row r="14" spans="1:17" s="161" customFormat="1" ht="19.350000000000001" customHeight="1">
      <c r="B14" s="182" t="s">
        <v>140</v>
      </c>
      <c r="C14" s="901"/>
      <c r="D14" s="901"/>
      <c r="E14" s="183">
        <v>123</v>
      </c>
      <c r="F14" s="184">
        <v>30</v>
      </c>
      <c r="G14" s="185" t="s">
        <v>871</v>
      </c>
      <c r="H14" s="186"/>
      <c r="I14" s="155"/>
      <c r="J14" s="270"/>
      <c r="K14" s="428" t="s">
        <v>206</v>
      </c>
      <c r="L14" s="167" t="str">
        <f>IFERROR(IF(I14="有",F14*J14*入力シート!$H$14/1000,"0"),"")</f>
        <v>0</v>
      </c>
      <c r="O14" s="393"/>
      <c r="Q14" s="524" t="str">
        <f ca="1">IFERROR(IF(INDEX(INDIRECT($Q$3),ROW())="有","有",""),"")</f>
        <v/>
      </c>
    </row>
    <row r="15" spans="1:17" s="161" customFormat="1" ht="19.350000000000001" customHeight="1">
      <c r="B15" s="552" t="s">
        <v>141</v>
      </c>
      <c r="C15" s="898"/>
      <c r="D15" s="898"/>
      <c r="E15" s="165">
        <v>124</v>
      </c>
      <c r="F15" s="166">
        <v>200</v>
      </c>
      <c r="G15" s="553" t="s">
        <v>159</v>
      </c>
      <c r="H15" s="54" t="str">
        <f>IF(I15="有",IF(I61="有","！算定不可！",""),"")</f>
        <v/>
      </c>
      <c r="I15" s="153"/>
      <c r="J15" s="268"/>
      <c r="K15" s="271" t="s">
        <v>159</v>
      </c>
      <c r="L15" s="167" t="str">
        <f>IFERROR(IF(I15="有",F15*J15*入力シート!$H$14/1000,"0"),"")</f>
        <v>0</v>
      </c>
      <c r="O15" s="393"/>
      <c r="Q15" s="524" t="str">
        <f t="shared" ref="Q15:Q55" ca="1" si="2">IFERROR(IF(INDEX(INDIRECT($Q$3),ROW())="有","有",""),"")</f>
        <v/>
      </c>
    </row>
    <row r="16" spans="1:17" s="161" customFormat="1" ht="19.350000000000001" customHeight="1">
      <c r="B16" s="899" t="s">
        <v>142</v>
      </c>
      <c r="C16" s="902" t="s">
        <v>143</v>
      </c>
      <c r="D16" s="902"/>
      <c r="E16" s="165">
        <v>125</v>
      </c>
      <c r="F16" s="187">
        <v>460</v>
      </c>
      <c r="G16" s="553" t="s">
        <v>161</v>
      </c>
      <c r="H16" s="169"/>
      <c r="I16" s="153"/>
      <c r="J16" s="268"/>
      <c r="K16" s="271" t="s">
        <v>159</v>
      </c>
      <c r="L16" s="167" t="str">
        <f>IFERROR(IF(I16="有",F16*J16*入力シート!$H$14/1000,"0"),"")</f>
        <v>0</v>
      </c>
      <c r="O16" s="393"/>
      <c r="Q16" s="524" t="str">
        <f t="shared" ca="1" si="2"/>
        <v/>
      </c>
    </row>
    <row r="17" spans="2:17" s="161" customFormat="1" ht="19.350000000000001" customHeight="1">
      <c r="B17" s="899"/>
      <c r="C17" s="902" t="s">
        <v>144</v>
      </c>
      <c r="D17" s="902"/>
      <c r="E17" s="165">
        <v>125</v>
      </c>
      <c r="F17" s="187">
        <v>460</v>
      </c>
      <c r="G17" s="553" t="s">
        <v>161</v>
      </c>
      <c r="H17" s="169"/>
      <c r="I17" s="153"/>
      <c r="J17" s="268"/>
      <c r="K17" s="271" t="s">
        <v>159</v>
      </c>
      <c r="L17" s="167" t="str">
        <f>IFERROR(IF(I17="有",F17*J17*入力シート!$H$14/1000,"0"),"")</f>
        <v>0</v>
      </c>
      <c r="O17" s="393"/>
      <c r="Q17" s="524" t="str">
        <f t="shared" ca="1" si="2"/>
        <v/>
      </c>
    </row>
    <row r="18" spans="2:17" s="161" customFormat="1" ht="19.350000000000001" customHeight="1">
      <c r="B18" s="899"/>
      <c r="C18" s="902" t="s">
        <v>145</v>
      </c>
      <c r="D18" s="902"/>
      <c r="E18" s="165">
        <v>125</v>
      </c>
      <c r="F18" s="166">
        <v>400</v>
      </c>
      <c r="G18" s="553" t="s">
        <v>161</v>
      </c>
      <c r="H18" s="169"/>
      <c r="I18" s="153"/>
      <c r="J18" s="268"/>
      <c r="K18" s="271" t="s">
        <v>159</v>
      </c>
      <c r="L18" s="167" t="str">
        <f>IFERROR(IF(I18="有",F18*J18*入力シート!$H$14/1000,"0"),"")</f>
        <v>0</v>
      </c>
      <c r="O18" s="393"/>
      <c r="Q18" s="524" t="str">
        <f t="shared" ca="1" si="2"/>
        <v/>
      </c>
    </row>
    <row r="19" spans="2:17" s="161" customFormat="1" ht="19.350000000000001" customHeight="1">
      <c r="B19" s="899"/>
      <c r="C19" s="902" t="s">
        <v>146</v>
      </c>
      <c r="D19" s="902"/>
      <c r="E19" s="165">
        <v>126</v>
      </c>
      <c r="F19" s="166">
        <v>500</v>
      </c>
      <c r="G19" s="553" t="s">
        <v>161</v>
      </c>
      <c r="H19" s="169"/>
      <c r="I19" s="153"/>
      <c r="J19" s="268"/>
      <c r="K19" s="271" t="s">
        <v>159</v>
      </c>
      <c r="L19" s="167" t="str">
        <f>IFERROR(IF(I19="有",F19*J19*入力シート!$H$14/1000,"0"),"")</f>
        <v>0</v>
      </c>
      <c r="O19" s="393"/>
      <c r="Q19" s="524" t="str">
        <f t="shared" ca="1" si="2"/>
        <v/>
      </c>
    </row>
    <row r="20" spans="2:17" s="161" customFormat="1" ht="19.350000000000001" customHeight="1">
      <c r="B20" s="899"/>
      <c r="C20" s="902" t="s">
        <v>147</v>
      </c>
      <c r="D20" s="902"/>
      <c r="E20" s="165">
        <v>126</v>
      </c>
      <c r="F20" s="166">
        <v>500</v>
      </c>
      <c r="G20" s="553" t="s">
        <v>161</v>
      </c>
      <c r="H20" s="169"/>
      <c r="I20" s="153"/>
      <c r="J20" s="268"/>
      <c r="K20" s="271" t="s">
        <v>159</v>
      </c>
      <c r="L20" s="167" t="str">
        <f>IFERROR(IF(I20="有",F20*J20*入力シート!$H$14/1000,"0"),"")</f>
        <v>0</v>
      </c>
      <c r="O20" s="393"/>
      <c r="Q20" s="524" t="str">
        <f t="shared" ca="1" si="2"/>
        <v/>
      </c>
    </row>
    <row r="21" spans="2:17" s="161" customFormat="1" ht="19.350000000000001" customHeight="1">
      <c r="B21" s="899"/>
      <c r="C21" s="902" t="s">
        <v>148</v>
      </c>
      <c r="D21" s="902"/>
      <c r="E21" s="165">
        <v>126</v>
      </c>
      <c r="F21" s="166">
        <v>300</v>
      </c>
      <c r="G21" s="553" t="s">
        <v>161</v>
      </c>
      <c r="H21" s="169"/>
      <c r="I21" s="153"/>
      <c r="J21" s="268"/>
      <c r="K21" s="271" t="s">
        <v>159</v>
      </c>
      <c r="L21" s="167" t="str">
        <f>IFERROR(IF(I21="有",F21*J21*入力シート!$H$14/1000,"0"),"")</f>
        <v>0</v>
      </c>
      <c r="O21" s="393"/>
      <c r="Q21" s="524" t="str">
        <f t="shared" ca="1" si="2"/>
        <v/>
      </c>
    </row>
    <row r="22" spans="2:17" s="161" customFormat="1" ht="19.350000000000001" customHeight="1">
      <c r="B22" s="550" t="s">
        <v>1047</v>
      </c>
      <c r="C22" s="898"/>
      <c r="D22" s="898"/>
      <c r="E22" s="75" t="s">
        <v>1068</v>
      </c>
      <c r="F22" s="51">
        <v>11</v>
      </c>
      <c r="G22" s="551" t="s">
        <v>158</v>
      </c>
      <c r="H22" s="440"/>
      <c r="I22" s="153"/>
      <c r="J22" s="268"/>
      <c r="K22" s="271" t="s">
        <v>206</v>
      </c>
      <c r="L22" s="167" t="str">
        <f>IFERROR(IF(I22="有",F22*J22*入力シート!$H$14/1000,"0"),"")</f>
        <v>0</v>
      </c>
      <c r="Q22" s="524" t="str">
        <f t="shared" ca="1" si="2"/>
        <v/>
      </c>
    </row>
    <row r="23" spans="2:17" s="161" customFormat="1" ht="19.350000000000001" customHeight="1">
      <c r="B23" s="552" t="s">
        <v>101</v>
      </c>
      <c r="C23" s="898"/>
      <c r="D23" s="898"/>
      <c r="E23" s="165">
        <v>130</v>
      </c>
      <c r="F23" s="187">
        <v>28</v>
      </c>
      <c r="G23" s="554" t="s">
        <v>871</v>
      </c>
      <c r="H23" s="54" t="str">
        <f>IF(I23="有",IF(I61="有","！算定不可！",""),"")</f>
        <v/>
      </c>
      <c r="I23" s="153"/>
      <c r="J23" s="268"/>
      <c r="K23" s="271" t="s">
        <v>206</v>
      </c>
      <c r="L23" s="167" t="str">
        <f>IFERROR(IF(I23="有",F23*J23*入力シート!$H$14/1000,"0"),"")</f>
        <v>0</v>
      </c>
      <c r="Q23" s="524" t="str">
        <f t="shared" ca="1" si="2"/>
        <v/>
      </c>
    </row>
    <row r="24" spans="2:17" s="161" customFormat="1" ht="19.350000000000001" customHeight="1">
      <c r="B24" s="899" t="s">
        <v>102</v>
      </c>
      <c r="C24" s="856" t="s">
        <v>1007</v>
      </c>
      <c r="D24" s="856"/>
      <c r="E24" s="165">
        <v>131</v>
      </c>
      <c r="F24" s="187">
        <v>400</v>
      </c>
      <c r="G24" s="908" t="s">
        <v>65</v>
      </c>
      <c r="H24" s="67" t="str">
        <f>IF(AND(I24="有",OR(I23="有",I61="有")),"！算定不可！","")</f>
        <v/>
      </c>
      <c r="I24" s="153"/>
      <c r="J24" s="268"/>
      <c r="K24" s="271" t="s">
        <v>206</v>
      </c>
      <c r="L24" s="167" t="str">
        <f>IFERROR(IF(I24="有",F24*J24*入力シート!$H$14/1000,"0"),"")</f>
        <v>0</v>
      </c>
      <c r="Q24" s="524" t="str">
        <f t="shared" ca="1" si="2"/>
        <v/>
      </c>
    </row>
    <row r="25" spans="2:17" s="161" customFormat="1" ht="19.350000000000001" customHeight="1">
      <c r="B25" s="899"/>
      <c r="C25" s="902" t="s">
        <v>1008</v>
      </c>
      <c r="D25" s="902"/>
      <c r="E25" s="165">
        <v>131</v>
      </c>
      <c r="F25" s="187">
        <v>100</v>
      </c>
      <c r="G25" s="908"/>
      <c r="H25" s="67"/>
      <c r="I25" s="153"/>
      <c r="J25" s="268"/>
      <c r="K25" s="271" t="s">
        <v>206</v>
      </c>
      <c r="L25" s="167" t="str">
        <f>IFERROR(IF(I25="有",F25*J25*入力シート!$H$14/1000,"0"),"")</f>
        <v>0</v>
      </c>
      <c r="Q25" s="524" t="str">
        <f t="shared" ca="1" si="2"/>
        <v/>
      </c>
    </row>
    <row r="26" spans="2:17" s="161" customFormat="1" ht="19.350000000000001" customHeight="1">
      <c r="B26" s="835" t="s">
        <v>1044</v>
      </c>
      <c r="C26" s="843" t="s">
        <v>1045</v>
      </c>
      <c r="D26" s="843"/>
      <c r="E26" s="165">
        <v>133</v>
      </c>
      <c r="F26" s="66">
        <v>90</v>
      </c>
      <c r="G26" s="551" t="s">
        <v>65</v>
      </c>
      <c r="H26" s="188" t="str">
        <f>IF(I26="有",IF(I27="有","！算定不可！",""),"")</f>
        <v/>
      </c>
      <c r="I26" s="153"/>
      <c r="J26" s="268"/>
      <c r="K26" s="271" t="s">
        <v>206</v>
      </c>
      <c r="L26" s="167" t="str">
        <f>IFERROR(IF(I26="有",F26*J26*入力シート!$H$14/1000,"0"),"")</f>
        <v>0</v>
      </c>
      <c r="Q26" s="524" t="str">
        <f t="shared" ca="1" si="2"/>
        <v/>
      </c>
    </row>
    <row r="27" spans="2:17" s="161" customFormat="1" ht="19.350000000000001" customHeight="1">
      <c r="B27" s="836"/>
      <c r="C27" s="843" t="s">
        <v>1046</v>
      </c>
      <c r="D27" s="843"/>
      <c r="E27" s="75" t="s">
        <v>1068</v>
      </c>
      <c r="F27" s="66">
        <v>110</v>
      </c>
      <c r="G27" s="551" t="s">
        <v>65</v>
      </c>
      <c r="H27" s="188" t="str">
        <f>IF(I27="有",IF(I26="有","！算定不可！",""),"")</f>
        <v/>
      </c>
      <c r="I27" s="153"/>
      <c r="J27" s="268"/>
      <c r="K27" s="271" t="s">
        <v>206</v>
      </c>
      <c r="L27" s="167" t="str">
        <f>IFERROR(IF(I27="有",F27*J27*入力シート!$H$14/1000,"0"),"")</f>
        <v>0</v>
      </c>
      <c r="Q27" s="524" t="str">
        <f t="shared" ca="1" si="2"/>
        <v/>
      </c>
    </row>
    <row r="28" spans="2:17" s="161" customFormat="1" ht="19.350000000000001" customHeight="1">
      <c r="B28" s="552" t="s">
        <v>138</v>
      </c>
      <c r="C28" s="898"/>
      <c r="D28" s="898"/>
      <c r="E28" s="165">
        <v>134</v>
      </c>
      <c r="F28" s="187">
        <v>6</v>
      </c>
      <c r="G28" s="554" t="s">
        <v>159</v>
      </c>
      <c r="H28" s="394"/>
      <c r="I28" s="153"/>
      <c r="J28" s="268"/>
      <c r="K28" s="271" t="s">
        <v>159</v>
      </c>
      <c r="L28" s="167" t="str">
        <f>IFERROR(IF(I28="有",F28*J28*入力シート!$H$14/1000,"0"),"")</f>
        <v>0</v>
      </c>
      <c r="Q28" s="524" t="str">
        <f t="shared" ca="1" si="2"/>
        <v/>
      </c>
    </row>
    <row r="29" spans="2:17" s="161" customFormat="1" ht="19.350000000000001" customHeight="1">
      <c r="B29" s="552" t="s">
        <v>149</v>
      </c>
      <c r="C29" s="898"/>
      <c r="D29" s="898"/>
      <c r="E29" s="165">
        <v>135</v>
      </c>
      <c r="F29" s="187">
        <v>10</v>
      </c>
      <c r="G29" s="554" t="s">
        <v>158</v>
      </c>
      <c r="H29" s="394"/>
      <c r="I29" s="153"/>
      <c r="J29" s="841"/>
      <c r="K29" s="841"/>
      <c r="L29" s="167" t="str">
        <f>IFERROR(IF(I29="有",F29*入力シート!$T$115*入力シート!$H$14/1000,"0"),"")</f>
        <v>0</v>
      </c>
      <c r="Q29" s="524" t="str">
        <f t="shared" ca="1" si="2"/>
        <v/>
      </c>
    </row>
    <row r="30" spans="2:17" s="161" customFormat="1" ht="19.350000000000001" customHeight="1">
      <c r="B30" s="388" t="s">
        <v>150</v>
      </c>
      <c r="C30" s="898"/>
      <c r="D30" s="898"/>
      <c r="E30" s="189" t="s">
        <v>829</v>
      </c>
      <c r="F30" s="909" t="str">
        <f>HYPERLINK("#A８５","別に掲げる点数")</f>
        <v>別に掲げる点数</v>
      </c>
      <c r="G30" s="908"/>
      <c r="H30" s="394"/>
      <c r="I30" s="514"/>
      <c r="J30" s="841"/>
      <c r="K30" s="841"/>
      <c r="L30" s="223"/>
      <c r="Q30" s="524" t="str">
        <f t="shared" ca="1" si="2"/>
        <v/>
      </c>
    </row>
    <row r="31" spans="2:17" s="161" customFormat="1" ht="19.350000000000001" customHeight="1">
      <c r="B31" s="388" t="s">
        <v>151</v>
      </c>
      <c r="C31" s="898"/>
      <c r="D31" s="898"/>
      <c r="E31" s="165">
        <v>136</v>
      </c>
      <c r="F31" s="187">
        <v>518</v>
      </c>
      <c r="G31" s="391" t="s">
        <v>871</v>
      </c>
      <c r="H31" s="394"/>
      <c r="I31" s="153"/>
      <c r="J31" s="268"/>
      <c r="K31" s="271" t="s">
        <v>206</v>
      </c>
      <c r="L31" s="167" t="str">
        <f>IFERROR(IF(I31="有",F31*J31*入力シート!$H$14/1000,"0"),"")</f>
        <v>0</v>
      </c>
      <c r="Q31" s="524" t="str">
        <f t="shared" ca="1" si="2"/>
        <v/>
      </c>
    </row>
    <row r="32" spans="2:17" s="161" customFormat="1" ht="19.350000000000001" customHeight="1">
      <c r="B32" s="899" t="s">
        <v>99</v>
      </c>
      <c r="C32" s="908" t="s">
        <v>164</v>
      </c>
      <c r="D32" s="908"/>
      <c r="E32" s="165">
        <v>137</v>
      </c>
      <c r="F32" s="187">
        <v>3</v>
      </c>
      <c r="G32" s="554" t="s">
        <v>100</v>
      </c>
      <c r="H32" s="190" t="str">
        <f>IF(I32="有",IF(I33="有","Ⅱと同時算定不可",""),"")</f>
        <v/>
      </c>
      <c r="I32" s="153"/>
      <c r="J32" s="268"/>
      <c r="K32" s="271" t="s">
        <v>206</v>
      </c>
      <c r="L32" s="167" t="str">
        <f>IFERROR(IF(I32="有",F32*J32*入力シート!$H$14/1000,"0"),"")</f>
        <v>0</v>
      </c>
      <c r="O32" s="393"/>
      <c r="Q32" s="524" t="str">
        <f t="shared" ca="1" si="2"/>
        <v/>
      </c>
    </row>
    <row r="33" spans="2:17" s="161" customFormat="1" ht="19.350000000000001" customHeight="1">
      <c r="B33" s="899"/>
      <c r="C33" s="908" t="s">
        <v>165</v>
      </c>
      <c r="D33" s="908"/>
      <c r="E33" s="165">
        <v>137</v>
      </c>
      <c r="F33" s="187">
        <v>4</v>
      </c>
      <c r="G33" s="554" t="s">
        <v>100</v>
      </c>
      <c r="H33" s="190" t="str">
        <f>IF(I33="有",IF(I32="有","Ⅰと同時算定不可",""),"")</f>
        <v/>
      </c>
      <c r="I33" s="153"/>
      <c r="J33" s="268"/>
      <c r="K33" s="271" t="s">
        <v>206</v>
      </c>
      <c r="L33" s="167" t="str">
        <f>IFERROR(IF(I33="有",F33*J33*入力シート!$H$14/1000,"0"),"")</f>
        <v>0</v>
      </c>
      <c r="O33" s="393"/>
      <c r="Q33" s="524" t="str">
        <f t="shared" ca="1" si="2"/>
        <v/>
      </c>
    </row>
    <row r="34" spans="2:17" s="161" customFormat="1" ht="19.350000000000001" customHeight="1">
      <c r="B34" s="552" t="s">
        <v>152</v>
      </c>
      <c r="C34" s="898"/>
      <c r="D34" s="898"/>
      <c r="E34" s="165">
        <v>138</v>
      </c>
      <c r="F34" s="187">
        <v>200</v>
      </c>
      <c r="G34" s="554" t="s">
        <v>100</v>
      </c>
      <c r="H34" s="169"/>
      <c r="I34" s="153"/>
      <c r="J34" s="268"/>
      <c r="K34" s="271" t="s">
        <v>206</v>
      </c>
      <c r="L34" s="167" t="str">
        <f>IFERROR(IF(I34="有",F34*J34*入力シート!$H$14/1000,"0"),"")</f>
        <v>0</v>
      </c>
      <c r="O34" s="393"/>
      <c r="Q34" s="524" t="str">
        <f t="shared" ca="1" si="2"/>
        <v/>
      </c>
    </row>
    <row r="35" spans="2:17" s="161" customFormat="1" ht="19.350000000000001" customHeight="1">
      <c r="B35" s="899" t="s">
        <v>153</v>
      </c>
      <c r="C35" s="908" t="s">
        <v>872</v>
      </c>
      <c r="D35" s="908"/>
      <c r="E35" s="165">
        <v>139</v>
      </c>
      <c r="F35" s="554" t="s">
        <v>873</v>
      </c>
      <c r="G35" s="554" t="s">
        <v>100</v>
      </c>
      <c r="H35" s="190" t="str">
        <f>IF(I35="有",IF(I36="有","Ⅱと同時算定不可",""),"")</f>
        <v/>
      </c>
      <c r="I35" s="153"/>
      <c r="J35" s="841"/>
      <c r="K35" s="841"/>
      <c r="L35" s="167" t="str">
        <f>IFERROR(IF(I35="有",((入力シート!O109+入力シート!O110)*140+(入力シート!O111+入力シート!O112+入力シート!O113)*40)*入力シート!$H$14/1000,"0"),"")</f>
        <v>0</v>
      </c>
      <c r="O35" s="393"/>
      <c r="Q35" s="524" t="str">
        <f t="shared" ca="1" si="2"/>
        <v/>
      </c>
    </row>
    <row r="36" spans="2:17" s="161" customFormat="1" ht="19.350000000000001" customHeight="1">
      <c r="B36" s="899"/>
      <c r="C36" s="908" t="s">
        <v>163</v>
      </c>
      <c r="D36" s="908"/>
      <c r="E36" s="165">
        <v>139</v>
      </c>
      <c r="F36" s="554" t="s">
        <v>867</v>
      </c>
      <c r="G36" s="554" t="s">
        <v>100</v>
      </c>
      <c r="H36" s="190" t="str">
        <f>IF(I36="有",IF(I35="有","Ⅰと同時算定不可",""),"")</f>
        <v/>
      </c>
      <c r="I36" s="153"/>
      <c r="J36" s="841"/>
      <c r="K36" s="841"/>
      <c r="L36" s="167" t="str">
        <f>IFERROR(IF(I35="有",((入力シート!O109+入力シート!O110)*200+(入力シート!O111+入力シート!O112+入力シート!O113)*100)*入力シート!$H$14/1000,"0"),"")</f>
        <v>0</v>
      </c>
      <c r="O36" s="393"/>
      <c r="Q36" s="524" t="str">
        <f t="shared" ca="1" si="2"/>
        <v/>
      </c>
    </row>
    <row r="37" spans="2:17" s="161" customFormat="1" ht="19.350000000000001" customHeight="1">
      <c r="B37" s="835" t="s">
        <v>139</v>
      </c>
      <c r="C37" s="867" t="s">
        <v>1056</v>
      </c>
      <c r="D37" s="867"/>
      <c r="E37" s="75" t="s">
        <v>1068</v>
      </c>
      <c r="F37" s="66">
        <v>10</v>
      </c>
      <c r="G37" s="551" t="s">
        <v>65</v>
      </c>
      <c r="H37" s="68" t="str">
        <f>IF(I37="有",IF(OR(I40="有",I39="有",I38="有"),"同時算定不可",""),"")</f>
        <v/>
      </c>
      <c r="I37" s="153"/>
      <c r="J37" s="268"/>
      <c r="K37" s="271" t="s">
        <v>206</v>
      </c>
      <c r="L37" s="167" t="str">
        <f>IFERROR(IF(I37="有",F37*J37*入力シート!$H$14/1000,"0"),"")</f>
        <v>0</v>
      </c>
      <c r="O37" s="393"/>
      <c r="Q37" s="524" t="str">
        <f t="shared" ca="1" si="2"/>
        <v/>
      </c>
    </row>
    <row r="38" spans="2:17" s="161" customFormat="1" ht="19.350000000000001" customHeight="1">
      <c r="B38" s="848"/>
      <c r="C38" s="867" t="s">
        <v>1057</v>
      </c>
      <c r="D38" s="867"/>
      <c r="E38" s="75" t="s">
        <v>1068</v>
      </c>
      <c r="F38" s="66">
        <v>15</v>
      </c>
      <c r="G38" s="551" t="s">
        <v>65</v>
      </c>
      <c r="H38" s="68" t="str">
        <f>IF(I38="有",IF(OR(I37="有",I40="有",I39="有"),"同時算定不可",""),"")</f>
        <v/>
      </c>
      <c r="I38" s="153"/>
      <c r="J38" s="459"/>
      <c r="K38" s="271" t="s">
        <v>206</v>
      </c>
      <c r="L38" s="167" t="str">
        <f>IFERROR(IF(I38="有",F38*J38*入力シート!$H$14/1000,"0"),"")</f>
        <v>0</v>
      </c>
      <c r="M38" s="477"/>
      <c r="N38" s="477"/>
      <c r="O38" s="478"/>
      <c r="P38" s="477"/>
      <c r="Q38" s="524" t="str">
        <f t="shared" ca="1" si="2"/>
        <v/>
      </c>
    </row>
    <row r="39" spans="2:17" s="161" customFormat="1" ht="19.350000000000001" customHeight="1">
      <c r="B39" s="848"/>
      <c r="C39" s="867" t="s">
        <v>1058</v>
      </c>
      <c r="D39" s="867"/>
      <c r="E39" s="75" t="s">
        <v>1068</v>
      </c>
      <c r="F39" s="66">
        <v>20</v>
      </c>
      <c r="G39" s="551" t="s">
        <v>65</v>
      </c>
      <c r="H39" s="68" t="str">
        <f>IF(I39="有",IF(OR(I38="有",I37="有",I40="有"),"同時算定不可",""),"")</f>
        <v/>
      </c>
      <c r="I39" s="153"/>
      <c r="J39" s="459"/>
      <c r="K39" s="271" t="s">
        <v>206</v>
      </c>
      <c r="L39" s="167" t="str">
        <f>IFERROR(IF(I39="有",F39*J39*入力シート!$H$14/1000,"0"),"")</f>
        <v>0</v>
      </c>
      <c r="Q39" s="524" t="str">
        <f t="shared" ca="1" si="2"/>
        <v/>
      </c>
    </row>
    <row r="40" spans="2:17" s="161" customFormat="1" ht="19.350000000000001" customHeight="1">
      <c r="B40" s="836"/>
      <c r="C40" s="867" t="str">
        <f ca="1">IF(入力シート!S2&lt;4,"排せつ支援加算（Ⅳ）","")</f>
        <v>排せつ支援加算（Ⅳ）</v>
      </c>
      <c r="D40" s="867"/>
      <c r="E40" s="75" t="s">
        <v>1068</v>
      </c>
      <c r="F40" s="66">
        <f ca="1">IF(入力シート!S2&lt;4,100,"")</f>
        <v>100</v>
      </c>
      <c r="G40" s="551" t="str">
        <f ca="1">IF(入力シート!S2&lt;4,"月毎","")</f>
        <v>月毎</v>
      </c>
      <c r="H40" s="68" t="str">
        <f>IF(I40="有",IF(OR(I37="有",I39="有",I38="有"),"同時算定不可",""),"")</f>
        <v/>
      </c>
      <c r="I40" s="153"/>
      <c r="J40" s="459"/>
      <c r="K40" s="271" t="str">
        <f ca="1">IF(入力シート!S2&lt;4,"人","")</f>
        <v>人</v>
      </c>
      <c r="L40" s="167" t="str">
        <f>IFERROR(IF(I40="有",F40*J40*入力シート!$H$14/1000,"0"),"")</f>
        <v>0</v>
      </c>
      <c r="Q40" s="524" t="str">
        <f t="shared" ca="1" si="2"/>
        <v/>
      </c>
    </row>
    <row r="41" spans="2:17" s="161" customFormat="1" ht="19.350000000000001" customHeight="1">
      <c r="B41" s="550" t="s">
        <v>1048</v>
      </c>
      <c r="C41" s="837"/>
      <c r="D41" s="838"/>
      <c r="E41" s="75" t="s">
        <v>1068</v>
      </c>
      <c r="F41" s="66">
        <v>300</v>
      </c>
      <c r="G41" s="551" t="s">
        <v>65</v>
      </c>
      <c r="H41" s="434"/>
      <c r="I41" s="153"/>
      <c r="J41" s="459"/>
      <c r="K41" s="271" t="s">
        <v>206</v>
      </c>
      <c r="L41" s="167" t="str">
        <f>IFERROR(IF(I41="有",F41*J41*入力シート!$H$14/1000,"0"),"")</f>
        <v>0</v>
      </c>
      <c r="Q41" s="524" t="str">
        <f t="shared" ca="1" si="2"/>
        <v/>
      </c>
    </row>
    <row r="42" spans="2:17" s="161" customFormat="1" ht="19.350000000000001" customHeight="1">
      <c r="B42" s="835" t="s">
        <v>1049</v>
      </c>
      <c r="C42" s="839" t="s">
        <v>1050</v>
      </c>
      <c r="D42" s="840"/>
      <c r="E42" s="75" t="s">
        <v>1068</v>
      </c>
      <c r="F42" s="66">
        <v>40</v>
      </c>
      <c r="G42" s="551" t="s">
        <v>65</v>
      </c>
      <c r="H42" s="68" t="str">
        <f>IF(I42="有",IF(I43="有","Ⅱと同時算定不可",""),"")</f>
        <v/>
      </c>
      <c r="I42" s="153"/>
      <c r="J42" s="841"/>
      <c r="K42" s="841"/>
      <c r="L42" s="167" t="str">
        <f>IFERROR(IF(I42="有",F42*入力シート!$T$115/365*12*入力シート!$H$14/1000,"0"),"")</f>
        <v>0</v>
      </c>
      <c r="Q42" s="524" t="str">
        <f t="shared" ca="1" si="2"/>
        <v/>
      </c>
    </row>
    <row r="43" spans="2:17" s="161" customFormat="1" ht="19.350000000000001" customHeight="1">
      <c r="B43" s="836"/>
      <c r="C43" s="839" t="s">
        <v>1051</v>
      </c>
      <c r="D43" s="840"/>
      <c r="E43" s="75" t="s">
        <v>1068</v>
      </c>
      <c r="F43" s="66">
        <v>60</v>
      </c>
      <c r="G43" s="551" t="s">
        <v>65</v>
      </c>
      <c r="H43" s="68" t="str">
        <f>IF(I43="有",IF(I42="有","Ⅰと同時算定不可",""),"")</f>
        <v/>
      </c>
      <c r="I43" s="153"/>
      <c r="J43" s="841"/>
      <c r="K43" s="841"/>
      <c r="L43" s="167" t="str">
        <f>IFERROR(IF(I43="有",F43*入力シート!$T$115/365*12*入力シート!$H$14/1000,"0"),"")</f>
        <v>0</v>
      </c>
      <c r="Q43" s="524" t="str">
        <f t="shared" ca="1" si="2"/>
        <v/>
      </c>
    </row>
    <row r="44" spans="2:17" s="161" customFormat="1" ht="19.350000000000001" customHeight="1">
      <c r="B44" s="550" t="s">
        <v>1041</v>
      </c>
      <c r="C44" s="842"/>
      <c r="D44" s="842"/>
      <c r="E44" s="75" t="s">
        <v>1068</v>
      </c>
      <c r="F44" s="66">
        <v>60</v>
      </c>
      <c r="G44" s="551" t="s">
        <v>100</v>
      </c>
      <c r="H44" s="74"/>
      <c r="I44" s="446"/>
      <c r="J44" s="268"/>
      <c r="K44" s="271" t="s">
        <v>206</v>
      </c>
      <c r="L44" s="167" t="str">
        <f>IFERROR(IF(I44="有",F44*J44*入力シート!$H$14/1000,"0"),"")</f>
        <v>0</v>
      </c>
      <c r="Q44" s="524" t="str">
        <f t="shared" ca="1" si="2"/>
        <v/>
      </c>
    </row>
    <row r="45" spans="2:17" s="161" customFormat="1" ht="19.350000000000001" customHeight="1">
      <c r="B45" s="550" t="s">
        <v>1053</v>
      </c>
      <c r="C45" s="842"/>
      <c r="D45" s="842"/>
      <c r="E45" s="75" t="s">
        <v>1068</v>
      </c>
      <c r="F45" s="66">
        <v>20</v>
      </c>
      <c r="G45" s="549" t="s">
        <v>161</v>
      </c>
      <c r="H45" s="74"/>
      <c r="I45" s="446"/>
      <c r="J45" s="459"/>
      <c r="K45" s="271" t="s">
        <v>1061</v>
      </c>
      <c r="L45" s="167" t="str">
        <f>IFERROR(IF(I45="有",F45*J45*入力シート!$H$14/1000,"0"),"")</f>
        <v>0</v>
      </c>
      <c r="Q45" s="524" t="str">
        <f t="shared" ca="1" si="2"/>
        <v/>
      </c>
    </row>
    <row r="46" spans="2:17" s="161" customFormat="1" ht="19.350000000000001" customHeight="1">
      <c r="B46" s="870" t="s">
        <v>192</v>
      </c>
      <c r="C46" s="849" t="s">
        <v>1059</v>
      </c>
      <c r="D46" s="849"/>
      <c r="E46" s="75">
        <v>143</v>
      </c>
      <c r="F46" s="66">
        <v>22</v>
      </c>
      <c r="G46" s="864" t="s">
        <v>64</v>
      </c>
      <c r="H46" s="873" t="s">
        <v>827</v>
      </c>
      <c r="I46" s="153"/>
      <c r="J46" s="841"/>
      <c r="K46" s="841"/>
      <c r="L46" s="167" t="str">
        <f>IFERROR(IF(I46="有",F46*入力シート!$T$115*入力シート!$H$14/1000,"0"),"")</f>
        <v>0</v>
      </c>
      <c r="Q46" s="524" t="str">
        <f t="shared" ca="1" si="2"/>
        <v/>
      </c>
    </row>
    <row r="47" spans="2:17" s="161" customFormat="1" ht="19.350000000000001" customHeight="1">
      <c r="B47" s="870"/>
      <c r="C47" s="849" t="s">
        <v>859</v>
      </c>
      <c r="D47" s="849"/>
      <c r="E47" s="75">
        <v>143</v>
      </c>
      <c r="F47" s="51">
        <v>18</v>
      </c>
      <c r="G47" s="864"/>
      <c r="H47" s="874"/>
      <c r="I47" s="153"/>
      <c r="J47" s="841"/>
      <c r="K47" s="841"/>
      <c r="L47" s="167" t="str">
        <f>IFERROR(IF(I47="有",F47*入力シート!$T$115*入力シート!$H$14/1000,"0"),"")</f>
        <v>0</v>
      </c>
      <c r="M47" s="48"/>
      <c r="N47" s="872" t="s">
        <v>759</v>
      </c>
      <c r="O47" s="872"/>
      <c r="P47" s="872"/>
      <c r="Q47" s="524" t="str">
        <f t="shared" ca="1" si="2"/>
        <v/>
      </c>
    </row>
    <row r="48" spans="2:17" s="161" customFormat="1" ht="19.350000000000001" customHeight="1">
      <c r="B48" s="870"/>
      <c r="C48" s="849" t="s">
        <v>96</v>
      </c>
      <c r="D48" s="849"/>
      <c r="E48" s="75">
        <v>143</v>
      </c>
      <c r="F48" s="51">
        <v>6</v>
      </c>
      <c r="G48" s="864"/>
      <c r="H48" s="874"/>
      <c r="I48" s="153"/>
      <c r="J48" s="841"/>
      <c r="K48" s="841"/>
      <c r="L48" s="167" t="str">
        <f>IFERROR(IF(I48="有",F48*入力シート!$T$115*入力シート!$H$14/1000,"0"),"")</f>
        <v>0</v>
      </c>
      <c r="O48" s="69"/>
      <c r="P48" s="69" t="e">
        <f>(SUM(L5:L9)+SUM(L14:L48)+SUM(L58:L61))/入力シート!$H$14*1000</f>
        <v>#VALUE!</v>
      </c>
      <c r="Q48" s="524" t="str">
        <f t="shared" ca="1" si="2"/>
        <v/>
      </c>
    </row>
    <row r="49" spans="2:17" s="161" customFormat="1" ht="19.350000000000001" customHeight="1">
      <c r="B49" s="835" t="s">
        <v>901</v>
      </c>
      <c r="C49" s="908" t="s">
        <v>902</v>
      </c>
      <c r="D49" s="908"/>
      <c r="E49" s="165">
        <v>144</v>
      </c>
      <c r="F49" s="554" t="s">
        <v>861</v>
      </c>
      <c r="G49" s="554" t="s">
        <v>65</v>
      </c>
      <c r="H49" s="939" t="s">
        <v>827</v>
      </c>
      <c r="I49" s="153"/>
      <c r="J49" s="841"/>
      <c r="K49" s="841"/>
      <c r="L49" s="191" t="str">
        <f>IFERROR(IF(I49="有",(入力シート!$T$116+$P$48)*入力シート!$H$14/1000*26/1000,"0"),"")</f>
        <v>0</v>
      </c>
      <c r="Q49" s="524" t="str">
        <f t="shared" ca="1" si="2"/>
        <v/>
      </c>
    </row>
    <row r="50" spans="2:17" s="161" customFormat="1" ht="19.350000000000001" customHeight="1">
      <c r="B50" s="848"/>
      <c r="C50" s="908" t="s">
        <v>904</v>
      </c>
      <c r="D50" s="908"/>
      <c r="E50" s="165">
        <v>144</v>
      </c>
      <c r="F50" s="554" t="s">
        <v>862</v>
      </c>
      <c r="G50" s="554" t="s">
        <v>65</v>
      </c>
      <c r="H50" s="940"/>
      <c r="I50" s="153"/>
      <c r="J50" s="841"/>
      <c r="K50" s="841"/>
      <c r="L50" s="191" t="str">
        <f>IFERROR(IF(I50="有",(入力シート!$T$116+$P$48)*入力シート!$H$14/1000*19/1000,"0"),"")</f>
        <v>0</v>
      </c>
      <c r="Q50" s="524" t="str">
        <f t="shared" ca="1" si="2"/>
        <v/>
      </c>
    </row>
    <row r="51" spans="2:17" s="161" customFormat="1" ht="19.350000000000001" customHeight="1">
      <c r="B51" s="848"/>
      <c r="C51" s="908" t="s">
        <v>863</v>
      </c>
      <c r="D51" s="908"/>
      <c r="E51" s="165">
        <v>144</v>
      </c>
      <c r="F51" s="554" t="s">
        <v>833</v>
      </c>
      <c r="G51" s="554" t="s">
        <v>65</v>
      </c>
      <c r="H51" s="940"/>
      <c r="I51" s="153"/>
      <c r="J51" s="841"/>
      <c r="K51" s="841"/>
      <c r="L51" s="191" t="str">
        <f>IFERROR(IF(I51="有",(入力シート!$T$116+$P$48)*入力シート!$H$14/1000*10/1000,"0"),"")</f>
        <v>0</v>
      </c>
      <c r="Q51" s="524" t="str">
        <f t="shared" ca="1" si="2"/>
        <v/>
      </c>
    </row>
    <row r="52" spans="2:17" s="161" customFormat="1" ht="19.350000000000001" customHeight="1">
      <c r="B52" s="848"/>
      <c r="C52" s="849" t="str">
        <f ca="1">IF(入力シート!S2&lt;4,"介護職員処遇改善加算（Ⅳ）","")</f>
        <v>介護職員処遇改善加算（Ⅳ）</v>
      </c>
      <c r="D52" s="849"/>
      <c r="E52" s="75" t="str">
        <f ca="1">IF(入力シート!S2&lt;4,"P.144","")</f>
        <v>P.144</v>
      </c>
      <c r="F52" s="551" t="str">
        <f ca="1">IF(入力シート!S2&lt;4,"×10/1000×0.9","")</f>
        <v>×10/1000×0.9</v>
      </c>
      <c r="G52" s="551" t="str">
        <f ca="1">IF(入力シート!S2&lt;4,"月毎","")</f>
        <v>月毎</v>
      </c>
      <c r="H52" s="940"/>
      <c r="I52" s="153"/>
      <c r="J52" s="841"/>
      <c r="K52" s="841"/>
      <c r="L52" s="191" t="str">
        <f>IFERROR(IF(I52="有",(入力シート!$T$116+$P$48)*入力シート!$H$14/1000*9/1000,"0"),"")</f>
        <v>0</v>
      </c>
      <c r="Q52" s="524" t="str">
        <f t="shared" ca="1" si="2"/>
        <v/>
      </c>
    </row>
    <row r="53" spans="2:17" s="161" customFormat="1" ht="19.350000000000001" customHeight="1">
      <c r="B53" s="836"/>
      <c r="C53" s="849" t="str">
        <f ca="1">IF(入力シート!S2&lt;4,"介護職員処遇改善加算（Ⅴ）","")</f>
        <v>介護職員処遇改善加算（Ⅴ）</v>
      </c>
      <c r="D53" s="849"/>
      <c r="E53" s="75" t="str">
        <f ca="1">IF(入力シート!S2&lt;4,"P.144","")</f>
        <v>P.144</v>
      </c>
      <c r="F53" s="551" t="str">
        <f ca="1">IF(入力シート!S2&lt;4,"×10/1000×0.8","")</f>
        <v>×10/1000×0.8</v>
      </c>
      <c r="G53" s="551" t="str">
        <f ca="1">IF(入力シート!S2&lt;4,"月毎","")</f>
        <v>月毎</v>
      </c>
      <c r="H53" s="941"/>
      <c r="I53" s="153"/>
      <c r="J53" s="841"/>
      <c r="K53" s="841"/>
      <c r="L53" s="191" t="str">
        <f>IFERROR(IF(I53="有",(入力シート!$T$116+$P$48)*入力シート!$H$14/1000*8/1000,"0"),"")</f>
        <v>0</v>
      </c>
      <c r="Q53" s="524" t="str">
        <f t="shared" ca="1" si="2"/>
        <v/>
      </c>
    </row>
    <row r="54" spans="2:17" s="161" customFormat="1" ht="19.350000000000001" customHeight="1">
      <c r="B54" s="870" t="s">
        <v>899</v>
      </c>
      <c r="C54" s="849" t="s">
        <v>1009</v>
      </c>
      <c r="D54" s="849"/>
      <c r="E54" s="165">
        <v>146</v>
      </c>
      <c r="F54" s="391" t="s">
        <v>834</v>
      </c>
      <c r="G54" s="391" t="s">
        <v>65</v>
      </c>
      <c r="H54" s="192" t="str">
        <f>IF(AND(I54="有",OR(SUM(L49:L51)=0,I55="有")),"！算定不可！","")</f>
        <v/>
      </c>
      <c r="I54" s="153"/>
      <c r="J54" s="841"/>
      <c r="K54" s="841"/>
      <c r="L54" s="191" t="str">
        <f>IFERROR(IF(I54="有",(入力シート!$T$116+$P$48)*入力シート!$H$14/1000*15/1000,"0"),"")</f>
        <v>0</v>
      </c>
      <c r="M54" s="181"/>
      <c r="N54" s="193"/>
      <c r="O54" s="193"/>
      <c r="P54" s="193"/>
      <c r="Q54" s="524" t="str">
        <f t="shared" ca="1" si="2"/>
        <v/>
      </c>
    </row>
    <row r="55" spans="2:17" s="161" customFormat="1" ht="19.350000000000001" customHeight="1">
      <c r="B55" s="876"/>
      <c r="C55" s="877" t="s">
        <v>1010</v>
      </c>
      <c r="D55" s="877"/>
      <c r="E55" s="171">
        <v>146</v>
      </c>
      <c r="F55" s="227" t="s">
        <v>835</v>
      </c>
      <c r="G55" s="227" t="s">
        <v>65</v>
      </c>
      <c r="H55" s="194" t="str">
        <f>IF(AND(I55="有",OR(SUM(L49:L51)=0,I54="有")),"！算定不可！","")</f>
        <v/>
      </c>
      <c r="I55" s="154"/>
      <c r="J55" s="878"/>
      <c r="K55" s="878"/>
      <c r="L55" s="195" t="str">
        <f>IFERROR(IF(I55="有",(入力シート!$T$116+$P$48)*入力シート!$H$14/1000*11/1000,"0"),"")</f>
        <v>0</v>
      </c>
      <c r="M55" s="181"/>
      <c r="N55" s="193"/>
      <c r="O55" s="193"/>
      <c r="P55" s="193"/>
      <c r="Q55" s="524" t="str">
        <f t="shared" ca="1" si="2"/>
        <v/>
      </c>
    </row>
    <row r="56" spans="2:17" s="199" customFormat="1" ht="19.350000000000001" customHeight="1">
      <c r="B56" s="196" t="str">
        <f>IF(OR(H54="！算定不可！",H55="！算定不可！"),"↑（エラー）「介護職員等特定処遇改善加算」は「介護職員改善加算」の算定が条件です。また、介護職員等特定処遇改善加算（Ⅰ）、（Ⅱ）の同時算定はできません。","")</f>
        <v/>
      </c>
      <c r="C56" s="197"/>
      <c r="D56" s="197"/>
      <c r="E56" s="197"/>
      <c r="F56" s="197"/>
      <c r="G56" s="197"/>
      <c r="H56" s="197"/>
      <c r="I56" s="527"/>
      <c r="J56" s="197"/>
      <c r="K56" s="197"/>
      <c r="L56" s="197"/>
      <c r="M56" s="198"/>
      <c r="N56" s="198"/>
      <c r="O56" s="198"/>
      <c r="Q56" s="526"/>
    </row>
    <row r="57" spans="2:17" s="199" customFormat="1" ht="19.350000000000001" customHeight="1">
      <c r="B57" s="62" t="s">
        <v>1060</v>
      </c>
      <c r="C57" s="916"/>
      <c r="D57" s="916"/>
      <c r="E57" s="474" t="s">
        <v>1068</v>
      </c>
      <c r="F57" s="475">
        <v>-5</v>
      </c>
      <c r="G57" s="64" t="s">
        <v>158</v>
      </c>
      <c r="H57" s="476"/>
      <c r="I57" s="155"/>
      <c r="J57" s="917"/>
      <c r="K57" s="917"/>
      <c r="L57" s="401" t="str">
        <f>IFERROR(IF(I57="有",F57*入力シート!$T$115*入力シート!$H$14/1000,"0"),"")</f>
        <v>0</v>
      </c>
      <c r="M57" s="198"/>
      <c r="N57" s="198"/>
      <c r="O57" s="198"/>
      <c r="Q57" s="524" t="str">
        <f t="shared" ref="Q57:Q61" ca="1" si="3">IFERROR(IF(INDEX(INDIRECT($Q$3),ROW())="有","有",""),"")</f>
        <v/>
      </c>
    </row>
    <row r="58" spans="2:17" s="199" customFormat="1" ht="19.350000000000001" customHeight="1">
      <c r="B58" s="441" t="s">
        <v>900</v>
      </c>
      <c r="C58" s="933"/>
      <c r="D58" s="933"/>
      <c r="E58" s="471">
        <v>113</v>
      </c>
      <c r="F58" s="472">
        <v>-25</v>
      </c>
      <c r="G58" s="473" t="s">
        <v>158</v>
      </c>
      <c r="H58" s="479"/>
      <c r="I58" s="457"/>
      <c r="J58" s="934"/>
      <c r="K58" s="934"/>
      <c r="L58" s="480" t="str">
        <f>IFERROR(IF(I58="有",F58*入力シート!$T$115*入力シート!$H$14/1000,"0"),"")</f>
        <v>0</v>
      </c>
      <c r="M58" s="198"/>
      <c r="N58" s="198"/>
      <c r="O58" s="198"/>
      <c r="Q58" s="524" t="str">
        <f t="shared" ca="1" si="3"/>
        <v/>
      </c>
    </row>
    <row r="59" spans="2:17" s="199" customFormat="1" ht="19.350000000000001" customHeight="1">
      <c r="B59" s="388" t="s">
        <v>903</v>
      </c>
      <c r="C59" s="935"/>
      <c r="D59" s="935"/>
      <c r="E59" s="165">
        <v>113</v>
      </c>
      <c r="F59" s="201">
        <v>-25</v>
      </c>
      <c r="G59" s="394" t="s">
        <v>158</v>
      </c>
      <c r="H59" s="202"/>
      <c r="I59" s="153" t="s">
        <v>963</v>
      </c>
      <c r="J59" s="845"/>
      <c r="K59" s="845"/>
      <c r="L59" s="167" t="str">
        <f>IFERROR(IF(I59="有",F59*入力シート!$T$115*入力シート!$H$14/1000,"0"),"")</f>
        <v>0</v>
      </c>
      <c r="M59" s="198"/>
      <c r="N59" s="198"/>
      <c r="O59" s="198"/>
      <c r="Q59" s="524" t="str">
        <f t="shared" ca="1" si="3"/>
        <v/>
      </c>
    </row>
    <row r="60" spans="2:17" s="199" customFormat="1" ht="19.350000000000001" customHeight="1">
      <c r="B60" s="451" t="s">
        <v>905</v>
      </c>
      <c r="C60" s="935"/>
      <c r="D60" s="935"/>
      <c r="E60" s="165">
        <v>113</v>
      </c>
      <c r="F60" s="201">
        <v>-25</v>
      </c>
      <c r="G60" s="452" t="s">
        <v>158</v>
      </c>
      <c r="H60" s="202"/>
      <c r="I60" s="528" t="str">
        <f>IF(L60="0","","有")</f>
        <v/>
      </c>
      <c r="J60" s="845" t="str">
        <f>IF(L60="","","A病棟で入力")</f>
        <v>A病棟で入力</v>
      </c>
      <c r="K60" s="845"/>
      <c r="L60" s="167" t="str">
        <f>IFERROR(IF('加算項目（A病棟）'!L60="0","0",F60*入力シート!$T$115*入力シート!$H$14/1000),"")</f>
        <v>0</v>
      </c>
      <c r="M60" s="198"/>
      <c r="N60" s="198"/>
      <c r="O60" s="198"/>
      <c r="Q60" s="524" t="str">
        <f t="shared" ca="1" si="3"/>
        <v/>
      </c>
    </row>
    <row r="61" spans="2:17" s="199" customFormat="1" ht="19.350000000000001" customHeight="1">
      <c r="B61" s="121" t="str">
        <f ca="1">IF(入力シート!S2=5,"（減算）栄養ケア・マネジメントの未実施減算","")</f>
        <v/>
      </c>
      <c r="C61" s="914"/>
      <c r="D61" s="914"/>
      <c r="E61" s="122" t="s">
        <v>1068</v>
      </c>
      <c r="F61" s="123" t="str">
        <f ca="1">IF(入力シート!S2=5,-14,"")</f>
        <v/>
      </c>
      <c r="G61" s="124" t="str">
        <f ca="1">IF(入力シート!S2=5,"日毎","")</f>
        <v/>
      </c>
      <c r="H61" s="125"/>
      <c r="I61" s="157"/>
      <c r="J61" s="915"/>
      <c r="K61" s="915"/>
      <c r="L61" s="203" t="str">
        <f>IFERROR(IF(I61="有",F61*入力シート!$T$115*入力シート!$H$14/1000,""),"")</f>
        <v/>
      </c>
      <c r="M61" s="198"/>
      <c r="N61" s="198"/>
      <c r="O61" s="198"/>
      <c r="Q61" s="524" t="str">
        <f t="shared" ca="1" si="3"/>
        <v/>
      </c>
    </row>
    <row r="62" spans="2:17" s="161" customFormat="1" ht="19.350000000000001" customHeight="1">
      <c r="B62" s="922" t="str">
        <f>IF(AND(I58="有",OR(I6="有",I7="有",I8="有",I5="有")),"（エラー）夜勤体制減算を算定している場合、夜間勤務等看護加算等は算定できません","")</f>
        <v/>
      </c>
      <c r="C62" s="922"/>
      <c r="D62" s="922"/>
      <c r="E62" s="922"/>
      <c r="F62" s="922"/>
      <c r="G62" s="922"/>
      <c r="H62" s="922"/>
      <c r="I62" s="529"/>
      <c r="L62" s="204"/>
      <c r="Q62" s="523"/>
    </row>
    <row r="63" spans="2:17" s="161" customFormat="1" ht="19.350000000000001" customHeight="1">
      <c r="I63" s="517"/>
      <c r="J63" s="882" t="s">
        <v>1015</v>
      </c>
      <c r="K63" s="882"/>
      <c r="L63" s="882"/>
      <c r="Q63" s="523"/>
    </row>
    <row r="64" spans="2:17" s="161" customFormat="1" ht="24.6" customHeight="1">
      <c r="B64" s="883" t="str">
        <f>HYPERLINK("#'入力シート'!A109","特別診療費を入力しない場合はこちらをクリックしてください")</f>
        <v>特別診療費を入力しない場合はこちらをクリックしてください</v>
      </c>
      <c r="C64" s="884"/>
      <c r="D64" s="884"/>
      <c r="E64" s="884"/>
      <c r="F64" s="884"/>
      <c r="G64" s="884"/>
      <c r="I64" s="518"/>
      <c r="J64" s="885">
        <f>IFERROR(SUM(L5:L61),"")</f>
        <v>0</v>
      </c>
      <c r="K64" s="885"/>
      <c r="L64" s="885"/>
      <c r="Q64" s="523"/>
    </row>
    <row r="65" spans="2:17" ht="19.350000000000001" customHeight="1">
      <c r="J65" s="897" t="s">
        <v>1014</v>
      </c>
      <c r="K65" s="897"/>
      <c r="L65" s="897"/>
    </row>
    <row r="66" spans="2:17" ht="19.350000000000001" customHeight="1">
      <c r="B66" s="887" t="s">
        <v>815</v>
      </c>
      <c r="C66" s="887"/>
      <c r="D66" s="887"/>
      <c r="E66" s="162"/>
      <c r="F66" s="162"/>
      <c r="G66" s="162"/>
      <c r="H66" s="162"/>
      <c r="I66" s="519"/>
      <c r="J66" s="162"/>
      <c r="K66" s="162"/>
      <c r="L66" s="163"/>
      <c r="M66" s="162"/>
    </row>
    <row r="67" spans="2:17" ht="19.350000000000001" customHeight="1">
      <c r="B67" s="879" t="s">
        <v>748</v>
      </c>
      <c r="C67" s="879"/>
      <c r="D67" s="879"/>
      <c r="E67" s="161"/>
      <c r="F67" s="161"/>
      <c r="G67" s="161"/>
      <c r="H67" s="205"/>
      <c r="I67" s="548"/>
      <c r="J67" s="880" t="s">
        <v>749</v>
      </c>
      <c r="K67" s="880"/>
      <c r="L67" s="880"/>
    </row>
    <row r="68" spans="2:17" ht="36" customHeight="1">
      <c r="B68" s="207" t="s">
        <v>172</v>
      </c>
      <c r="C68" s="921" t="s">
        <v>173</v>
      </c>
      <c r="D68" s="921"/>
      <c r="E68" s="164" t="s">
        <v>831</v>
      </c>
      <c r="F68" s="389" t="s">
        <v>63</v>
      </c>
      <c r="G68" s="207" t="s">
        <v>160</v>
      </c>
      <c r="H68" s="208"/>
      <c r="I68" s="512" t="s">
        <v>66</v>
      </c>
      <c r="J68" s="863" t="s">
        <v>202</v>
      </c>
      <c r="K68" s="863"/>
      <c r="L68" s="209" t="s">
        <v>207</v>
      </c>
      <c r="Q68" s="512" t="s">
        <v>66</v>
      </c>
    </row>
    <row r="69" spans="2:17" ht="19.350000000000001" customHeight="1">
      <c r="B69" s="448" t="s">
        <v>166</v>
      </c>
      <c r="C69" s="898"/>
      <c r="D69" s="898"/>
      <c r="E69" s="165">
        <v>148</v>
      </c>
      <c r="F69" s="166">
        <v>6</v>
      </c>
      <c r="G69" s="394" t="s">
        <v>158</v>
      </c>
      <c r="H69" s="210"/>
      <c r="I69" s="158"/>
      <c r="J69" s="841"/>
      <c r="K69" s="841"/>
      <c r="L69" s="167" t="str">
        <f>IFERROR(IF(I69="有",F69*入力シート!$T$115*入力シート!$H$14/1000,"0"),"")</f>
        <v>0</v>
      </c>
      <c r="Q69" s="524" t="str">
        <f t="shared" ref="Q69:Q100" ca="1" si="4">IFERROR(IF(INDEX(INDIRECT($Q$3),ROW())="有","有",""),"")</f>
        <v/>
      </c>
    </row>
    <row r="70" spans="2:17" ht="19.350000000000001" customHeight="1">
      <c r="B70" s="835" t="s">
        <v>167</v>
      </c>
      <c r="C70" s="843" t="s">
        <v>1054</v>
      </c>
      <c r="D70" s="843"/>
      <c r="E70" s="75">
        <v>149</v>
      </c>
      <c r="F70" s="51">
        <v>6</v>
      </c>
      <c r="G70" s="434" t="s">
        <v>158</v>
      </c>
      <c r="H70" s="73"/>
      <c r="I70" s="153" t="s">
        <v>1052</v>
      </c>
      <c r="J70" s="841"/>
      <c r="K70" s="841"/>
      <c r="L70" s="167" t="str">
        <f>IFERROR(IF(I70="有",F70*入力シート!$T$115*入力シート!$H$14/1000,"0"),"")</f>
        <v>0</v>
      </c>
      <c r="Q70" s="524" t="str">
        <f t="shared" ca="1" si="4"/>
        <v/>
      </c>
    </row>
    <row r="71" spans="2:17" ht="19.350000000000001" customHeight="1">
      <c r="B71" s="836"/>
      <c r="C71" s="843" t="s">
        <v>1055</v>
      </c>
      <c r="D71" s="843"/>
      <c r="E71" s="75" t="s">
        <v>1068</v>
      </c>
      <c r="F71" s="51">
        <v>10</v>
      </c>
      <c r="G71" s="434" t="s">
        <v>65</v>
      </c>
      <c r="H71" s="73"/>
      <c r="I71" s="153"/>
      <c r="J71" s="268"/>
      <c r="K71" s="271" t="s">
        <v>206</v>
      </c>
      <c r="L71" s="167" t="str">
        <f>IFERROR(IF(I71="有",F71*J71*入力シート!$H$14/1000,"0"),"")</f>
        <v>0</v>
      </c>
      <c r="Q71" s="524" t="str">
        <f t="shared" ca="1" si="4"/>
        <v/>
      </c>
    </row>
    <row r="72" spans="2:17" ht="19.350000000000001" customHeight="1">
      <c r="B72" s="552" t="s">
        <v>168</v>
      </c>
      <c r="C72" s="898"/>
      <c r="D72" s="898"/>
      <c r="E72" s="165">
        <v>150</v>
      </c>
      <c r="F72" s="166">
        <v>250</v>
      </c>
      <c r="G72" s="394" t="s">
        <v>159</v>
      </c>
      <c r="H72" s="210"/>
      <c r="I72" s="153"/>
      <c r="J72" s="268"/>
      <c r="K72" s="271" t="s">
        <v>159</v>
      </c>
      <c r="L72" s="167" t="str">
        <f>IFERROR(IF(I72="有",F72*J72*入力シート!$H$14/1000,"0"),"")</f>
        <v>0</v>
      </c>
      <c r="Q72" s="524" t="str">
        <f t="shared" ca="1" si="4"/>
        <v/>
      </c>
    </row>
    <row r="73" spans="2:17" ht="19.350000000000001" customHeight="1">
      <c r="B73" s="552" t="s">
        <v>169</v>
      </c>
      <c r="C73" s="898"/>
      <c r="D73" s="898"/>
      <c r="E73" s="211">
        <v>151</v>
      </c>
      <c r="F73" s="166">
        <v>125</v>
      </c>
      <c r="G73" s="394" t="s">
        <v>158</v>
      </c>
      <c r="H73" s="210"/>
      <c r="I73" s="153"/>
      <c r="J73" s="268"/>
      <c r="K73" s="271" t="s">
        <v>206</v>
      </c>
      <c r="L73" s="167" t="str">
        <f>IFERROR(IF(I73="有",F73*J73*入力シート!$H$14/1000,"0"),"")</f>
        <v>0</v>
      </c>
      <c r="Q73" s="524" t="str">
        <f t="shared" ca="1" si="4"/>
        <v/>
      </c>
    </row>
    <row r="74" spans="2:17" ht="19.350000000000001" customHeight="1">
      <c r="B74" s="924" t="s">
        <v>170</v>
      </c>
      <c r="C74" s="898"/>
      <c r="D74" s="898"/>
      <c r="E74" s="211">
        <v>152</v>
      </c>
      <c r="F74" s="166">
        <v>250</v>
      </c>
      <c r="G74" s="394" t="s">
        <v>158</v>
      </c>
      <c r="H74" s="169"/>
      <c r="I74" s="153"/>
      <c r="J74" s="268"/>
      <c r="K74" s="271" t="s">
        <v>206</v>
      </c>
      <c r="L74" s="167" t="str">
        <f>IFERROR(IF(I74="有",F74*J74*入力シート!$H$14/1000,"0"),"")</f>
        <v>0</v>
      </c>
      <c r="M74" s="212"/>
      <c r="N74" s="145"/>
      <c r="O74" s="145"/>
      <c r="P74" s="145"/>
      <c r="Q74" s="524" t="str">
        <f t="shared" ca="1" si="4"/>
        <v/>
      </c>
    </row>
    <row r="75" spans="2:17" ht="19.350000000000001" customHeight="1">
      <c r="B75" s="925"/>
      <c r="C75" s="927" t="s">
        <v>956</v>
      </c>
      <c r="D75" s="927"/>
      <c r="E75" s="211">
        <v>152</v>
      </c>
      <c r="F75" s="166">
        <v>300</v>
      </c>
      <c r="G75" s="394" t="s">
        <v>158</v>
      </c>
      <c r="H75" s="213" t="str">
        <f>IF(I75="有",IF(I74="有","","！算定不可！"),"")</f>
        <v/>
      </c>
      <c r="I75" s="153"/>
      <c r="J75" s="268"/>
      <c r="K75" s="271" t="s">
        <v>206</v>
      </c>
      <c r="L75" s="167" t="str">
        <f>IFERROR(IF(I75="有",F75*J75*入力シート!$H$14/1000,"0"),"")</f>
        <v>0</v>
      </c>
      <c r="M75" s="212"/>
      <c r="N75" s="145"/>
      <c r="O75" s="145"/>
      <c r="P75" s="145"/>
      <c r="Q75" s="524" t="str">
        <f t="shared" ca="1" si="4"/>
        <v/>
      </c>
    </row>
    <row r="76" spans="2:17" ht="19.350000000000001" customHeight="1">
      <c r="B76" s="926"/>
      <c r="C76" s="927" t="s">
        <v>957</v>
      </c>
      <c r="D76" s="927"/>
      <c r="E76" s="211">
        <v>152</v>
      </c>
      <c r="F76" s="166">
        <v>150</v>
      </c>
      <c r="G76" s="394" t="s">
        <v>158</v>
      </c>
      <c r="H76" s="213" t="str">
        <f>IF(I76="有",IF(I74="有","","！算定不可！"),"")</f>
        <v/>
      </c>
      <c r="I76" s="153"/>
      <c r="J76" s="268"/>
      <c r="K76" s="271" t="s">
        <v>206</v>
      </c>
      <c r="L76" s="167" t="str">
        <f>IFERROR(IF(I76="有",F76*J76*入力シート!$H$14/1000,"0"),"")</f>
        <v>0</v>
      </c>
      <c r="M76" s="212"/>
      <c r="N76" s="145"/>
      <c r="O76" s="145"/>
      <c r="P76" s="145"/>
      <c r="Q76" s="524" t="str">
        <f t="shared" ca="1" si="4"/>
        <v/>
      </c>
    </row>
    <row r="77" spans="2:17" ht="19.350000000000001" customHeight="1">
      <c r="B77" s="552" t="s">
        <v>171</v>
      </c>
      <c r="C77" s="898"/>
      <c r="D77" s="898"/>
      <c r="E77" s="211">
        <v>153</v>
      </c>
      <c r="F77" s="166">
        <v>18</v>
      </c>
      <c r="G77" s="394" t="s">
        <v>158</v>
      </c>
      <c r="H77" s="169"/>
      <c r="I77" s="153"/>
      <c r="J77" s="268"/>
      <c r="K77" s="271" t="s">
        <v>206</v>
      </c>
      <c r="L77" s="167" t="str">
        <f>IFERROR(IF(I77="有",F77*J77*入力シート!$H$14/1000,"0"),"")</f>
        <v>0</v>
      </c>
      <c r="Q77" s="524" t="str">
        <f t="shared" ca="1" si="4"/>
        <v/>
      </c>
    </row>
    <row r="78" spans="2:17" ht="19.350000000000001" customHeight="1">
      <c r="B78" s="899" t="s">
        <v>191</v>
      </c>
      <c r="C78" s="898"/>
      <c r="D78" s="898"/>
      <c r="E78" s="211">
        <v>154</v>
      </c>
      <c r="F78" s="166">
        <v>350</v>
      </c>
      <c r="G78" s="394" t="s">
        <v>159</v>
      </c>
      <c r="H78" s="169"/>
      <c r="I78" s="153"/>
      <c r="J78" s="268"/>
      <c r="K78" s="271" t="s">
        <v>206</v>
      </c>
      <c r="L78" s="167" t="str">
        <f>IFERROR(IF(I78="有",F78*J78*入力シート!$H$14/1000,"0"),"")</f>
        <v>0</v>
      </c>
      <c r="Q78" s="524" t="str">
        <f t="shared" ca="1" si="4"/>
        <v/>
      </c>
    </row>
    <row r="79" spans="2:17" ht="19.350000000000001" customHeight="1">
      <c r="B79" s="899"/>
      <c r="C79" s="888" t="s">
        <v>1042</v>
      </c>
      <c r="D79" s="888"/>
      <c r="E79" s="80" t="s">
        <v>1068</v>
      </c>
      <c r="F79" s="51">
        <v>20</v>
      </c>
      <c r="G79" s="434" t="s">
        <v>65</v>
      </c>
      <c r="H79" s="53"/>
      <c r="I79" s="153"/>
      <c r="J79" s="268"/>
      <c r="K79" s="271" t="s">
        <v>206</v>
      </c>
      <c r="L79" s="167" t="str">
        <f>IFERROR(IF(I79="有",F79*J79*入力シート!$H$14/1000,"0"),"")</f>
        <v>0</v>
      </c>
      <c r="Q79" s="524" t="str">
        <f t="shared" ca="1" si="4"/>
        <v/>
      </c>
    </row>
    <row r="80" spans="2:17" ht="19.350000000000001" customHeight="1">
      <c r="B80" s="899"/>
      <c r="C80" s="942" t="s">
        <v>176</v>
      </c>
      <c r="D80" s="942"/>
      <c r="E80" s="211">
        <v>154</v>
      </c>
      <c r="F80" s="166">
        <v>50</v>
      </c>
      <c r="G80" s="394" t="s">
        <v>159</v>
      </c>
      <c r="H80" s="169"/>
      <c r="I80" s="153"/>
      <c r="J80" s="268"/>
      <c r="K80" s="271" t="s">
        <v>159</v>
      </c>
      <c r="L80" s="167" t="str">
        <f>IFERROR(IF(I80="有",F80*J80*入力シート!$H$14/1000,"0"),"")</f>
        <v>0</v>
      </c>
      <c r="Q80" s="524" t="str">
        <f t="shared" ca="1" si="4"/>
        <v/>
      </c>
    </row>
    <row r="81" spans="2:17" ht="19.350000000000001" customHeight="1">
      <c r="B81" s="899" t="s">
        <v>814</v>
      </c>
      <c r="C81" s="923" t="s">
        <v>174</v>
      </c>
      <c r="D81" s="923"/>
      <c r="E81" s="211">
        <v>156</v>
      </c>
      <c r="F81" s="166">
        <v>220</v>
      </c>
      <c r="G81" s="394" t="s">
        <v>159</v>
      </c>
      <c r="H81" s="169"/>
      <c r="I81" s="153"/>
      <c r="J81" s="268"/>
      <c r="K81" s="271" t="s">
        <v>206</v>
      </c>
      <c r="L81" s="167" t="str">
        <f>IFERROR(IF(I81="有",F81*J81*入力シート!$H$14/1000,"0"),"")</f>
        <v>0</v>
      </c>
      <c r="Q81" s="524" t="str">
        <f t="shared" ca="1" si="4"/>
        <v/>
      </c>
    </row>
    <row r="82" spans="2:17" ht="19.350000000000001" customHeight="1">
      <c r="B82" s="899"/>
      <c r="C82" s="923" t="s">
        <v>175</v>
      </c>
      <c r="D82" s="923"/>
      <c r="E82" s="211">
        <v>156</v>
      </c>
      <c r="F82" s="166">
        <v>290</v>
      </c>
      <c r="G82" s="394" t="s">
        <v>159</v>
      </c>
      <c r="H82" s="169"/>
      <c r="I82" s="153"/>
      <c r="J82" s="268"/>
      <c r="K82" s="271" t="s">
        <v>206</v>
      </c>
      <c r="L82" s="167" t="str">
        <f>IFERROR(IF(I82="有",F82*J82*入力シート!$H$14/1000,"0"),"")</f>
        <v>0</v>
      </c>
      <c r="Q82" s="524" t="str">
        <f t="shared" ca="1" si="4"/>
        <v/>
      </c>
    </row>
    <row r="83" spans="2:17" ht="19.350000000000001" customHeight="1">
      <c r="B83" s="899" t="s">
        <v>177</v>
      </c>
      <c r="C83" s="923" t="s">
        <v>178</v>
      </c>
      <c r="D83" s="923"/>
      <c r="E83" s="211">
        <v>158</v>
      </c>
      <c r="F83" s="187">
        <v>123</v>
      </c>
      <c r="G83" s="394" t="s">
        <v>159</v>
      </c>
      <c r="H83" s="169"/>
      <c r="I83" s="153"/>
      <c r="J83" s="268"/>
      <c r="K83" s="271" t="s">
        <v>159</v>
      </c>
      <c r="L83" s="167" t="str">
        <f>IFERROR(IF(I83="有",F83*J83*入力シート!$H$14/1000,"0"),"")</f>
        <v>0</v>
      </c>
      <c r="Q83" s="524" t="str">
        <f t="shared" ca="1" si="4"/>
        <v/>
      </c>
    </row>
    <row r="84" spans="2:17" ht="19.350000000000001" customHeight="1">
      <c r="B84" s="899"/>
      <c r="C84" s="923" t="s">
        <v>180</v>
      </c>
      <c r="D84" s="923"/>
      <c r="E84" s="211">
        <v>161</v>
      </c>
      <c r="F84" s="187">
        <v>480</v>
      </c>
      <c r="G84" s="394" t="s">
        <v>159</v>
      </c>
      <c r="H84" s="213" t="str">
        <f>IF(I84="有",IF(I83="有","","！算定不可！"),"")</f>
        <v/>
      </c>
      <c r="I84" s="153"/>
      <c r="J84" s="268"/>
      <c r="K84" s="271" t="s">
        <v>159</v>
      </c>
      <c r="L84" s="167" t="str">
        <f>IFERROR(IF(I84="有",F84*J84*入力シート!$H$14/1000,"0"),"")</f>
        <v>0</v>
      </c>
      <c r="Q84" s="524" t="s">
        <v>1104</v>
      </c>
    </row>
    <row r="85" spans="2:17" ht="19.350000000000001" customHeight="1">
      <c r="B85" s="899"/>
      <c r="C85" s="923" t="s">
        <v>181</v>
      </c>
      <c r="D85" s="923"/>
      <c r="E85" s="211">
        <v>161</v>
      </c>
      <c r="F85" s="187">
        <v>300</v>
      </c>
      <c r="G85" s="394" t="s">
        <v>65</v>
      </c>
      <c r="H85" s="213" t="str">
        <f>IF(I85="有",IF(I83="有","","！算定不可！"),"")</f>
        <v/>
      </c>
      <c r="I85" s="153"/>
      <c r="J85" s="268"/>
      <c r="K85" s="271" t="s">
        <v>159</v>
      </c>
      <c r="L85" s="167" t="str">
        <f>IFERROR(IF(I85="有",F85*J85*入力シート!$H$14/1000,"0"),"")</f>
        <v>0</v>
      </c>
      <c r="Q85" s="524" t="s">
        <v>1104</v>
      </c>
    </row>
    <row r="86" spans="2:17" ht="19.350000000000001" customHeight="1">
      <c r="B86" s="899"/>
      <c r="C86" s="923" t="s">
        <v>182</v>
      </c>
      <c r="D86" s="923"/>
      <c r="E86" s="211">
        <v>161</v>
      </c>
      <c r="F86" s="187">
        <v>35</v>
      </c>
      <c r="G86" s="394" t="s">
        <v>159</v>
      </c>
      <c r="H86" s="213" t="str">
        <f>IF(I86="有",IF(I83="有","","！算定不可！"),"")</f>
        <v/>
      </c>
      <c r="I86" s="153"/>
      <c r="J86" s="268"/>
      <c r="K86" s="271" t="s">
        <v>159</v>
      </c>
      <c r="L86" s="167" t="str">
        <f>IFERROR(IF(I86="有",F86*J86*入力シート!$H$14/1000,"0"),"")</f>
        <v>0</v>
      </c>
      <c r="Q86" s="524" t="s">
        <v>1104</v>
      </c>
    </row>
    <row r="87" spans="2:17" ht="19.350000000000001" customHeight="1">
      <c r="B87" s="899"/>
      <c r="C87" s="923" t="s">
        <v>179</v>
      </c>
      <c r="D87" s="923"/>
      <c r="E87" s="211">
        <v>158</v>
      </c>
      <c r="F87" s="187">
        <v>73</v>
      </c>
      <c r="G87" s="394" t="s">
        <v>159</v>
      </c>
      <c r="H87" s="169"/>
      <c r="I87" s="153"/>
      <c r="J87" s="268"/>
      <c r="K87" s="271" t="s">
        <v>159</v>
      </c>
      <c r="L87" s="167" t="str">
        <f>IFERROR(IF(I87="有",F87*J87*入力シート!$H$14/1000,"0"),"")</f>
        <v>0</v>
      </c>
      <c r="Q87" s="524" t="s">
        <v>1104</v>
      </c>
    </row>
    <row r="88" spans="2:17" ht="19.350000000000001" customHeight="1">
      <c r="B88" s="899" t="s">
        <v>183</v>
      </c>
      <c r="C88" s="898"/>
      <c r="D88" s="898"/>
      <c r="E88" s="211">
        <v>160</v>
      </c>
      <c r="F88" s="187">
        <v>123</v>
      </c>
      <c r="G88" s="394" t="s">
        <v>159</v>
      </c>
      <c r="H88" s="169"/>
      <c r="I88" s="153"/>
      <c r="J88" s="268"/>
      <c r="K88" s="271" t="s">
        <v>159</v>
      </c>
      <c r="L88" s="167" t="str">
        <f>IFERROR(IF(I88="有",F88*J88*入力シート!$H$14/1000,"0"),"")</f>
        <v>0</v>
      </c>
      <c r="Q88" s="524" t="str">
        <f t="shared" ca="1" si="4"/>
        <v/>
      </c>
    </row>
    <row r="89" spans="2:17" ht="19.350000000000001" customHeight="1">
      <c r="B89" s="899"/>
      <c r="C89" s="923" t="s">
        <v>180</v>
      </c>
      <c r="D89" s="923"/>
      <c r="E89" s="211">
        <v>161</v>
      </c>
      <c r="F89" s="187">
        <v>480</v>
      </c>
      <c r="G89" s="394" t="s">
        <v>159</v>
      </c>
      <c r="H89" s="169" t="str">
        <f>IF(I89="有",IF(I88="有","","！算定不可！"),"")</f>
        <v/>
      </c>
      <c r="I89" s="153"/>
      <c r="J89" s="268"/>
      <c r="K89" s="271" t="s">
        <v>159</v>
      </c>
      <c r="L89" s="167" t="str">
        <f>IFERROR(IF(I89="有",F89*J89*入力シート!$H$14/1000,"0"),"")</f>
        <v>0</v>
      </c>
      <c r="Q89" s="524" t="str">
        <f t="shared" ca="1" si="4"/>
        <v/>
      </c>
    </row>
    <row r="90" spans="2:17" ht="19.350000000000001" customHeight="1">
      <c r="B90" s="899"/>
      <c r="C90" s="923" t="s">
        <v>181</v>
      </c>
      <c r="D90" s="923"/>
      <c r="E90" s="211">
        <v>161</v>
      </c>
      <c r="F90" s="187">
        <v>300</v>
      </c>
      <c r="G90" s="394" t="s">
        <v>65</v>
      </c>
      <c r="H90" s="169" t="str">
        <f>IF(I90="有",IF(I88="有","","！算定不可！"),"")</f>
        <v/>
      </c>
      <c r="I90" s="153"/>
      <c r="J90" s="268"/>
      <c r="K90" s="271" t="s">
        <v>159</v>
      </c>
      <c r="L90" s="167" t="str">
        <f>IFERROR(IF(I90="有",F90*J90*入力シート!$H$14/1000,"0"),"")</f>
        <v>0</v>
      </c>
      <c r="Q90" s="524" t="str">
        <f t="shared" ca="1" si="4"/>
        <v/>
      </c>
    </row>
    <row r="91" spans="2:17" ht="19.350000000000001" customHeight="1">
      <c r="B91" s="899"/>
      <c r="C91" s="923" t="s">
        <v>182</v>
      </c>
      <c r="D91" s="923"/>
      <c r="E91" s="211">
        <v>161</v>
      </c>
      <c r="F91" s="187">
        <v>35</v>
      </c>
      <c r="G91" s="394" t="s">
        <v>159</v>
      </c>
      <c r="H91" s="169" t="str">
        <f>IF(I91="有",IF(I88="有","","！算定不可！"),"")</f>
        <v/>
      </c>
      <c r="I91" s="153"/>
      <c r="J91" s="268"/>
      <c r="K91" s="271" t="s">
        <v>159</v>
      </c>
      <c r="L91" s="167" t="str">
        <f>IFERROR(IF(I91="有",F91*J91*入力シート!$H$14/1000,"0"),"")</f>
        <v>0</v>
      </c>
      <c r="Q91" s="524" t="str">
        <f t="shared" ca="1" si="4"/>
        <v/>
      </c>
    </row>
    <row r="92" spans="2:17" ht="19.350000000000001" customHeight="1">
      <c r="B92" s="899" t="s">
        <v>184</v>
      </c>
      <c r="C92" s="898"/>
      <c r="D92" s="898"/>
      <c r="E92" s="211">
        <v>162</v>
      </c>
      <c r="F92" s="187">
        <v>203</v>
      </c>
      <c r="G92" s="553" t="s">
        <v>159</v>
      </c>
      <c r="H92" s="559"/>
      <c r="I92" s="153"/>
      <c r="J92" s="268"/>
      <c r="K92" s="271" t="s">
        <v>159</v>
      </c>
      <c r="L92" s="167" t="str">
        <f>IFERROR(IF(I92="有",F92*J92*入力シート!$H$14/1000,"0"),"")</f>
        <v>0</v>
      </c>
      <c r="Q92" s="524" t="str">
        <f t="shared" ca="1" si="4"/>
        <v/>
      </c>
    </row>
    <row r="93" spans="2:17" ht="19.350000000000001" customHeight="1">
      <c r="B93" s="899"/>
      <c r="C93" s="923" t="s">
        <v>182</v>
      </c>
      <c r="D93" s="923"/>
      <c r="E93" s="211">
        <v>162</v>
      </c>
      <c r="F93" s="187">
        <v>35</v>
      </c>
      <c r="G93" s="553" t="s">
        <v>159</v>
      </c>
      <c r="H93" s="559" t="str">
        <f>IF(I93="有",IF(I92="有","","！算定不可！"),"")</f>
        <v/>
      </c>
      <c r="I93" s="153"/>
      <c r="J93" s="268"/>
      <c r="K93" s="271" t="s">
        <v>159</v>
      </c>
      <c r="L93" s="167" t="str">
        <f>IFERROR(IF(I93="有",F93*J93*入力シート!$H$14/1000,"0"),"")</f>
        <v>0</v>
      </c>
      <c r="Q93" s="524" t="str">
        <f t="shared" ca="1" si="4"/>
        <v/>
      </c>
    </row>
    <row r="94" spans="2:17" ht="19.350000000000001" customHeight="1">
      <c r="B94" s="552" t="s">
        <v>185</v>
      </c>
      <c r="C94" s="898"/>
      <c r="D94" s="898"/>
      <c r="E94" s="211">
        <v>163</v>
      </c>
      <c r="F94" s="187">
        <v>50</v>
      </c>
      <c r="G94" s="553" t="s">
        <v>159</v>
      </c>
      <c r="H94" s="559"/>
      <c r="I94" s="153"/>
      <c r="J94" s="268"/>
      <c r="K94" s="271" t="s">
        <v>206</v>
      </c>
      <c r="L94" s="167" t="str">
        <f>IFERROR(IF(I94="有",F94*J94*入力シート!$H$14/1000,"0"),"")</f>
        <v>0</v>
      </c>
      <c r="Q94" s="524" t="str">
        <f t="shared" ca="1" si="4"/>
        <v/>
      </c>
    </row>
    <row r="95" spans="2:17" ht="19.350000000000001" customHeight="1">
      <c r="B95" s="552" t="s">
        <v>186</v>
      </c>
      <c r="C95" s="898"/>
      <c r="D95" s="898"/>
      <c r="E95" s="211">
        <v>164</v>
      </c>
      <c r="F95" s="166">
        <v>208</v>
      </c>
      <c r="G95" s="553" t="s">
        <v>159</v>
      </c>
      <c r="H95" s="559"/>
      <c r="I95" s="153"/>
      <c r="J95" s="268"/>
      <c r="K95" s="271" t="s">
        <v>206</v>
      </c>
      <c r="L95" s="167" t="str">
        <f>IFERROR(IF(I95="有",F95*J95*入力シート!$H$14/1000,"0"),"")</f>
        <v>0</v>
      </c>
      <c r="Q95" s="524" t="str">
        <f t="shared" ca="1" si="4"/>
        <v/>
      </c>
    </row>
    <row r="96" spans="2:17" ht="19.350000000000001" customHeight="1">
      <c r="B96" s="552" t="s">
        <v>187</v>
      </c>
      <c r="C96" s="898"/>
      <c r="D96" s="898"/>
      <c r="E96" s="211">
        <v>164</v>
      </c>
      <c r="F96" s="166">
        <v>240</v>
      </c>
      <c r="G96" s="553" t="s">
        <v>158</v>
      </c>
      <c r="H96" s="559"/>
      <c r="I96" s="153"/>
      <c r="J96" s="268"/>
      <c r="K96" s="271" t="s">
        <v>206</v>
      </c>
      <c r="L96" s="167" t="str">
        <f>IFERROR(IF(I96="有",F96*J96*入力シート!$H$14/1000,"0"),"")</f>
        <v>0</v>
      </c>
      <c r="Q96" s="524" t="str">
        <f t="shared" ca="1" si="4"/>
        <v/>
      </c>
    </row>
    <row r="97" spans="2:17" ht="19.350000000000001" customHeight="1">
      <c r="B97" s="552" t="s">
        <v>188</v>
      </c>
      <c r="C97" s="898"/>
      <c r="D97" s="898"/>
      <c r="E97" s="211">
        <v>165</v>
      </c>
      <c r="F97" s="166">
        <v>240</v>
      </c>
      <c r="G97" s="553" t="s">
        <v>158</v>
      </c>
      <c r="H97" s="559"/>
      <c r="I97" s="153"/>
      <c r="J97" s="268"/>
      <c r="K97" s="271" t="s">
        <v>206</v>
      </c>
      <c r="L97" s="167" t="str">
        <f>IFERROR(IF(I97="有",F97*J97*入力シート!$H$14/1000,"0"),"")</f>
        <v>0</v>
      </c>
      <c r="Q97" s="524" t="str">
        <f t="shared" ca="1" si="4"/>
        <v/>
      </c>
    </row>
    <row r="98" spans="2:17" ht="19.350000000000001" customHeight="1">
      <c r="B98" s="550" t="s">
        <v>1043</v>
      </c>
      <c r="C98" s="842"/>
      <c r="D98" s="842"/>
      <c r="E98" s="80" t="s">
        <v>1068</v>
      </c>
      <c r="F98" s="51">
        <v>33</v>
      </c>
      <c r="G98" s="549" t="s">
        <v>65</v>
      </c>
      <c r="H98" s="561"/>
      <c r="I98" s="153"/>
      <c r="J98" s="268"/>
      <c r="K98" s="271" t="s">
        <v>159</v>
      </c>
      <c r="L98" s="167" t="str">
        <f>IFERROR(IF(I98="有",F98*J98*入力シート!$H$14/1000,"0"),"")</f>
        <v>0</v>
      </c>
      <c r="Q98" s="524" t="str">
        <f t="shared" ca="1" si="4"/>
        <v/>
      </c>
    </row>
    <row r="99" spans="2:17" ht="19.350000000000001" customHeight="1">
      <c r="B99" s="552" t="s">
        <v>189</v>
      </c>
      <c r="C99" s="898"/>
      <c r="D99" s="898"/>
      <c r="E99" s="211">
        <v>166</v>
      </c>
      <c r="F99" s="166">
        <v>220</v>
      </c>
      <c r="G99" s="553" t="s">
        <v>159</v>
      </c>
      <c r="H99" s="559"/>
      <c r="I99" s="153"/>
      <c r="J99" s="268"/>
      <c r="K99" s="271" t="s">
        <v>159</v>
      </c>
      <c r="L99" s="167" t="str">
        <f>IFERROR(IF(I99="有",F99*J99*入力シート!$H$14/1000,"0"),"")</f>
        <v>0</v>
      </c>
      <c r="Q99" s="524" t="str">
        <f t="shared" ca="1" si="4"/>
        <v/>
      </c>
    </row>
    <row r="100" spans="2:17" ht="19.350000000000001" customHeight="1">
      <c r="B100" s="392" t="s">
        <v>190</v>
      </c>
      <c r="C100" s="900"/>
      <c r="D100" s="900"/>
      <c r="E100" s="214">
        <v>167</v>
      </c>
      <c r="F100" s="172">
        <v>330</v>
      </c>
      <c r="G100" s="173" t="s">
        <v>159</v>
      </c>
      <c r="H100" s="174"/>
      <c r="I100" s="154"/>
      <c r="J100" s="269"/>
      <c r="K100" s="272" t="s">
        <v>159</v>
      </c>
      <c r="L100" s="167" t="str">
        <f>IFERROR(IF(I100="有",F100*J100*入力シート!$H$14/1000,"0"),"")</f>
        <v>0</v>
      </c>
      <c r="Q100" s="524" t="str">
        <f t="shared" ca="1" si="4"/>
        <v/>
      </c>
    </row>
    <row r="101" spans="2:17" ht="19.350000000000001" customHeight="1">
      <c r="C101" s="161"/>
      <c r="D101" s="161"/>
      <c r="E101" s="393"/>
      <c r="F101" s="393"/>
      <c r="G101" s="393"/>
      <c r="H101" s="393"/>
      <c r="I101" s="521"/>
      <c r="J101" s="161"/>
      <c r="K101" s="161"/>
      <c r="L101" s="204"/>
      <c r="M101" s="215"/>
    </row>
    <row r="102" spans="2:17" ht="19.350000000000001" customHeight="1">
      <c r="B102" s="928" t="str">
        <f>HYPERLINK("#'入力シート'!A109","入力シートに戻る")</f>
        <v>入力シートに戻る</v>
      </c>
      <c r="C102" s="928"/>
      <c r="D102" s="928"/>
      <c r="E102" s="928"/>
      <c r="F102" s="928"/>
      <c r="G102" s="928"/>
      <c r="H102" s="161"/>
      <c r="I102" s="517"/>
      <c r="J102" s="891" t="s">
        <v>1016</v>
      </c>
      <c r="K102" s="892"/>
      <c r="L102" s="893"/>
      <c r="M102" s="216"/>
    </row>
    <row r="103" spans="2:17" ht="22.7" customHeight="1">
      <c r="B103" s="928"/>
      <c r="C103" s="928"/>
      <c r="D103" s="928"/>
      <c r="E103" s="928"/>
      <c r="F103" s="928"/>
      <c r="G103" s="928"/>
      <c r="H103" s="161"/>
      <c r="I103" s="518"/>
      <c r="J103" s="894">
        <f>IFERROR(SUM(L69:L100),"")</f>
        <v>0</v>
      </c>
      <c r="K103" s="895"/>
      <c r="L103" s="896"/>
      <c r="M103" s="217"/>
    </row>
    <row r="104" spans="2:17">
      <c r="J104" s="897" t="s">
        <v>1014</v>
      </c>
      <c r="K104" s="897"/>
      <c r="L104" s="897"/>
    </row>
    <row r="106" spans="2:17"/>
    <row r="107" spans="2:17"/>
    <row r="108" spans="2:17"/>
    <row r="109" spans="2:17"/>
    <row r="110" spans="2:17"/>
    <row r="111" spans="2:17"/>
    <row r="112" spans="2:17"/>
  </sheetData>
  <sheetProtection algorithmName="SHA-512" hashValue="fU/XIrg20+98Y9fj+O2ClStbq/OLjD8/byMCdAHVqJDWG0HOptXmvNe9ydlCFicyfiFez/F8j4lm8YPGc57Ydg==" saltValue="/1N9ZekrcU7Lg4Tz3zbCZw==" spinCount="100000" sheet="1" objects="1" scenarios="1"/>
  <mergeCells count="157">
    <mergeCell ref="B102:G103"/>
    <mergeCell ref="J102:L102"/>
    <mergeCell ref="J103:L103"/>
    <mergeCell ref="J104:L104"/>
    <mergeCell ref="C94:D94"/>
    <mergeCell ref="C95:D95"/>
    <mergeCell ref="C96:D96"/>
    <mergeCell ref="C97:D97"/>
    <mergeCell ref="C99:D99"/>
    <mergeCell ref="C100:D100"/>
    <mergeCell ref="C98:D98"/>
    <mergeCell ref="B88:B91"/>
    <mergeCell ref="C88:D88"/>
    <mergeCell ref="C89:D89"/>
    <mergeCell ref="C90:D90"/>
    <mergeCell ref="C91:D91"/>
    <mergeCell ref="B92:B93"/>
    <mergeCell ref="C92:D92"/>
    <mergeCell ref="C93:D93"/>
    <mergeCell ref="B83:B87"/>
    <mergeCell ref="C83:D83"/>
    <mergeCell ref="C84:D84"/>
    <mergeCell ref="C85:D85"/>
    <mergeCell ref="C86:D86"/>
    <mergeCell ref="C87:D87"/>
    <mergeCell ref="C77:D77"/>
    <mergeCell ref="B78:B80"/>
    <mergeCell ref="C78:D78"/>
    <mergeCell ref="C80:D80"/>
    <mergeCell ref="B81:B82"/>
    <mergeCell ref="C81:D81"/>
    <mergeCell ref="C82:D82"/>
    <mergeCell ref="C70:D70"/>
    <mergeCell ref="J70:K70"/>
    <mergeCell ref="C72:D72"/>
    <mergeCell ref="C73:D73"/>
    <mergeCell ref="B74:B76"/>
    <mergeCell ref="C74:D74"/>
    <mergeCell ref="C75:D75"/>
    <mergeCell ref="C76:D76"/>
    <mergeCell ref="B70:B71"/>
    <mergeCell ref="C71:D71"/>
    <mergeCell ref="C79:D79"/>
    <mergeCell ref="C68:D68"/>
    <mergeCell ref="J68:K68"/>
    <mergeCell ref="C69:D69"/>
    <mergeCell ref="J69:K69"/>
    <mergeCell ref="B62:H62"/>
    <mergeCell ref="J63:L63"/>
    <mergeCell ref="B64:G64"/>
    <mergeCell ref="J64:L64"/>
    <mergeCell ref="J65:L65"/>
    <mergeCell ref="B66:D66"/>
    <mergeCell ref="C58:D58"/>
    <mergeCell ref="J58:K58"/>
    <mergeCell ref="C59:D59"/>
    <mergeCell ref="J59:K59"/>
    <mergeCell ref="C61:D61"/>
    <mergeCell ref="J61:K61"/>
    <mergeCell ref="J51:K51"/>
    <mergeCell ref="B67:D67"/>
    <mergeCell ref="J67:L67"/>
    <mergeCell ref="B49:B53"/>
    <mergeCell ref="C52:D52"/>
    <mergeCell ref="C53:D53"/>
    <mergeCell ref="H49:H53"/>
    <mergeCell ref="J52:K52"/>
    <mergeCell ref="J53:K53"/>
    <mergeCell ref="C60:D60"/>
    <mergeCell ref="J60:K60"/>
    <mergeCell ref="N47:P47"/>
    <mergeCell ref="C48:D48"/>
    <mergeCell ref="J48:K48"/>
    <mergeCell ref="C49:D49"/>
    <mergeCell ref="J49:K49"/>
    <mergeCell ref="C50:D50"/>
    <mergeCell ref="J50:K50"/>
    <mergeCell ref="C51:D51"/>
    <mergeCell ref="B46:B48"/>
    <mergeCell ref="C46:D46"/>
    <mergeCell ref="G46:G48"/>
    <mergeCell ref="H46:H48"/>
    <mergeCell ref="J46:K46"/>
    <mergeCell ref="C47:D47"/>
    <mergeCell ref="J47:K47"/>
    <mergeCell ref="C37:D37"/>
    <mergeCell ref="C39:D39"/>
    <mergeCell ref="C34:D34"/>
    <mergeCell ref="B35:B36"/>
    <mergeCell ref="C35:D35"/>
    <mergeCell ref="J35:K35"/>
    <mergeCell ref="C36:D36"/>
    <mergeCell ref="J36:K36"/>
    <mergeCell ref="C38:D38"/>
    <mergeCell ref="B37:B40"/>
    <mergeCell ref="C40:D40"/>
    <mergeCell ref="C31:D31"/>
    <mergeCell ref="B32:B33"/>
    <mergeCell ref="C32:D32"/>
    <mergeCell ref="C33:D33"/>
    <mergeCell ref="C26:D26"/>
    <mergeCell ref="C27:D27"/>
    <mergeCell ref="C28:D28"/>
    <mergeCell ref="C29:D29"/>
    <mergeCell ref="J29:K29"/>
    <mergeCell ref="C22:D22"/>
    <mergeCell ref="C23:D23"/>
    <mergeCell ref="B24:B25"/>
    <mergeCell ref="C24:D24"/>
    <mergeCell ref="G24:G25"/>
    <mergeCell ref="C25:D25"/>
    <mergeCell ref="C30:D30"/>
    <mergeCell ref="F30:G30"/>
    <mergeCell ref="J30:K30"/>
    <mergeCell ref="B26:B27"/>
    <mergeCell ref="C11:D11"/>
    <mergeCell ref="C12:D12"/>
    <mergeCell ref="C14:D14"/>
    <mergeCell ref="C15:D15"/>
    <mergeCell ref="B16:B21"/>
    <mergeCell ref="C16:D16"/>
    <mergeCell ref="C17:D17"/>
    <mergeCell ref="C18:D18"/>
    <mergeCell ref="C19:D19"/>
    <mergeCell ref="C20:D20"/>
    <mergeCell ref="C21:D21"/>
    <mergeCell ref="C7:D7"/>
    <mergeCell ref="J7:K7"/>
    <mergeCell ref="C8:D8"/>
    <mergeCell ref="J8:K8"/>
    <mergeCell ref="C9:D9"/>
    <mergeCell ref="C10:D10"/>
    <mergeCell ref="B1:B2"/>
    <mergeCell ref="B3:E3"/>
    <mergeCell ref="C4:D4"/>
    <mergeCell ref="J4:K4"/>
    <mergeCell ref="C5:D5"/>
    <mergeCell ref="G5:G8"/>
    <mergeCell ref="H5:H8"/>
    <mergeCell ref="J5:K5"/>
    <mergeCell ref="C6:D6"/>
    <mergeCell ref="J6:K6"/>
    <mergeCell ref="C41:D41"/>
    <mergeCell ref="B42:B43"/>
    <mergeCell ref="C42:D42"/>
    <mergeCell ref="J42:K42"/>
    <mergeCell ref="C43:D43"/>
    <mergeCell ref="J43:K43"/>
    <mergeCell ref="C44:D44"/>
    <mergeCell ref="C45:D45"/>
    <mergeCell ref="C57:D57"/>
    <mergeCell ref="J57:K57"/>
    <mergeCell ref="B54:B55"/>
    <mergeCell ref="C54:D54"/>
    <mergeCell ref="J54:K54"/>
    <mergeCell ref="C55:D55"/>
    <mergeCell ref="J55:K55"/>
  </mergeCells>
  <phoneticPr fontId="2"/>
  <conditionalFormatting sqref="H5:H8">
    <cfRule type="expression" dxfId="16" priority="12">
      <formula>COUNTIFS($I$5:$I$8,"有")&gt;1</formula>
    </cfRule>
  </conditionalFormatting>
  <conditionalFormatting sqref="H46:H48">
    <cfRule type="expression" dxfId="15" priority="7">
      <formula>COUNTIFS($I$46:$I$48,"有")&gt;1</formula>
    </cfRule>
  </conditionalFormatting>
  <conditionalFormatting sqref="H49">
    <cfRule type="expression" dxfId="14" priority="27">
      <formula>COUNTIFS($I$49:$I$51,"有")&gt;1</formula>
    </cfRule>
  </conditionalFormatting>
  <dataValidations count="5">
    <dataValidation type="whole" showInputMessage="1" showErrorMessage="1" error="整数で入力してください" sqref="J9:J12 J31:J34 J71:J100 J14:J28 J44:J45 J37:J41" xr:uid="{00000000-0002-0000-0800-000000000000}">
      <formula1>0</formula1>
      <formula2>999999999</formula2>
    </dataValidation>
    <dataValidation type="list" allowBlank="1" showInputMessage="1" sqref="Q14:Q55 Q5:Q12 Q57:Q61 Q69:Q100" xr:uid="{00000000-0002-0000-0800-000001000000}">
      <formula1>"　,有"</formula1>
    </dataValidation>
    <dataValidation allowBlank="1" showInputMessage="1" sqref="Q13 Q101:Q1048576 Q56 Q4 Q1:Q2 Q62:Q68" xr:uid="{00000000-0002-0000-0800-000002000000}"/>
    <dataValidation showInputMessage="1" showErrorMessage="1" sqref="K71:K100" xr:uid="{00000000-0002-0000-0800-000003000000}"/>
    <dataValidation type="list" showInputMessage="1" showErrorMessage="1" sqref="I5:I12 I69:I100 I61 I14:I29 I57:I59 I31:I55" xr:uid="{00000000-0002-0000-0800-000004000000}">
      <formula1>"　,有"</formula1>
    </dataValidation>
  </dataValidations>
  <pageMargins left="0.7" right="0.7" top="0.75" bottom="0.75" header="0.3" footer="0.3"/>
  <pageSetup paperSize="9" scale="58" orientation="portrait" r:id="rId1"/>
  <rowBreaks count="1" manualBreakCount="1">
    <brk id="65"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DEACA55D-BD45-4564-9039-9380F6DD894F}">
            <xm:f>入力シート!$S$2&gt;3</xm:f>
            <x14:dxf>
              <fill>
                <patternFill>
                  <bgColor theme="0" tint="-0.34998626667073579"/>
                </patternFill>
              </fill>
            </x14:dxf>
          </x14:cfRule>
          <xm:sqref>C40:G40 J40:L40</xm:sqref>
        </x14:conditionalFormatting>
        <x14:conditionalFormatting xmlns:xm="http://schemas.microsoft.com/office/excel/2006/main">
          <x14:cfRule type="expression" priority="5" id="{09861BAF-123A-4C91-9594-4FF15E15AFA0}">
            <xm:f>入力シート!$S$2&gt;3</xm:f>
            <x14:dxf>
              <fill>
                <patternFill>
                  <bgColor theme="0" tint="-0.34998626667073579"/>
                </patternFill>
              </fill>
            </x14:dxf>
          </x14:cfRule>
          <xm:sqref>C52:G53</xm:sqref>
        </x14:conditionalFormatting>
        <x14:conditionalFormatting xmlns:xm="http://schemas.microsoft.com/office/excel/2006/main">
          <x14:cfRule type="expression" priority="4" id="{AF460190-CF04-456D-B880-95A0911C66F3}">
            <xm:f>入力シート!$S$2&gt;3</xm:f>
            <x14:dxf>
              <fill>
                <patternFill>
                  <bgColor theme="0" tint="-0.34998626667073579"/>
                </patternFill>
              </fill>
            </x14:dxf>
          </x14:cfRule>
          <xm:sqref>J52:L53</xm:sqref>
        </x14:conditionalFormatting>
        <x14:conditionalFormatting xmlns:xm="http://schemas.microsoft.com/office/excel/2006/main">
          <x14:cfRule type="expression" priority="3" id="{24BAC586-96D6-41E8-A374-D0BBDC48B80D}">
            <xm:f>入力シート!$S$2&lt;5</xm:f>
            <x14:dxf>
              <fill>
                <patternFill>
                  <bgColor theme="0" tint="-0.34998626667073579"/>
                </patternFill>
              </fill>
            </x14:dxf>
          </x14:cfRule>
          <xm:sqref>B61:L61</xm:sqref>
        </x14:conditionalFormatting>
        <x14:conditionalFormatting xmlns:xm="http://schemas.microsoft.com/office/excel/2006/main">
          <x14:cfRule type="expression" priority="2" id="{F509B0DA-AD6C-470C-B0F4-F3DC3EF9E6E6}">
            <xm:f>入力シート!$S$2&gt;3</xm:f>
            <x14:dxf>
              <fill>
                <patternFill>
                  <bgColor theme="0" tint="-0.34998626667073579"/>
                </patternFill>
              </fill>
            </x14:dxf>
          </x14:cfRule>
          <xm:sqref>I40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800-000005000000}">
          <x14:formula1>
            <xm:f>入力シート!$C$22:$C$26</xm:f>
          </x14:formula1>
          <xm:sqref>Q3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sheetPr>
  <dimension ref="A1:BH46"/>
  <sheetViews>
    <sheetView showGridLines="0" view="pageBreakPreview" zoomScaleNormal="85" zoomScaleSheetLayoutView="100" workbookViewId="0">
      <selection activeCell="X3" sqref="X3:AE3"/>
    </sheetView>
  </sheetViews>
  <sheetFormatPr defaultColWidth="0" defaultRowHeight="18.75" zeroHeight="1"/>
  <cols>
    <col min="1" max="15" width="1.5" style="129" customWidth="1"/>
    <col min="16" max="16" width="4.125" style="129" customWidth="1"/>
    <col min="17" max="17" width="4.625" style="129" customWidth="1"/>
    <col min="18" max="18" width="1.5" style="129" customWidth="1"/>
    <col min="19" max="19" width="2" style="129" customWidth="1"/>
    <col min="20" max="49" width="1.5" style="129" customWidth="1"/>
    <col min="50" max="50" width="2.875" style="129" customWidth="1"/>
    <col min="51" max="51" width="2" style="129" customWidth="1"/>
    <col min="52" max="52" width="1.5" style="129" customWidth="1"/>
    <col min="53" max="53" width="13.125" style="138" hidden="1" customWidth="1"/>
    <col min="54" max="54" width="15.875" style="138" hidden="1" customWidth="1"/>
    <col min="55" max="55" width="10.375" style="138" hidden="1" customWidth="1"/>
    <col min="56" max="57" width="8.875" style="138" hidden="1" customWidth="1"/>
    <col min="58" max="58" width="14.875" style="138" hidden="1" customWidth="1"/>
    <col min="59" max="59" width="27.5" style="138" hidden="1" customWidth="1"/>
    <col min="60" max="16384" width="8.875" style="138" hidden="1"/>
  </cols>
  <sheetData>
    <row r="1" spans="1:58">
      <c r="A1" s="952" t="s">
        <v>996</v>
      </c>
      <c r="B1" s="953"/>
      <c r="C1" s="953"/>
      <c r="D1" s="953"/>
      <c r="E1" s="953"/>
      <c r="F1" s="953"/>
      <c r="G1" s="953"/>
      <c r="H1" s="953"/>
      <c r="I1" s="953"/>
      <c r="J1" s="953"/>
      <c r="K1" s="953"/>
      <c r="L1" s="953"/>
      <c r="M1" s="953"/>
      <c r="N1" s="953"/>
      <c r="O1" s="953"/>
      <c r="P1" s="953"/>
      <c r="Q1" s="953"/>
      <c r="R1" s="953"/>
      <c r="S1" s="953"/>
      <c r="T1" s="953"/>
      <c r="U1" s="953"/>
      <c r="V1" s="953"/>
      <c r="W1" s="953"/>
      <c r="X1" s="953"/>
      <c r="Y1" s="953"/>
      <c r="Z1" s="953"/>
      <c r="AA1" s="953"/>
      <c r="AB1" s="953"/>
      <c r="AC1" s="953"/>
      <c r="AD1" s="953"/>
      <c r="AE1" s="953"/>
      <c r="AF1" s="953"/>
      <c r="AG1" s="953"/>
      <c r="AH1" s="953"/>
      <c r="AI1" s="953"/>
      <c r="AJ1" s="953"/>
      <c r="AK1" s="953"/>
      <c r="AL1" s="953"/>
      <c r="AM1" s="953"/>
      <c r="AN1" s="953"/>
      <c r="AO1" s="953"/>
      <c r="AP1" s="953"/>
      <c r="AQ1" s="953"/>
      <c r="AR1" s="953"/>
      <c r="AS1" s="953"/>
      <c r="AT1" s="953"/>
      <c r="AU1" s="953"/>
      <c r="AV1" s="953"/>
      <c r="AW1" s="953"/>
      <c r="AX1" s="953"/>
      <c r="AY1" s="953"/>
    </row>
    <row r="2" spans="1:58">
      <c r="A2" s="953"/>
      <c r="B2" s="953"/>
      <c r="C2" s="953"/>
      <c r="D2" s="953"/>
      <c r="E2" s="953"/>
      <c r="F2" s="953"/>
      <c r="G2" s="953"/>
      <c r="H2" s="953"/>
      <c r="I2" s="953"/>
      <c r="J2" s="953"/>
      <c r="K2" s="953"/>
      <c r="L2" s="953"/>
      <c r="M2" s="953"/>
      <c r="N2" s="953"/>
      <c r="O2" s="953"/>
      <c r="P2" s="953"/>
      <c r="Q2" s="953"/>
      <c r="R2" s="953"/>
      <c r="S2" s="953"/>
      <c r="T2" s="953"/>
      <c r="U2" s="953"/>
      <c r="V2" s="953"/>
      <c r="W2" s="953"/>
      <c r="X2" s="953"/>
      <c r="Y2" s="953"/>
      <c r="Z2" s="953"/>
      <c r="AA2" s="953"/>
      <c r="AB2" s="953"/>
      <c r="AC2" s="953"/>
      <c r="AD2" s="953"/>
      <c r="AE2" s="953"/>
      <c r="AF2" s="953"/>
      <c r="AG2" s="953"/>
      <c r="AH2" s="953"/>
      <c r="AI2" s="953"/>
      <c r="AJ2" s="953"/>
      <c r="AK2" s="953"/>
      <c r="AL2" s="953"/>
      <c r="AM2" s="953"/>
      <c r="AN2" s="953"/>
      <c r="AO2" s="953"/>
      <c r="AP2" s="953"/>
      <c r="AQ2" s="953"/>
      <c r="AR2" s="953"/>
      <c r="AS2" s="953"/>
      <c r="AT2" s="953"/>
      <c r="AU2" s="953"/>
      <c r="AV2" s="953"/>
      <c r="AW2" s="953"/>
      <c r="AX2" s="953"/>
      <c r="AY2" s="953"/>
    </row>
    <row r="3" spans="1:58" ht="19.5">
      <c r="A3" s="954" t="s">
        <v>997</v>
      </c>
      <c r="B3" s="954"/>
      <c r="C3" s="954"/>
      <c r="D3" s="954"/>
      <c r="E3" s="954"/>
      <c r="F3" s="954"/>
      <c r="G3" s="954"/>
      <c r="H3" s="954"/>
      <c r="I3" s="954"/>
      <c r="J3" s="954"/>
      <c r="K3" s="954"/>
      <c r="L3" s="954"/>
      <c r="M3" s="954"/>
      <c r="N3" s="954"/>
      <c r="O3" s="954"/>
      <c r="P3" s="954"/>
      <c r="Q3" s="954"/>
      <c r="R3" s="954"/>
      <c r="S3" s="954"/>
      <c r="T3" s="954"/>
      <c r="U3" s="954"/>
      <c r="V3" s="954"/>
      <c r="W3" s="954"/>
      <c r="X3" s="955"/>
      <c r="Y3" s="955"/>
      <c r="Z3" s="955"/>
      <c r="AA3" s="955"/>
      <c r="AB3" s="955"/>
      <c r="AC3" s="955"/>
      <c r="AD3" s="955"/>
      <c r="AE3" s="955"/>
      <c r="AF3" s="956" t="s">
        <v>998</v>
      </c>
      <c r="AG3" s="956"/>
      <c r="AH3" s="956"/>
      <c r="AI3" s="956"/>
      <c r="AJ3" s="956"/>
      <c r="AK3" s="956"/>
      <c r="AL3" s="956"/>
      <c r="AM3" s="956"/>
      <c r="AN3" s="956"/>
      <c r="AO3" s="956"/>
      <c r="AP3" s="956"/>
      <c r="AQ3" s="956"/>
      <c r="AR3" s="956"/>
      <c r="AS3" s="956"/>
      <c r="AT3" s="956"/>
      <c r="AU3" s="956"/>
      <c r="AV3" s="956"/>
      <c r="AW3" s="246"/>
      <c r="AX3" s="246"/>
      <c r="AY3" s="246"/>
    </row>
    <row r="4" spans="1:58">
      <c r="A4" s="146"/>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row>
    <row r="5" spans="1:58">
      <c r="A5" s="146"/>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row>
    <row r="6" spans="1:58" ht="30" customHeight="1">
      <c r="A6" s="146"/>
      <c r="B6" s="146"/>
      <c r="C6" s="957"/>
      <c r="D6" s="957"/>
      <c r="E6" s="957"/>
      <c r="F6" s="957"/>
      <c r="G6" s="957"/>
      <c r="H6" s="957"/>
      <c r="I6" s="957"/>
      <c r="J6" s="957"/>
      <c r="K6" s="957"/>
      <c r="L6" s="957"/>
      <c r="M6" s="957"/>
      <c r="N6" s="957"/>
      <c r="O6" s="957"/>
      <c r="P6" s="146" t="s">
        <v>931</v>
      </c>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row>
    <row r="7" spans="1:58">
      <c r="A7" s="146"/>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row>
    <row r="8" spans="1:58">
      <c r="A8" s="146"/>
      <c r="B8" s="146" t="s">
        <v>928</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row>
    <row r="9" spans="1:58">
      <c r="A9" s="146"/>
      <c r="B9" s="146" t="s">
        <v>929</v>
      </c>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row>
    <row r="10" spans="1:58">
      <c r="A10" s="146"/>
      <c r="B10" s="146" t="s">
        <v>930</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row>
    <row r="11" spans="1:58" ht="5.0999999999999996" customHeight="1">
      <c r="A11" s="146"/>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BE11" s="138" t="s">
        <v>941</v>
      </c>
      <c r="BF11" s="138">
        <v>44400</v>
      </c>
    </row>
    <row r="12" spans="1:58">
      <c r="A12" s="146"/>
      <c r="B12" s="146" t="s">
        <v>1065</v>
      </c>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BE12" s="500"/>
    </row>
    <row r="13" spans="1:58">
      <c r="A13" s="146"/>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BE13" s="500" t="s">
        <v>94</v>
      </c>
      <c r="BF13" s="501">
        <v>1</v>
      </c>
    </row>
    <row r="14" spans="1:58">
      <c r="A14" s="146"/>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BE14" s="500" t="s">
        <v>60</v>
      </c>
      <c r="BF14" s="501">
        <v>2</v>
      </c>
    </row>
    <row r="15" spans="1:58">
      <c r="A15" s="146"/>
      <c r="B15" s="948" t="s">
        <v>909</v>
      </c>
      <c r="C15" s="949"/>
      <c r="D15" s="949"/>
      <c r="E15" s="949"/>
      <c r="F15" s="949"/>
      <c r="G15" s="949"/>
      <c r="H15" s="949"/>
      <c r="I15" s="949"/>
      <c r="J15" s="949"/>
      <c r="K15" s="949"/>
      <c r="L15" s="949"/>
      <c r="M15" s="949"/>
      <c r="N15" s="949"/>
      <c r="O15" s="949"/>
      <c r="P15" s="949"/>
      <c r="Q15" s="949"/>
      <c r="R15" s="949"/>
      <c r="S15" s="950" t="str">
        <f>IF(X3="A病棟",入力シート!D22,IF(X3="B病棟",入力シート!D23,IF(X3="C病棟",入力シート!D24,IF(X3="D病棟",入力シート!D25,""))))</f>
        <v/>
      </c>
      <c r="T15" s="950"/>
      <c r="U15" s="950"/>
      <c r="V15" s="950"/>
      <c r="W15" s="950"/>
      <c r="X15" s="950"/>
      <c r="Y15" s="950"/>
      <c r="Z15" s="950"/>
      <c r="AA15" s="950"/>
      <c r="AB15" s="950"/>
      <c r="AC15" s="950"/>
      <c r="AD15" s="950"/>
      <c r="AE15" s="950"/>
      <c r="AF15" s="950"/>
      <c r="AG15" s="950"/>
      <c r="AH15" s="950"/>
      <c r="AI15" s="950"/>
      <c r="AJ15" s="950"/>
      <c r="AK15" s="950"/>
      <c r="AL15" s="950"/>
      <c r="AM15" s="950"/>
      <c r="AN15" s="950"/>
      <c r="AO15" s="950"/>
      <c r="AP15" s="950"/>
      <c r="AQ15" s="950"/>
      <c r="AR15" s="950"/>
      <c r="AS15" s="950"/>
      <c r="AT15" s="950"/>
      <c r="AU15" s="950"/>
      <c r="AV15" s="950"/>
      <c r="AW15" s="950"/>
      <c r="AX15" s="951"/>
      <c r="AY15" s="146"/>
      <c r="BE15" s="502" t="s">
        <v>132</v>
      </c>
      <c r="BF15" s="501">
        <v>3</v>
      </c>
    </row>
    <row r="16" spans="1:58" ht="19.5" thickBot="1">
      <c r="A16" s="146"/>
      <c r="B16" s="958" t="s">
        <v>927</v>
      </c>
      <c r="C16" s="959"/>
      <c r="D16" s="959"/>
      <c r="E16" s="959"/>
      <c r="F16" s="959"/>
      <c r="G16" s="959"/>
      <c r="H16" s="959"/>
      <c r="I16" s="959"/>
      <c r="J16" s="959"/>
      <c r="K16" s="959"/>
      <c r="L16" s="959"/>
      <c r="M16" s="959"/>
      <c r="N16" s="959"/>
      <c r="O16" s="959"/>
      <c r="P16" s="959"/>
      <c r="Q16" s="959"/>
      <c r="R16" s="959"/>
      <c r="S16" s="960" t="str">
        <f>IF(X3="A病棟",入力シート!I22,IF(X3="B病棟",入力シート!I23,IF(X3="C病棟",入力シート!I24,IF(X3="D病棟",入力シート!I25,""))))</f>
        <v/>
      </c>
      <c r="T16" s="960"/>
      <c r="U16" s="960"/>
      <c r="V16" s="960"/>
      <c r="W16" s="960"/>
      <c r="X16" s="960"/>
      <c r="Y16" s="960"/>
      <c r="Z16" s="960"/>
      <c r="AA16" s="960"/>
      <c r="AB16" s="960"/>
      <c r="AC16" s="960"/>
      <c r="AD16" s="960"/>
      <c r="AE16" s="960"/>
      <c r="AF16" s="960"/>
      <c r="AG16" s="960"/>
      <c r="AH16" s="960"/>
      <c r="AI16" s="960"/>
      <c r="AJ16" s="960"/>
      <c r="AK16" s="960"/>
      <c r="AL16" s="960"/>
      <c r="AM16" s="960"/>
      <c r="AN16" s="960"/>
      <c r="AO16" s="960"/>
      <c r="AP16" s="960"/>
      <c r="AQ16" s="960"/>
      <c r="AR16" s="960"/>
      <c r="AS16" s="960"/>
      <c r="AT16" s="960"/>
      <c r="AU16" s="960"/>
      <c r="AV16" s="960"/>
      <c r="AW16" s="960"/>
      <c r="AX16" s="961"/>
      <c r="AY16" s="146"/>
      <c r="BA16" s="138" t="e">
        <f>VLOOKUP(S16,BE13:BF16,2,0)</f>
        <v>#N/A</v>
      </c>
      <c r="BE16" s="503" t="s">
        <v>103</v>
      </c>
      <c r="BF16" s="501">
        <v>4</v>
      </c>
    </row>
    <row r="17" spans="1:60">
      <c r="A17" s="146"/>
      <c r="B17" s="958" t="s">
        <v>925</v>
      </c>
      <c r="C17" s="959"/>
      <c r="D17" s="959"/>
      <c r="E17" s="959"/>
      <c r="F17" s="959"/>
      <c r="G17" s="959"/>
      <c r="H17" s="959"/>
      <c r="I17" s="959"/>
      <c r="J17" s="959"/>
      <c r="K17" s="959"/>
      <c r="L17" s="959"/>
      <c r="M17" s="959"/>
      <c r="N17" s="959"/>
      <c r="O17" s="959"/>
      <c r="P17" s="959"/>
      <c r="Q17" s="959"/>
      <c r="R17" s="959"/>
      <c r="S17" s="962"/>
      <c r="T17" s="962"/>
      <c r="U17" s="962"/>
      <c r="V17" s="962"/>
      <c r="W17" s="962"/>
      <c r="X17" s="962"/>
      <c r="Y17" s="962"/>
      <c r="Z17" s="962"/>
      <c r="AA17" s="962"/>
      <c r="AB17" s="962"/>
      <c r="AC17" s="962"/>
      <c r="AD17" s="962"/>
      <c r="AE17" s="962"/>
      <c r="AF17" s="962"/>
      <c r="AG17" s="962"/>
      <c r="AH17" s="962"/>
      <c r="AI17" s="962"/>
      <c r="AJ17" s="962"/>
      <c r="AK17" s="962"/>
      <c r="AL17" s="962"/>
      <c r="AM17" s="962"/>
      <c r="AN17" s="962"/>
      <c r="AO17" s="962"/>
      <c r="AP17" s="962"/>
      <c r="AQ17" s="962"/>
      <c r="AR17" s="962"/>
      <c r="AS17" s="962"/>
      <c r="AT17" s="962"/>
      <c r="AU17" s="962"/>
      <c r="AV17" s="962"/>
      <c r="AW17" s="962"/>
      <c r="AX17" s="963"/>
      <c r="AY17" s="146"/>
      <c r="BA17" s="138" t="str">
        <f>LEFT(S17,1)</f>
        <v/>
      </c>
      <c r="BB17" s="501" t="e">
        <f>BA18*0.1</f>
        <v>#VALUE!</v>
      </c>
      <c r="BC17" s="501" t="s">
        <v>854</v>
      </c>
      <c r="BD17" s="501"/>
    </row>
    <row r="18" spans="1:60">
      <c r="A18" s="146"/>
      <c r="B18" s="958" t="s">
        <v>910</v>
      </c>
      <c r="C18" s="959"/>
      <c r="D18" s="959"/>
      <c r="E18" s="959"/>
      <c r="F18" s="959"/>
      <c r="G18" s="959"/>
      <c r="H18" s="959"/>
      <c r="I18" s="959"/>
      <c r="J18" s="959"/>
      <c r="K18" s="959"/>
      <c r="L18" s="959"/>
      <c r="M18" s="959"/>
      <c r="N18" s="959"/>
      <c r="O18" s="959"/>
      <c r="P18" s="959"/>
      <c r="Q18" s="959"/>
      <c r="R18" s="959"/>
      <c r="S18" s="962"/>
      <c r="T18" s="962"/>
      <c r="U18" s="962"/>
      <c r="V18" s="962"/>
      <c r="W18" s="962"/>
      <c r="X18" s="962"/>
      <c r="Y18" s="962"/>
      <c r="Z18" s="962"/>
      <c r="AA18" s="962"/>
      <c r="AB18" s="962"/>
      <c r="AC18" s="962"/>
      <c r="AD18" s="962"/>
      <c r="AE18" s="962"/>
      <c r="AF18" s="962"/>
      <c r="AG18" s="962"/>
      <c r="AH18" s="962"/>
      <c r="AI18" s="962"/>
      <c r="AJ18" s="962"/>
      <c r="AK18" s="962"/>
      <c r="AL18" s="962"/>
      <c r="AM18" s="962"/>
      <c r="AN18" s="962"/>
      <c r="AO18" s="962"/>
      <c r="AP18" s="962"/>
      <c r="AQ18" s="962"/>
      <c r="AR18" s="962"/>
      <c r="AS18" s="962"/>
      <c r="AT18" s="962"/>
      <c r="AU18" s="962"/>
      <c r="AV18" s="962"/>
      <c r="AW18" s="962"/>
      <c r="AX18" s="963"/>
      <c r="AY18" s="146"/>
      <c r="BA18" s="138" t="str">
        <f>LEFT(S18,1)</f>
        <v/>
      </c>
      <c r="BB18" s="504" t="e">
        <f>INDEX(【入所居室のタイプ】!$F$1:$F$130,MATCH($S$15&amp;$S$16&amp;"要介護"&amp;DBCS(BA17),【入所居室のタイプ】!$H$1:$H$130,))</f>
        <v>#N/A</v>
      </c>
      <c r="BC18" s="501" t="s">
        <v>852</v>
      </c>
      <c r="BD18" s="501"/>
    </row>
    <row r="19" spans="1:60">
      <c r="A19" s="146"/>
      <c r="B19" s="958" t="s">
        <v>908</v>
      </c>
      <c r="C19" s="959"/>
      <c r="D19" s="959"/>
      <c r="E19" s="959"/>
      <c r="F19" s="959"/>
      <c r="G19" s="959"/>
      <c r="H19" s="959"/>
      <c r="I19" s="959"/>
      <c r="J19" s="959"/>
      <c r="K19" s="959"/>
      <c r="L19" s="959"/>
      <c r="M19" s="959"/>
      <c r="N19" s="959"/>
      <c r="O19" s="959"/>
      <c r="P19" s="959"/>
      <c r="Q19" s="959"/>
      <c r="R19" s="959"/>
      <c r="S19" s="962"/>
      <c r="T19" s="962"/>
      <c r="U19" s="962"/>
      <c r="V19" s="962"/>
      <c r="W19" s="962"/>
      <c r="X19" s="962"/>
      <c r="Y19" s="962"/>
      <c r="Z19" s="962"/>
      <c r="AA19" s="962"/>
      <c r="AB19" s="962"/>
      <c r="AC19" s="962"/>
      <c r="AD19" s="962"/>
      <c r="AE19" s="962"/>
      <c r="AF19" s="962"/>
      <c r="AG19" s="962"/>
      <c r="AH19" s="962"/>
      <c r="AI19" s="962"/>
      <c r="AJ19" s="962"/>
      <c r="AK19" s="962"/>
      <c r="AL19" s="962"/>
      <c r="AM19" s="962"/>
      <c r="AN19" s="962"/>
      <c r="AO19" s="962"/>
      <c r="AP19" s="962"/>
      <c r="AQ19" s="962"/>
      <c r="AR19" s="962"/>
      <c r="AS19" s="962"/>
      <c r="AT19" s="962"/>
      <c r="AU19" s="962"/>
      <c r="AV19" s="962"/>
      <c r="AW19" s="962"/>
      <c r="AX19" s="963"/>
      <c r="AY19" s="146"/>
      <c r="BA19" s="138" t="str">
        <f>MID(S19,2,1)</f>
        <v/>
      </c>
      <c r="BB19" s="501"/>
      <c r="BC19" s="501"/>
      <c r="BD19" s="501"/>
    </row>
    <row r="20" spans="1:60">
      <c r="A20" s="146"/>
      <c r="B20" s="943" t="str">
        <f ca="1">IF(BA20=0,"","第4段階の場合の利用者所得区分")</f>
        <v/>
      </c>
      <c r="C20" s="944"/>
      <c r="D20" s="944"/>
      <c r="E20" s="944"/>
      <c r="F20" s="944"/>
      <c r="G20" s="944"/>
      <c r="H20" s="944"/>
      <c r="I20" s="944"/>
      <c r="J20" s="944"/>
      <c r="K20" s="944"/>
      <c r="L20" s="944"/>
      <c r="M20" s="944"/>
      <c r="N20" s="944"/>
      <c r="O20" s="944"/>
      <c r="P20" s="944"/>
      <c r="Q20" s="944"/>
      <c r="R20" s="945"/>
      <c r="S20" s="946"/>
      <c r="T20" s="944"/>
      <c r="U20" s="944"/>
      <c r="V20" s="944"/>
      <c r="W20" s="944"/>
      <c r="X20" s="944"/>
      <c r="Y20" s="944"/>
      <c r="Z20" s="944"/>
      <c r="AA20" s="944"/>
      <c r="AB20" s="944"/>
      <c r="AC20" s="944"/>
      <c r="AD20" s="944"/>
      <c r="AE20" s="944"/>
      <c r="AF20" s="944"/>
      <c r="AG20" s="944"/>
      <c r="AH20" s="944"/>
      <c r="AI20" s="944"/>
      <c r="AJ20" s="944"/>
      <c r="AK20" s="944"/>
      <c r="AL20" s="944"/>
      <c r="AM20" s="944"/>
      <c r="AN20" s="944"/>
      <c r="AO20" s="944"/>
      <c r="AP20" s="944"/>
      <c r="AQ20" s="944"/>
      <c r="AR20" s="944"/>
      <c r="AS20" s="944"/>
      <c r="AT20" s="944"/>
      <c r="AU20" s="944"/>
      <c r="AV20" s="944"/>
      <c r="AW20" s="944"/>
      <c r="AX20" s="947"/>
      <c r="AY20" s="146"/>
      <c r="BA20" s="505">
        <f ca="1">COUNTIF(入力シート!R2, "&gt;=2021/8/1")</f>
        <v>0</v>
      </c>
      <c r="BB20" s="488" t="s">
        <v>1093</v>
      </c>
      <c r="BC20" s="501"/>
      <c r="BD20" s="501"/>
    </row>
    <row r="21" spans="1:60" ht="18" customHeight="1">
      <c r="A21" s="146"/>
      <c r="B21" s="968" t="s">
        <v>926</v>
      </c>
      <c r="C21" s="969"/>
      <c r="D21" s="969"/>
      <c r="E21" s="969"/>
      <c r="F21" s="969"/>
      <c r="G21" s="969"/>
      <c r="H21" s="969"/>
      <c r="I21" s="969"/>
      <c r="J21" s="969"/>
      <c r="K21" s="969"/>
      <c r="L21" s="969"/>
      <c r="M21" s="969"/>
      <c r="N21" s="969"/>
      <c r="O21" s="969"/>
      <c r="P21" s="969"/>
      <c r="Q21" s="969"/>
      <c r="R21" s="969"/>
      <c r="S21" s="972" t="s">
        <v>883</v>
      </c>
      <c r="T21" s="972"/>
      <c r="U21" s="972"/>
      <c r="V21" s="972"/>
      <c r="W21" s="972"/>
      <c r="X21" s="972"/>
      <c r="Y21" s="972"/>
      <c r="Z21" s="972"/>
      <c r="AA21" s="973"/>
      <c r="AB21" s="973"/>
      <c r="AC21" s="973"/>
      <c r="AD21" s="973"/>
      <c r="AE21" s="973"/>
      <c r="AF21" s="973"/>
      <c r="AG21" s="973"/>
      <c r="AH21" s="973"/>
      <c r="AI21" s="973"/>
      <c r="AJ21" s="973"/>
      <c r="AK21" s="973"/>
      <c r="AL21" s="973"/>
      <c r="AM21" s="973"/>
      <c r="AN21" s="973"/>
      <c r="AO21" s="973"/>
      <c r="AP21" s="973"/>
      <c r="AQ21" s="973"/>
      <c r="AR21" s="973"/>
      <c r="AS21" s="973"/>
      <c r="AT21" s="973"/>
      <c r="AU21" s="973"/>
      <c r="AV21" s="973"/>
      <c r="AW21" s="973"/>
      <c r="AX21" s="974"/>
      <c r="AY21" s="146"/>
      <c r="BA21" s="138">
        <f>IF(S19="第4段階",1,0)</f>
        <v>0</v>
      </c>
      <c r="BB21" s="501" t="str">
        <f>入力シート!H14</f>
        <v>手順1-1をご確認ください</v>
      </c>
      <c r="BC21" s="501" t="s">
        <v>853</v>
      </c>
      <c r="BD21" s="501"/>
    </row>
    <row r="22" spans="1:60">
      <c r="A22" s="146"/>
      <c r="B22" s="970"/>
      <c r="C22" s="971"/>
      <c r="D22" s="971"/>
      <c r="E22" s="971"/>
      <c r="F22" s="971"/>
      <c r="G22" s="971"/>
      <c r="H22" s="971"/>
      <c r="I22" s="971"/>
      <c r="J22" s="971"/>
      <c r="K22" s="971"/>
      <c r="L22" s="971"/>
      <c r="M22" s="971"/>
      <c r="N22" s="971"/>
      <c r="O22" s="971"/>
      <c r="P22" s="971"/>
      <c r="Q22" s="971"/>
      <c r="R22" s="971"/>
      <c r="S22" s="975" t="s">
        <v>618</v>
      </c>
      <c r="T22" s="975"/>
      <c r="U22" s="975"/>
      <c r="V22" s="975"/>
      <c r="W22" s="975"/>
      <c r="X22" s="975"/>
      <c r="Y22" s="975"/>
      <c r="Z22" s="975"/>
      <c r="AA22" s="976"/>
      <c r="AB22" s="976"/>
      <c r="AC22" s="976"/>
      <c r="AD22" s="976"/>
      <c r="AE22" s="976"/>
      <c r="AF22" s="976"/>
      <c r="AG22" s="976"/>
      <c r="AH22" s="976"/>
      <c r="AI22" s="976"/>
      <c r="AJ22" s="976"/>
      <c r="AK22" s="976"/>
      <c r="AL22" s="976"/>
      <c r="AM22" s="976"/>
      <c r="AN22" s="976"/>
      <c r="AO22" s="976"/>
      <c r="AP22" s="976"/>
      <c r="AQ22" s="976"/>
      <c r="AR22" s="976"/>
      <c r="AS22" s="976"/>
      <c r="AT22" s="976"/>
      <c r="AU22" s="976"/>
      <c r="AV22" s="976"/>
      <c r="AW22" s="976"/>
      <c r="AX22" s="977"/>
      <c r="AY22" s="146"/>
    </row>
    <row r="23" spans="1:60">
      <c r="A23" s="146"/>
      <c r="B23" s="147"/>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6"/>
      <c r="BB23" s="506" t="e">
        <f>BB18*30*BB21</f>
        <v>#N/A</v>
      </c>
      <c r="BC23" s="138" t="s">
        <v>934</v>
      </c>
      <c r="BG23" s="138" t="s">
        <v>933</v>
      </c>
      <c r="BH23" s="138" t="s">
        <v>947</v>
      </c>
    </row>
    <row r="24" spans="1:60">
      <c r="A24" s="146"/>
      <c r="B24" s="978"/>
      <c r="C24" s="978"/>
      <c r="D24" s="978"/>
      <c r="E24" s="978"/>
      <c r="F24" s="978"/>
      <c r="G24" s="978"/>
      <c r="H24" s="978"/>
      <c r="I24" s="978"/>
      <c r="J24" s="978"/>
      <c r="K24" s="978"/>
      <c r="L24" s="978"/>
      <c r="M24" s="978"/>
      <c r="N24" s="978"/>
      <c r="O24" s="978"/>
      <c r="P24" s="978"/>
      <c r="Q24" s="978"/>
      <c r="R24" s="978"/>
      <c r="S24" s="978"/>
      <c r="T24" s="978"/>
      <c r="U24" s="978"/>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6"/>
      <c r="BB24" s="506" t="e">
        <f>VLOOKUP(X3,BF24:BG27,2,0)*30</f>
        <v>#N/A</v>
      </c>
      <c r="BC24" s="138" t="s">
        <v>935</v>
      </c>
      <c r="BF24" s="138" t="s">
        <v>999</v>
      </c>
      <c r="BG24" s="507">
        <f>IFERROR((入力シート!P51)*1000/入力シート!O45,0)</f>
        <v>0</v>
      </c>
      <c r="BH24" s="508">
        <f>入力シート!G50</f>
        <v>0</v>
      </c>
    </row>
    <row r="25" spans="1:60" s="509" customFormat="1" ht="24.75">
      <c r="A25" s="148"/>
      <c r="B25" s="979"/>
      <c r="C25" s="980"/>
      <c r="D25" s="980"/>
      <c r="E25" s="980"/>
      <c r="F25" s="980"/>
      <c r="G25" s="980"/>
      <c r="H25" s="980"/>
      <c r="I25" s="980"/>
      <c r="J25" s="980"/>
      <c r="K25" s="980"/>
      <c r="L25" s="980"/>
      <c r="M25" s="980"/>
      <c r="N25" s="980"/>
      <c r="O25" s="980"/>
      <c r="P25" s="980"/>
      <c r="Q25" s="980"/>
      <c r="R25" s="980"/>
      <c r="S25" s="980"/>
      <c r="T25" s="980"/>
      <c r="U25" s="949" t="s">
        <v>889</v>
      </c>
      <c r="V25" s="949"/>
      <c r="W25" s="949"/>
      <c r="X25" s="949"/>
      <c r="Y25" s="949"/>
      <c r="Z25" s="949"/>
      <c r="AA25" s="949"/>
      <c r="AB25" s="949"/>
      <c r="AC25" s="949"/>
      <c r="AD25" s="949"/>
      <c r="AE25" s="949" t="s">
        <v>890</v>
      </c>
      <c r="AF25" s="949"/>
      <c r="AG25" s="949"/>
      <c r="AH25" s="949"/>
      <c r="AI25" s="949"/>
      <c r="AJ25" s="949"/>
      <c r="AK25" s="949"/>
      <c r="AL25" s="949"/>
      <c r="AM25" s="949"/>
      <c r="AN25" s="949"/>
      <c r="AO25" s="949" t="s">
        <v>891</v>
      </c>
      <c r="AP25" s="949"/>
      <c r="AQ25" s="949"/>
      <c r="AR25" s="949"/>
      <c r="AS25" s="949"/>
      <c r="AT25" s="949"/>
      <c r="AU25" s="949"/>
      <c r="AV25" s="949"/>
      <c r="AW25" s="949"/>
      <c r="AX25" s="981"/>
      <c r="AY25" s="148"/>
      <c r="AZ25" s="149"/>
      <c r="BB25" s="506" t="e">
        <f>(BB23+BB24)*BB17</f>
        <v>#N/A</v>
      </c>
      <c r="BC25" s="138" t="s">
        <v>937</v>
      </c>
      <c r="BD25" s="138"/>
      <c r="BE25" s="138"/>
      <c r="BF25" s="138" t="s">
        <v>1000</v>
      </c>
      <c r="BG25" s="507">
        <f>IFERROR((入力シート!P74)*1000/入力シート!O68,0)</f>
        <v>0</v>
      </c>
      <c r="BH25" s="508">
        <f>入力シート!G73</f>
        <v>0</v>
      </c>
    </row>
    <row r="26" spans="1:60" ht="18.95" customHeight="1">
      <c r="A26" s="146"/>
      <c r="B26" s="958" t="s">
        <v>932</v>
      </c>
      <c r="C26" s="959"/>
      <c r="D26" s="959"/>
      <c r="E26" s="959"/>
      <c r="F26" s="959"/>
      <c r="G26" s="959"/>
      <c r="H26" s="959"/>
      <c r="I26" s="959"/>
      <c r="J26" s="959"/>
      <c r="K26" s="959"/>
      <c r="L26" s="959"/>
      <c r="M26" s="959"/>
      <c r="N26" s="959"/>
      <c r="O26" s="959"/>
      <c r="P26" s="959"/>
      <c r="Q26" s="959"/>
      <c r="R26" s="959"/>
      <c r="S26" s="959"/>
      <c r="T26" s="959"/>
      <c r="U26" s="964"/>
      <c r="V26" s="964"/>
      <c r="W26" s="964"/>
      <c r="X26" s="964"/>
      <c r="Y26" s="964"/>
      <c r="Z26" s="964"/>
      <c r="AA26" s="964"/>
      <c r="AB26" s="964"/>
      <c r="AC26" s="964"/>
      <c r="AD26" s="964"/>
      <c r="AE26" s="965" t="str">
        <f ca="1">IFERROR(IF(BB25&gt;BB27,BB27,BB25),"選択エラー(上から3行目を確認)")</f>
        <v>選択エラー(上から3行目を確認)</v>
      </c>
      <c r="AF26" s="965"/>
      <c r="AG26" s="965"/>
      <c r="AH26" s="965"/>
      <c r="AI26" s="965"/>
      <c r="AJ26" s="965"/>
      <c r="AK26" s="965"/>
      <c r="AL26" s="965"/>
      <c r="AM26" s="965"/>
      <c r="AN26" s="965"/>
      <c r="AO26" s="966" t="str">
        <f ca="1">IFERROR(AE26-U26,"")</f>
        <v/>
      </c>
      <c r="AP26" s="966"/>
      <c r="AQ26" s="966"/>
      <c r="AR26" s="966"/>
      <c r="AS26" s="966"/>
      <c r="AT26" s="966"/>
      <c r="AU26" s="966"/>
      <c r="AV26" s="966"/>
      <c r="AW26" s="966"/>
      <c r="AX26" s="967"/>
      <c r="AY26" s="146"/>
      <c r="BF26" s="138" t="s">
        <v>1001</v>
      </c>
      <c r="BG26" s="507">
        <f>IFERROR((入力シート!P97)*1000/入力シート!O91,0)</f>
        <v>0</v>
      </c>
      <c r="BH26" s="508">
        <f>入力シート!G96</f>
        <v>0</v>
      </c>
    </row>
    <row r="27" spans="1:60">
      <c r="A27" s="146"/>
      <c r="B27" s="958" t="s">
        <v>883</v>
      </c>
      <c r="C27" s="959"/>
      <c r="D27" s="959"/>
      <c r="E27" s="959"/>
      <c r="F27" s="959"/>
      <c r="G27" s="959"/>
      <c r="H27" s="959"/>
      <c r="I27" s="959"/>
      <c r="J27" s="959"/>
      <c r="K27" s="959"/>
      <c r="L27" s="959"/>
      <c r="M27" s="959"/>
      <c r="N27" s="959"/>
      <c r="O27" s="959"/>
      <c r="P27" s="959"/>
      <c r="Q27" s="959"/>
      <c r="R27" s="959"/>
      <c r="S27" s="959"/>
      <c r="T27" s="959"/>
      <c r="U27" s="964"/>
      <c r="V27" s="964"/>
      <c r="W27" s="964"/>
      <c r="X27" s="964"/>
      <c r="Y27" s="964"/>
      <c r="Z27" s="964"/>
      <c r="AA27" s="964"/>
      <c r="AB27" s="964"/>
      <c r="AC27" s="964"/>
      <c r="AD27" s="964"/>
      <c r="AE27" s="965" t="str">
        <f>IFERROR(IF(S19="第4段階",IF(AA21="",BB28,AA21*30),BB28),"選択エラー(上から3行目を確認)")</f>
        <v>選択エラー(上から3行目を確認)</v>
      </c>
      <c r="AF27" s="965"/>
      <c r="AG27" s="965"/>
      <c r="AH27" s="965"/>
      <c r="AI27" s="965"/>
      <c r="AJ27" s="965"/>
      <c r="AK27" s="965"/>
      <c r="AL27" s="965"/>
      <c r="AM27" s="965"/>
      <c r="AN27" s="965"/>
      <c r="AO27" s="966" t="str">
        <f>IFERROR(AE27-U27,"")</f>
        <v/>
      </c>
      <c r="AP27" s="966"/>
      <c r="AQ27" s="966"/>
      <c r="AR27" s="966"/>
      <c r="AS27" s="966"/>
      <c r="AT27" s="966"/>
      <c r="AU27" s="966"/>
      <c r="AV27" s="966"/>
      <c r="AW27" s="966"/>
      <c r="AX27" s="967"/>
      <c r="AY27" s="146"/>
      <c r="BB27" s="506" t="e">
        <f ca="1">IF(OR(BA21=0,BA20=0),VLOOKUP(S19,【食費居住費】!B24:C28,2,0),VLOOKUP(S20,【食費居住費】!B30:C32,2,0))</f>
        <v>#N/A</v>
      </c>
      <c r="BC27" s="138" t="s">
        <v>938</v>
      </c>
      <c r="BF27" s="138" t="s">
        <v>1002</v>
      </c>
      <c r="BG27" s="507">
        <f>IFERROR((入力シート!P120)*1000/入力シート!O114,0)</f>
        <v>0</v>
      </c>
      <c r="BH27" s="508">
        <f>入力シート!G119</f>
        <v>0</v>
      </c>
    </row>
    <row r="28" spans="1:60">
      <c r="A28" s="146"/>
      <c r="B28" s="958" t="s">
        <v>618</v>
      </c>
      <c r="C28" s="959"/>
      <c r="D28" s="959"/>
      <c r="E28" s="959"/>
      <c r="F28" s="959"/>
      <c r="G28" s="959"/>
      <c r="H28" s="959"/>
      <c r="I28" s="959"/>
      <c r="J28" s="959"/>
      <c r="K28" s="959"/>
      <c r="L28" s="959"/>
      <c r="M28" s="959"/>
      <c r="N28" s="959"/>
      <c r="O28" s="959"/>
      <c r="P28" s="959"/>
      <c r="Q28" s="959"/>
      <c r="R28" s="959"/>
      <c r="S28" s="959"/>
      <c r="T28" s="959"/>
      <c r="U28" s="964"/>
      <c r="V28" s="964"/>
      <c r="W28" s="964"/>
      <c r="X28" s="964"/>
      <c r="Y28" s="964"/>
      <c r="Z28" s="964"/>
      <c r="AA28" s="964"/>
      <c r="AB28" s="964"/>
      <c r="AC28" s="964"/>
      <c r="AD28" s="964"/>
      <c r="AE28" s="982" t="str">
        <f>IFERROR(IF(S22="第4段階",IF(AA22="",BB29,AA22*30),BB29),"選択エラー")</f>
        <v>選択エラー</v>
      </c>
      <c r="AF28" s="982"/>
      <c r="AG28" s="982"/>
      <c r="AH28" s="982"/>
      <c r="AI28" s="982"/>
      <c r="AJ28" s="982"/>
      <c r="AK28" s="982"/>
      <c r="AL28" s="982"/>
      <c r="AM28" s="982"/>
      <c r="AN28" s="982"/>
      <c r="AO28" s="966" t="str">
        <f>IFERROR(AE28-U28,"")</f>
        <v/>
      </c>
      <c r="AP28" s="966"/>
      <c r="AQ28" s="966"/>
      <c r="AR28" s="966"/>
      <c r="AS28" s="966"/>
      <c r="AT28" s="966"/>
      <c r="AU28" s="966"/>
      <c r="AV28" s="966"/>
      <c r="AW28" s="966"/>
      <c r="AX28" s="967"/>
      <c r="AY28" s="146"/>
      <c r="BB28" s="138" t="e">
        <f>INDEX(【食費居住費】!D11:G15,BA19,利用者負担計算シート!BA16)*30</f>
        <v>#VALUE!</v>
      </c>
      <c r="BC28" s="138" t="s">
        <v>946</v>
      </c>
    </row>
    <row r="29" spans="1:60">
      <c r="A29" s="146"/>
      <c r="B29" s="958" t="s">
        <v>888</v>
      </c>
      <c r="C29" s="959"/>
      <c r="D29" s="959"/>
      <c r="E29" s="959"/>
      <c r="F29" s="959"/>
      <c r="G29" s="959"/>
      <c r="H29" s="959"/>
      <c r="I29" s="959"/>
      <c r="J29" s="959"/>
      <c r="K29" s="959"/>
      <c r="L29" s="959"/>
      <c r="M29" s="959"/>
      <c r="N29" s="959"/>
      <c r="O29" s="959"/>
      <c r="P29" s="959"/>
      <c r="Q29" s="959"/>
      <c r="R29" s="959"/>
      <c r="S29" s="959"/>
      <c r="T29" s="959"/>
      <c r="U29" s="964"/>
      <c r="V29" s="964"/>
      <c r="W29" s="964"/>
      <c r="X29" s="964"/>
      <c r="Y29" s="964"/>
      <c r="Z29" s="964"/>
      <c r="AA29" s="964"/>
      <c r="AB29" s="964"/>
      <c r="AC29" s="964"/>
      <c r="AD29" s="964"/>
      <c r="AE29" s="965" t="str">
        <f>IFERROR(VLOOKUP(X3,BF24:BH27,3,0)*30,"選択エラー(上から3行目を確認)")</f>
        <v>選択エラー(上から3行目を確認)</v>
      </c>
      <c r="AF29" s="965"/>
      <c r="AG29" s="965"/>
      <c r="AH29" s="965"/>
      <c r="AI29" s="965"/>
      <c r="AJ29" s="965"/>
      <c r="AK29" s="965"/>
      <c r="AL29" s="965"/>
      <c r="AM29" s="965"/>
      <c r="AN29" s="965"/>
      <c r="AO29" s="966" t="str">
        <f>IFERROR(AE29-U29,"")</f>
        <v/>
      </c>
      <c r="AP29" s="966"/>
      <c r="AQ29" s="966"/>
      <c r="AR29" s="966"/>
      <c r="AS29" s="966"/>
      <c r="AT29" s="966"/>
      <c r="AU29" s="966"/>
      <c r="AV29" s="966"/>
      <c r="AW29" s="966"/>
      <c r="AX29" s="967"/>
      <c r="AY29" s="146"/>
      <c r="BB29" s="138" t="e">
        <f>VLOOKUP(S19,【食費居住費】!B9:C15,2,0)*30</f>
        <v>#N/A</v>
      </c>
      <c r="BC29" s="138" t="s">
        <v>945</v>
      </c>
    </row>
    <row r="30" spans="1:60">
      <c r="A30" s="146"/>
      <c r="B30" s="983" t="s">
        <v>61</v>
      </c>
      <c r="C30" s="984"/>
      <c r="D30" s="984"/>
      <c r="E30" s="984"/>
      <c r="F30" s="984"/>
      <c r="G30" s="984"/>
      <c r="H30" s="984"/>
      <c r="I30" s="984"/>
      <c r="J30" s="984"/>
      <c r="K30" s="984"/>
      <c r="L30" s="984"/>
      <c r="M30" s="984"/>
      <c r="N30" s="984"/>
      <c r="O30" s="984"/>
      <c r="P30" s="984"/>
      <c r="Q30" s="984"/>
      <c r="R30" s="984"/>
      <c r="S30" s="984"/>
      <c r="T30" s="984"/>
      <c r="U30" s="985">
        <f>SUM(U26:AD29)</f>
        <v>0</v>
      </c>
      <c r="V30" s="985"/>
      <c r="W30" s="985"/>
      <c r="X30" s="985"/>
      <c r="Y30" s="985"/>
      <c r="Z30" s="985"/>
      <c r="AA30" s="985"/>
      <c r="AB30" s="985"/>
      <c r="AC30" s="985"/>
      <c r="AD30" s="985"/>
      <c r="AE30" s="985">
        <f ca="1">SUM(AE26:AN29)</f>
        <v>0</v>
      </c>
      <c r="AF30" s="985"/>
      <c r="AG30" s="985"/>
      <c r="AH30" s="985"/>
      <c r="AI30" s="985"/>
      <c r="AJ30" s="985"/>
      <c r="AK30" s="985"/>
      <c r="AL30" s="985"/>
      <c r="AM30" s="985"/>
      <c r="AN30" s="985"/>
      <c r="AO30" s="985">
        <f ca="1">SUM(AO26:AX29)</f>
        <v>0</v>
      </c>
      <c r="AP30" s="985"/>
      <c r="AQ30" s="985"/>
      <c r="AR30" s="985"/>
      <c r="AS30" s="985"/>
      <c r="AT30" s="985"/>
      <c r="AU30" s="985"/>
      <c r="AV30" s="985"/>
      <c r="AW30" s="985"/>
      <c r="AX30" s="986"/>
      <c r="AY30" s="146"/>
    </row>
    <row r="31" spans="1:60">
      <c r="A31" s="146"/>
      <c r="B31" s="146" t="s">
        <v>936</v>
      </c>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row>
    <row r="32" spans="1:60" ht="17.45" customHeight="1">
      <c r="A32" s="150"/>
      <c r="B32" s="989" t="s">
        <v>960</v>
      </c>
      <c r="C32" s="989"/>
      <c r="D32" s="989"/>
      <c r="E32" s="989"/>
      <c r="F32" s="989"/>
      <c r="G32" s="989"/>
      <c r="H32" s="989"/>
      <c r="I32" s="989"/>
      <c r="J32" s="989"/>
      <c r="K32" s="989"/>
      <c r="L32" s="989"/>
      <c r="M32" s="989"/>
      <c r="N32" s="989"/>
      <c r="O32" s="989"/>
      <c r="P32" s="989"/>
      <c r="Q32" s="989"/>
      <c r="R32" s="989"/>
      <c r="S32" s="989"/>
      <c r="T32" s="989"/>
      <c r="U32" s="989"/>
      <c r="V32" s="989"/>
      <c r="W32" s="989"/>
      <c r="X32" s="989"/>
      <c r="Y32" s="989"/>
      <c r="Z32" s="989"/>
      <c r="AA32" s="989"/>
      <c r="AB32" s="989"/>
      <c r="AC32" s="989"/>
      <c r="AD32" s="989"/>
      <c r="AE32" s="989"/>
      <c r="AF32" s="989"/>
      <c r="AG32" s="989"/>
      <c r="AH32" s="989"/>
      <c r="AI32" s="989"/>
      <c r="AJ32" s="989"/>
      <c r="AK32" s="989"/>
      <c r="AL32" s="989"/>
      <c r="AM32" s="989"/>
      <c r="AN32" s="989"/>
      <c r="AO32" s="989"/>
      <c r="AP32" s="989"/>
      <c r="AQ32" s="989"/>
      <c r="AR32" s="989"/>
      <c r="AS32" s="989"/>
      <c r="AT32" s="989"/>
      <c r="AU32" s="989"/>
      <c r="AV32" s="989"/>
      <c r="AW32" s="989"/>
      <c r="AX32" s="989"/>
      <c r="AY32" s="150"/>
    </row>
    <row r="33" spans="1:51">
      <c r="A33" s="150"/>
      <c r="B33" s="989"/>
      <c r="C33" s="989"/>
      <c r="D33" s="989"/>
      <c r="E33" s="989"/>
      <c r="F33" s="989"/>
      <c r="G33" s="989"/>
      <c r="H33" s="989"/>
      <c r="I33" s="989"/>
      <c r="J33" s="989"/>
      <c r="K33" s="989"/>
      <c r="L33" s="989"/>
      <c r="M33" s="989"/>
      <c r="N33" s="989"/>
      <c r="O33" s="989"/>
      <c r="P33" s="989"/>
      <c r="Q33" s="989"/>
      <c r="R33" s="989"/>
      <c r="S33" s="989"/>
      <c r="T33" s="989"/>
      <c r="U33" s="989"/>
      <c r="V33" s="989"/>
      <c r="W33" s="989"/>
      <c r="X33" s="989"/>
      <c r="Y33" s="989"/>
      <c r="Z33" s="989"/>
      <c r="AA33" s="989"/>
      <c r="AB33" s="989"/>
      <c r="AC33" s="989"/>
      <c r="AD33" s="989"/>
      <c r="AE33" s="989"/>
      <c r="AF33" s="989"/>
      <c r="AG33" s="989"/>
      <c r="AH33" s="989"/>
      <c r="AI33" s="989"/>
      <c r="AJ33" s="989"/>
      <c r="AK33" s="989"/>
      <c r="AL33" s="989"/>
      <c r="AM33" s="989"/>
      <c r="AN33" s="989"/>
      <c r="AO33" s="989"/>
      <c r="AP33" s="989"/>
      <c r="AQ33" s="989"/>
      <c r="AR33" s="989"/>
      <c r="AS33" s="989"/>
      <c r="AT33" s="989"/>
      <c r="AU33" s="989"/>
      <c r="AV33" s="989"/>
      <c r="AW33" s="989"/>
      <c r="AX33" s="989"/>
      <c r="AY33" s="150"/>
    </row>
    <row r="34" spans="1:51" ht="24.6" customHeight="1">
      <c r="A34" s="150"/>
      <c r="B34" s="989"/>
      <c r="C34" s="989"/>
      <c r="D34" s="989"/>
      <c r="E34" s="989"/>
      <c r="F34" s="989"/>
      <c r="G34" s="989"/>
      <c r="H34" s="989"/>
      <c r="I34" s="989"/>
      <c r="J34" s="989"/>
      <c r="K34" s="989"/>
      <c r="L34" s="989"/>
      <c r="M34" s="989"/>
      <c r="N34" s="989"/>
      <c r="O34" s="989"/>
      <c r="P34" s="989"/>
      <c r="Q34" s="989"/>
      <c r="R34" s="989"/>
      <c r="S34" s="989"/>
      <c r="T34" s="989"/>
      <c r="U34" s="989"/>
      <c r="V34" s="989"/>
      <c r="W34" s="989"/>
      <c r="X34" s="989"/>
      <c r="Y34" s="989"/>
      <c r="Z34" s="989"/>
      <c r="AA34" s="989"/>
      <c r="AB34" s="989"/>
      <c r="AC34" s="989"/>
      <c r="AD34" s="989"/>
      <c r="AE34" s="989"/>
      <c r="AF34" s="989"/>
      <c r="AG34" s="989"/>
      <c r="AH34" s="989"/>
      <c r="AI34" s="989"/>
      <c r="AJ34" s="989"/>
      <c r="AK34" s="989"/>
      <c r="AL34" s="989"/>
      <c r="AM34" s="989"/>
      <c r="AN34" s="989"/>
      <c r="AO34" s="989"/>
      <c r="AP34" s="989"/>
      <c r="AQ34" s="989"/>
      <c r="AR34" s="989"/>
      <c r="AS34" s="989"/>
      <c r="AT34" s="989"/>
      <c r="AU34" s="989"/>
      <c r="AV34" s="989"/>
      <c r="AW34" s="989"/>
      <c r="AX34" s="989"/>
      <c r="AY34" s="150"/>
    </row>
    <row r="35" spans="1:51">
      <c r="A35" s="150"/>
      <c r="B35" s="378"/>
      <c r="C35" s="378"/>
      <c r="D35" s="378"/>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150"/>
    </row>
    <row r="36" spans="1:51">
      <c r="A36" s="146"/>
      <c r="B36" s="990" t="s">
        <v>948</v>
      </c>
      <c r="C36" s="990"/>
      <c r="D36" s="990"/>
      <c r="E36" s="990"/>
      <c r="F36" s="990"/>
      <c r="G36" s="990"/>
      <c r="H36" s="990"/>
      <c r="I36" s="990"/>
      <c r="J36" s="990"/>
      <c r="K36" s="990"/>
      <c r="L36" s="990"/>
      <c r="M36" s="990"/>
      <c r="N36" s="990"/>
      <c r="O36" s="990"/>
      <c r="P36" s="990"/>
      <c r="Q36" s="990"/>
      <c r="R36" s="990"/>
      <c r="S36" s="990"/>
      <c r="T36" s="990"/>
      <c r="U36" s="990"/>
      <c r="V36" s="990"/>
      <c r="W36" s="990"/>
      <c r="X36" s="990"/>
      <c r="Y36" s="990"/>
      <c r="Z36" s="990"/>
      <c r="AA36" s="990"/>
      <c r="AB36" s="990"/>
      <c r="AC36" s="151"/>
      <c r="AD36" s="151"/>
      <c r="AE36" s="151"/>
      <c r="AF36" s="151"/>
      <c r="AG36" s="151"/>
      <c r="AH36" s="151"/>
      <c r="AI36" s="151"/>
      <c r="AJ36" s="151"/>
      <c r="AK36" s="151"/>
      <c r="AL36" s="151"/>
      <c r="AM36" s="151"/>
      <c r="AN36" s="151"/>
      <c r="AO36" s="151"/>
      <c r="AP36" s="151"/>
      <c r="AQ36" s="151"/>
      <c r="AR36" s="151"/>
      <c r="AS36" s="151"/>
      <c r="AT36" s="151"/>
      <c r="AU36" s="146"/>
      <c r="AV36" s="146"/>
    </row>
    <row r="37" spans="1:51">
      <c r="A37" s="146"/>
      <c r="B37" s="991" t="s">
        <v>949</v>
      </c>
      <c r="C37" s="991"/>
      <c r="D37" s="991"/>
      <c r="E37" s="991"/>
      <c r="F37" s="991"/>
      <c r="G37" s="991"/>
      <c r="H37" s="991"/>
      <c r="I37" s="991"/>
      <c r="J37" s="991"/>
      <c r="K37" s="991"/>
      <c r="L37" s="991"/>
      <c r="M37" s="991"/>
      <c r="N37" s="991"/>
      <c r="O37" s="992" t="str">
        <f>IF(入力シート!D9="","",入力シート!D9)</f>
        <v/>
      </c>
      <c r="P37" s="992"/>
      <c r="Q37" s="992"/>
      <c r="R37" s="992"/>
      <c r="S37" s="992"/>
      <c r="T37" s="992"/>
      <c r="U37" s="992"/>
      <c r="V37" s="992"/>
      <c r="W37" s="992"/>
      <c r="X37" s="992"/>
      <c r="Y37" s="992"/>
      <c r="Z37" s="992"/>
      <c r="AA37" s="992"/>
      <c r="AB37" s="992"/>
      <c r="AC37" s="151"/>
      <c r="AD37" s="151"/>
      <c r="AE37" s="151"/>
      <c r="AF37" s="151"/>
      <c r="AG37" s="151"/>
      <c r="AH37" s="151"/>
      <c r="AI37" s="151"/>
      <c r="AJ37" s="151"/>
      <c r="AK37" s="151"/>
      <c r="AL37" s="151"/>
      <c r="AM37" s="151"/>
      <c r="AN37" s="151"/>
      <c r="AO37" s="151"/>
      <c r="AP37" s="151"/>
      <c r="AQ37" s="151"/>
      <c r="AR37" s="151"/>
      <c r="AS37" s="151"/>
      <c r="AT37" s="151"/>
      <c r="AU37" s="146"/>
      <c r="AV37" s="146"/>
    </row>
    <row r="38" spans="1:51">
      <c r="A38" s="146"/>
      <c r="B38" s="991" t="s">
        <v>995</v>
      </c>
      <c r="C38" s="991"/>
      <c r="D38" s="991"/>
      <c r="E38" s="991"/>
      <c r="F38" s="991"/>
      <c r="G38" s="991"/>
      <c r="H38" s="991"/>
      <c r="I38" s="991"/>
      <c r="J38" s="991"/>
      <c r="K38" s="991"/>
      <c r="L38" s="991"/>
      <c r="M38" s="991"/>
      <c r="N38" s="991"/>
      <c r="O38" s="992" t="str">
        <f>IF(入力シート!H9="","",入力シート!H9)</f>
        <v/>
      </c>
      <c r="P38" s="992"/>
      <c r="Q38" s="992"/>
      <c r="R38" s="992"/>
      <c r="S38" s="992"/>
      <c r="T38" s="992"/>
      <c r="U38" s="992"/>
      <c r="V38" s="992"/>
      <c r="W38" s="992"/>
      <c r="X38" s="992"/>
      <c r="Y38" s="992"/>
      <c r="Z38" s="992"/>
      <c r="AA38" s="992"/>
      <c r="AB38" s="992"/>
      <c r="AC38" s="151"/>
      <c r="AD38" s="151"/>
      <c r="AE38" s="151"/>
      <c r="AF38" s="151"/>
      <c r="AG38" s="151"/>
      <c r="AH38" s="151"/>
      <c r="AI38" s="151"/>
      <c r="AJ38" s="151"/>
      <c r="AK38" s="151"/>
      <c r="AL38" s="151"/>
      <c r="AM38" s="151"/>
      <c r="AN38" s="151"/>
      <c r="AO38" s="151"/>
      <c r="AP38" s="151"/>
      <c r="AQ38" s="151"/>
      <c r="AR38" s="151"/>
      <c r="AS38" s="151"/>
      <c r="AT38" s="151"/>
      <c r="AU38" s="146"/>
      <c r="AV38" s="146"/>
    </row>
    <row r="39" spans="1:51">
      <c r="A39" s="146"/>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46"/>
      <c r="AY39" s="146"/>
    </row>
    <row r="40" spans="1:51">
      <c r="A40" s="987" t="str">
        <f>HYPERLINK("#'入力シート'!A4","入力シートに戻る")</f>
        <v>入力シートに戻る</v>
      </c>
      <c r="B40" s="988"/>
      <c r="C40" s="988"/>
      <c r="D40" s="988"/>
      <c r="E40" s="988"/>
      <c r="F40" s="988"/>
      <c r="G40" s="988"/>
      <c r="H40" s="988"/>
      <c r="I40" s="988"/>
      <c r="J40" s="988"/>
      <c r="K40" s="988"/>
      <c r="L40" s="988"/>
      <c r="M40" s="988"/>
      <c r="N40" s="988"/>
      <c r="O40" s="988"/>
      <c r="P40" s="988"/>
      <c r="Q40" s="988"/>
      <c r="R40" s="988"/>
      <c r="S40" s="988"/>
      <c r="T40" s="988"/>
      <c r="U40" s="988"/>
      <c r="V40" s="988"/>
      <c r="W40" s="988"/>
      <c r="X40" s="988"/>
      <c r="Y40" s="988"/>
      <c r="Z40" s="988"/>
      <c r="AA40" s="988"/>
      <c r="AB40" s="988"/>
      <c r="AC40" s="988"/>
      <c r="AD40" s="988"/>
      <c r="AE40" s="988"/>
      <c r="AF40" s="988"/>
      <c r="AG40" s="988"/>
      <c r="AH40" s="988"/>
      <c r="AI40" s="988"/>
      <c r="AJ40" s="988"/>
      <c r="AK40" s="988"/>
      <c r="AL40" s="988"/>
      <c r="AM40" s="988"/>
      <c r="AN40" s="988"/>
      <c r="AO40" s="988"/>
      <c r="AP40" s="988"/>
      <c r="AQ40" s="988"/>
      <c r="AR40" s="988"/>
      <c r="AS40" s="988"/>
      <c r="AT40" s="988"/>
      <c r="AU40" s="988"/>
      <c r="AV40" s="988"/>
      <c r="AW40" s="988"/>
      <c r="AX40" s="988"/>
      <c r="AY40" s="988"/>
    </row>
    <row r="41" spans="1:51">
      <c r="A41" s="988"/>
      <c r="B41" s="988"/>
      <c r="C41" s="988"/>
      <c r="D41" s="988"/>
      <c r="E41" s="988"/>
      <c r="F41" s="988"/>
      <c r="G41" s="988"/>
      <c r="H41" s="988"/>
      <c r="I41" s="988"/>
      <c r="J41" s="988"/>
      <c r="K41" s="988"/>
      <c r="L41" s="988"/>
      <c r="M41" s="988"/>
      <c r="N41" s="988"/>
      <c r="O41" s="988"/>
      <c r="P41" s="988"/>
      <c r="Q41" s="988"/>
      <c r="R41" s="988"/>
      <c r="S41" s="988"/>
      <c r="T41" s="988"/>
      <c r="U41" s="988"/>
      <c r="V41" s="988"/>
      <c r="W41" s="988"/>
      <c r="X41" s="988"/>
      <c r="Y41" s="988"/>
      <c r="Z41" s="988"/>
      <c r="AA41" s="988"/>
      <c r="AB41" s="988"/>
      <c r="AC41" s="988"/>
      <c r="AD41" s="988"/>
      <c r="AE41" s="988"/>
      <c r="AF41" s="988"/>
      <c r="AG41" s="988"/>
      <c r="AH41" s="988"/>
      <c r="AI41" s="988"/>
      <c r="AJ41" s="988"/>
      <c r="AK41" s="988"/>
      <c r="AL41" s="988"/>
      <c r="AM41" s="988"/>
      <c r="AN41" s="988"/>
      <c r="AO41" s="988"/>
      <c r="AP41" s="988"/>
      <c r="AQ41" s="988"/>
      <c r="AR41" s="988"/>
      <c r="AS41" s="988"/>
      <c r="AT41" s="988"/>
      <c r="AU41" s="988"/>
      <c r="AV41" s="988"/>
      <c r="AW41" s="988"/>
      <c r="AX41" s="988"/>
      <c r="AY41" s="988"/>
    </row>
    <row r="42" spans="1:51" ht="16.7" hidden="1" customHeight="1"/>
    <row r="46" spans="1:51" ht="41.25" hidden="1">
      <c r="AF46" s="152"/>
    </row>
  </sheetData>
  <mergeCells count="54">
    <mergeCell ref="A40:AY41"/>
    <mergeCell ref="B32:AX34"/>
    <mergeCell ref="B36:AB36"/>
    <mergeCell ref="B37:N37"/>
    <mergeCell ref="O37:AB37"/>
    <mergeCell ref="B38:N38"/>
    <mergeCell ref="O38:AB38"/>
    <mergeCell ref="B29:T29"/>
    <mergeCell ref="U29:AD29"/>
    <mergeCell ref="AE29:AN29"/>
    <mergeCell ref="AO29:AX29"/>
    <mergeCell ref="B30:T30"/>
    <mergeCell ref="U30:AD30"/>
    <mergeCell ref="AE30:AN30"/>
    <mergeCell ref="AO30:AX30"/>
    <mergeCell ref="B27:T27"/>
    <mergeCell ref="U27:AD27"/>
    <mergeCell ref="AE27:AN27"/>
    <mergeCell ref="AO27:AX27"/>
    <mergeCell ref="B28:T28"/>
    <mergeCell ref="U28:AD28"/>
    <mergeCell ref="AE28:AN28"/>
    <mergeCell ref="AO28:AX28"/>
    <mergeCell ref="B26:T26"/>
    <mergeCell ref="U26:AD26"/>
    <mergeCell ref="AE26:AN26"/>
    <mergeCell ref="AO26:AX26"/>
    <mergeCell ref="B19:R19"/>
    <mergeCell ref="S19:AX19"/>
    <mergeCell ref="B21:R22"/>
    <mergeCell ref="S21:Z21"/>
    <mergeCell ref="AA21:AX21"/>
    <mergeCell ref="S22:Z22"/>
    <mergeCell ref="AA22:AX22"/>
    <mergeCell ref="B24:U24"/>
    <mergeCell ref="B25:T25"/>
    <mergeCell ref="U25:AD25"/>
    <mergeCell ref="AE25:AN25"/>
    <mergeCell ref="AO25:AX25"/>
    <mergeCell ref="B20:R20"/>
    <mergeCell ref="S20:AX20"/>
    <mergeCell ref="B15:R15"/>
    <mergeCell ref="S15:AX15"/>
    <mergeCell ref="A1:AY2"/>
    <mergeCell ref="A3:W3"/>
    <mergeCell ref="X3:AE3"/>
    <mergeCell ref="AF3:AV3"/>
    <mergeCell ref="C6:O6"/>
    <mergeCell ref="B16:R16"/>
    <mergeCell ref="S16:AX16"/>
    <mergeCell ref="B17:R17"/>
    <mergeCell ref="S17:AX17"/>
    <mergeCell ref="B18:R18"/>
    <mergeCell ref="S18:AX18"/>
  </mergeCells>
  <phoneticPr fontId="2"/>
  <conditionalFormatting sqref="S21:Z22 B21">
    <cfRule type="expression" dxfId="8" priority="15">
      <formula>$BA$21=1</formula>
    </cfRule>
  </conditionalFormatting>
  <conditionalFormatting sqref="AA21:AA22">
    <cfRule type="expression" dxfId="7" priority="14">
      <formula>$BA$21=1</formula>
    </cfRule>
  </conditionalFormatting>
  <conditionalFormatting sqref="O38">
    <cfRule type="expression" dxfId="6" priority="12">
      <formula>$E$17="その他"</formula>
    </cfRule>
    <cfRule type="expression" dxfId="5" priority="13">
      <formula>AND($E$17="その他",$I$12="")</formula>
    </cfRule>
  </conditionalFormatting>
  <conditionalFormatting sqref="O37">
    <cfRule type="expression" dxfId="4" priority="10">
      <formula>$E$17="その他"</formula>
    </cfRule>
    <cfRule type="expression" dxfId="3" priority="11">
      <formula>AND($E$17="その他",$I$12="")</formula>
    </cfRule>
  </conditionalFormatting>
  <conditionalFormatting sqref="S20">
    <cfRule type="expression" dxfId="2" priority="2">
      <formula>AND($BA$21=1,$BA$20=1)</formula>
    </cfRule>
  </conditionalFormatting>
  <conditionalFormatting sqref="B20">
    <cfRule type="expression" dxfId="1" priority="4">
      <formula>AND($BA$20=1,$BA$21=1)</formula>
    </cfRule>
  </conditionalFormatting>
  <dataValidations count="3">
    <dataValidation type="list" allowBlank="1" showInputMessage="1" showErrorMessage="1" sqref="S18" xr:uid="{00000000-0002-0000-0300-000001000000}">
      <formula1>"1割,2割,3割"</formula1>
    </dataValidation>
    <dataValidation type="list" allowBlank="1" showInputMessage="1" showErrorMessage="1" sqref="S17" xr:uid="{00000000-0002-0000-0300-000002000000}">
      <formula1>"5,4,3,2,1"</formula1>
    </dataValidation>
    <dataValidation type="list" allowBlank="1" showInputMessage="1" showErrorMessage="1" sqref="S19:AX19" xr:uid="{633FE0F7-D6B7-4F7E-8170-6B4B3064A357}">
      <formula1>"第1段階,第2段階,第3段階(1),第3段階(2),第4段階"</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3000000}">
          <x14:formula1>
            <xm:f>入力シート!$C$22:$C$25</xm:f>
          </x14:formula1>
          <xm:sqref>X3:AE3</xm:sqref>
        </x14:dataValidation>
        <x14:dataValidation type="list" allowBlank="1" showInputMessage="1" showErrorMessage="1" xr:uid="{27DE2043-D1AE-41B1-89AC-0F31BC542D2C}">
          <x14:formula1>
            <xm:f>【食費居住費】!$B$30:$B$32</xm:f>
          </x14:formula1>
          <xm:sqref>S20:AX20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CDF2FF"/>
  </sheetPr>
  <dimension ref="A1:AV57"/>
  <sheetViews>
    <sheetView showGridLines="0" zoomScale="85" zoomScaleNormal="85" workbookViewId="0">
      <selection activeCell="G11" sqref="G11"/>
    </sheetView>
  </sheetViews>
  <sheetFormatPr defaultColWidth="0" defaultRowHeight="18.75" zeroHeight="1"/>
  <cols>
    <col min="1" max="1" width="1.125" style="245" customWidth="1"/>
    <col min="2" max="2" width="13.875" style="245" customWidth="1"/>
    <col min="3" max="7" width="12.125" style="245" customWidth="1"/>
    <col min="8" max="8" width="1.125" style="245" customWidth="1"/>
    <col min="9" max="16384" width="8.875" style="245" hidden="1"/>
  </cols>
  <sheetData>
    <row r="1" spans="2:9" ht="22.5">
      <c r="B1" s="276"/>
    </row>
    <row r="2" spans="2:9" ht="15.6" customHeight="1" thickBot="1">
      <c r="B2" s="276"/>
      <c r="G2" s="402" t="s">
        <v>876</v>
      </c>
    </row>
    <row r="3" spans="2:9" ht="16.350000000000001" customHeight="1">
      <c r="B3" s="403"/>
      <c r="C3" s="404" t="s">
        <v>842</v>
      </c>
      <c r="D3" s="405" t="s">
        <v>843</v>
      </c>
      <c r="E3" s="406" t="s">
        <v>844</v>
      </c>
      <c r="F3" s="406" t="s">
        <v>845</v>
      </c>
      <c r="G3" s="407" t="s">
        <v>55</v>
      </c>
    </row>
    <row r="4" spans="2:9" ht="15.6" customHeight="1">
      <c r="B4" s="408" t="s">
        <v>846</v>
      </c>
      <c r="C4" s="362"/>
      <c r="D4" s="363"/>
      <c r="E4" s="364"/>
      <c r="F4" s="364"/>
      <c r="G4" s="365"/>
    </row>
    <row r="5" spans="2:9" ht="15.6" customHeight="1">
      <c r="B5" s="408" t="s">
        <v>847</v>
      </c>
      <c r="C5" s="362"/>
      <c r="D5" s="363"/>
      <c r="E5" s="364"/>
      <c r="F5" s="364"/>
      <c r="G5" s="365"/>
    </row>
    <row r="6" spans="2:9" ht="15.6" customHeight="1">
      <c r="B6" s="408" t="s">
        <v>848</v>
      </c>
      <c r="C6" s="362"/>
      <c r="D6" s="363"/>
      <c r="E6" s="364"/>
      <c r="F6" s="364"/>
      <c r="G6" s="365"/>
    </row>
    <row r="7" spans="2:9" ht="15.6" customHeight="1">
      <c r="B7" s="408" t="s">
        <v>849</v>
      </c>
      <c r="C7" s="362"/>
      <c r="D7" s="363"/>
      <c r="E7" s="364"/>
      <c r="F7" s="364"/>
      <c r="G7" s="365"/>
    </row>
    <row r="8" spans="2:9" ht="15.6" customHeight="1">
      <c r="B8" s="408" t="s">
        <v>55</v>
      </c>
      <c r="C8" s="362"/>
      <c r="D8" s="363"/>
      <c r="E8" s="364"/>
      <c r="F8" s="364"/>
      <c r="G8" s="365"/>
    </row>
    <row r="9" spans="2:9" ht="15.6" customHeight="1" thickBot="1">
      <c r="B9" s="409" t="s">
        <v>61</v>
      </c>
      <c r="C9" s="410">
        <f>IF(SUM(C4:C8)=SUM(D9:G9),SUM(C4:C8),"縦計と横計の不一致")</f>
        <v>0</v>
      </c>
      <c r="D9" s="411">
        <f>SUM(D4:D8)</f>
        <v>0</v>
      </c>
      <c r="E9" s="412">
        <f>SUM(E4:E8)</f>
        <v>0</v>
      </c>
      <c r="F9" s="412">
        <f>SUM(F4:F8)</f>
        <v>0</v>
      </c>
      <c r="G9" s="413">
        <f>SUM(G4:G8)</f>
        <v>0</v>
      </c>
    </row>
    <row r="10" spans="2:9" ht="9" customHeight="1"/>
    <row r="11" spans="2:9" ht="15.6" customHeight="1">
      <c r="B11" s="276"/>
    </row>
    <row r="12" spans="2:9" ht="15.6" customHeight="1"/>
    <row r="13" spans="2:9" ht="15.6" customHeight="1">
      <c r="B13" s="249" t="s">
        <v>238</v>
      </c>
      <c r="C13" s="995"/>
      <c r="D13" s="996"/>
      <c r="E13" s="250" t="s">
        <v>231</v>
      </c>
      <c r="F13" s="252"/>
      <c r="G13" s="252"/>
    </row>
    <row r="14" spans="2:9" ht="15.6" customHeight="1">
      <c r="B14" s="249" t="s">
        <v>232</v>
      </c>
      <c r="C14" s="997"/>
      <c r="D14" s="998"/>
      <c r="E14" s="250" t="s">
        <v>233</v>
      </c>
      <c r="F14" s="251"/>
      <c r="G14" s="252"/>
    </row>
    <row r="15" spans="2:9" ht="15.6" customHeight="1">
      <c r="B15" s="249" t="s">
        <v>234</v>
      </c>
      <c r="C15" s="999"/>
      <c r="D15" s="1000"/>
      <c r="E15" s="250" t="s">
        <v>1006</v>
      </c>
      <c r="F15" s="251"/>
      <c r="G15" s="252"/>
      <c r="H15" s="252"/>
      <c r="I15" s="414">
        <f>C15-C16</f>
        <v>0</v>
      </c>
    </row>
    <row r="16" spans="2:9" ht="15.6" customHeight="1">
      <c r="B16" s="249" t="s">
        <v>897</v>
      </c>
      <c r="C16" s="1001"/>
      <c r="D16" s="1002"/>
      <c r="E16" s="250" t="s">
        <v>1025</v>
      </c>
    </row>
    <row r="17" spans="2:7" ht="15.6" customHeight="1">
      <c r="B17" s="253" t="s">
        <v>239</v>
      </c>
      <c r="C17" s="253"/>
      <c r="D17" s="253"/>
      <c r="E17" s="253"/>
      <c r="F17" s="254" t="str">
        <f>IF(I15&lt;1,"!返済年数を入力してください!","")</f>
        <v>!返済年数を入力してください!</v>
      </c>
      <c r="G17" s="253"/>
    </row>
    <row r="18" spans="2:7" ht="15.6" customHeight="1" thickBot="1">
      <c r="B18" s="415"/>
      <c r="C18" s="415"/>
      <c r="D18" s="415"/>
      <c r="E18" s="416"/>
      <c r="F18" s="255"/>
      <c r="G18" s="402" t="s">
        <v>1005</v>
      </c>
    </row>
    <row r="19" spans="2:7" ht="15.6" customHeight="1">
      <c r="B19" s="1003" t="s">
        <v>235</v>
      </c>
      <c r="C19" s="1005" t="s">
        <v>1004</v>
      </c>
      <c r="D19" s="1007" t="s">
        <v>236</v>
      </c>
      <c r="E19" s="1008"/>
      <c r="F19" s="1009"/>
      <c r="G19" s="993" t="s">
        <v>1003</v>
      </c>
    </row>
    <row r="20" spans="2:7" ht="15.6" customHeight="1" thickBot="1">
      <c r="B20" s="1004"/>
      <c r="C20" s="1006"/>
      <c r="D20" s="247"/>
      <c r="E20" s="248" t="s">
        <v>241</v>
      </c>
      <c r="F20" s="248" t="s">
        <v>240</v>
      </c>
      <c r="G20" s="994"/>
    </row>
    <row r="21" spans="2:7" ht="14.45" customHeight="1" thickTop="1">
      <c r="B21" s="256">
        <v>1</v>
      </c>
      <c r="C21" s="257" t="str">
        <f>IF(B21&gt;$C$15,"",C13)</f>
        <v/>
      </c>
      <c r="D21" s="257" t="str">
        <f>IFERROR(F21+E21,"")</f>
        <v/>
      </c>
      <c r="E21" s="257" t="str">
        <f>IFERROR(IF(C16&gt;0,0,C13-(TRUNC(C13/C15)*C15)+TRUNC(C13/C15)),"")</f>
        <v/>
      </c>
      <c r="F21" s="257" t="str">
        <f>IFERROR(C21*$C$14/100,"")</f>
        <v/>
      </c>
      <c r="G21" s="258" t="str">
        <f>IFERROR(C21-E21,"")</f>
        <v/>
      </c>
    </row>
    <row r="22" spans="2:7" ht="14.45" customHeight="1">
      <c r="B22" s="256">
        <v>2</v>
      </c>
      <c r="C22" s="257" t="str">
        <f t="shared" ref="C22:C47" si="0">IF(B22&gt;$C$15,"",G21)</f>
        <v/>
      </c>
      <c r="D22" s="257" t="str">
        <f t="shared" ref="D22:D50" si="1">IF(B22&gt;$C$15,"",F22+E22)</f>
        <v/>
      </c>
      <c r="E22" s="257" t="str">
        <f>IFERROR(IF(C16&gt;1,0,IF(C16=1,C13-(TRUNC(C13/I15)*I15)+TRUNC(C13/I15),IF(B22&gt;$I$15,"",IF(B22&gt;$I$15,0,TRUNC($C$13/$I$15))))),"")</f>
        <v/>
      </c>
      <c r="F22" s="257" t="str">
        <f t="shared" ref="F22" si="2">IF(B22&gt;$C$15,"",C22*$C$14/100)</f>
        <v/>
      </c>
      <c r="G22" s="258" t="str">
        <f t="shared" ref="G22:G47" si="3">IF(B22&gt;$C$15,"",C22-E22)</f>
        <v/>
      </c>
    </row>
    <row r="23" spans="2:7" ht="14.45" customHeight="1">
      <c r="B23" s="256">
        <v>3</v>
      </c>
      <c r="C23" s="257" t="str">
        <f t="shared" si="0"/>
        <v/>
      </c>
      <c r="D23" s="257" t="str">
        <f>IF(B23&gt;$C$15,"",F23+E23)</f>
        <v/>
      </c>
      <c r="E23" s="257" t="str">
        <f>IF(C15&lt;3,"",IFERROR(IF(C16&gt;2,0,IF(C16=2,C13-(TRUNC(C13/I15)*I15)+TRUNC(C13/I15),TRUNC($C$13/$I$15))),""))</f>
        <v/>
      </c>
      <c r="F23" s="257" t="str">
        <f>IF(B23&gt;$C$15,"",C23*$C$14/100)</f>
        <v/>
      </c>
      <c r="G23" s="258" t="str">
        <f t="shared" si="3"/>
        <v/>
      </c>
    </row>
    <row r="24" spans="2:7" ht="14.45" customHeight="1">
      <c r="B24" s="256">
        <v>4</v>
      </c>
      <c r="C24" s="257" t="str">
        <f t="shared" si="0"/>
        <v/>
      </c>
      <c r="D24" s="257" t="str">
        <f t="shared" si="1"/>
        <v/>
      </c>
      <c r="E24" s="257" t="str">
        <f>IF(C15&lt;4,"",IFERROR(IF(C16&gt;3,0,IF(C16=3,C13-(TRUNC(C13/I15)*I15)+TRUNC(C13/I15),TRUNC($C$13/$I$15))),""))</f>
        <v/>
      </c>
      <c r="F24" s="257" t="str">
        <f t="shared" ref="F24:F47" si="4">IF(B24&gt;$C$15,"",C24*$C$14/100)</f>
        <v/>
      </c>
      <c r="G24" s="258" t="str">
        <f t="shared" si="3"/>
        <v/>
      </c>
    </row>
    <row r="25" spans="2:7" ht="14.45" customHeight="1">
      <c r="B25" s="256">
        <v>5</v>
      </c>
      <c r="C25" s="257" t="str">
        <f t="shared" si="0"/>
        <v/>
      </c>
      <c r="D25" s="257" t="str">
        <f t="shared" si="1"/>
        <v/>
      </c>
      <c r="E25" s="257" t="str">
        <f t="shared" ref="E25:E50" si="5">IF(B25&gt;$C$15,"",IF(B25&gt;$C$15,0,TRUNC($C$13/$I$15)))</f>
        <v/>
      </c>
      <c r="F25" s="257" t="str">
        <f t="shared" si="4"/>
        <v/>
      </c>
      <c r="G25" s="258" t="str">
        <f t="shared" si="3"/>
        <v/>
      </c>
    </row>
    <row r="26" spans="2:7" ht="14.45" customHeight="1">
      <c r="B26" s="256">
        <v>6</v>
      </c>
      <c r="C26" s="257" t="str">
        <f t="shared" si="0"/>
        <v/>
      </c>
      <c r="D26" s="257" t="str">
        <f t="shared" si="1"/>
        <v/>
      </c>
      <c r="E26" s="257" t="str">
        <f t="shared" si="5"/>
        <v/>
      </c>
      <c r="F26" s="257" t="str">
        <f t="shared" si="4"/>
        <v/>
      </c>
      <c r="G26" s="258" t="str">
        <f t="shared" si="3"/>
        <v/>
      </c>
    </row>
    <row r="27" spans="2:7" ht="14.45" customHeight="1">
      <c r="B27" s="256">
        <v>7</v>
      </c>
      <c r="C27" s="257" t="str">
        <f t="shared" si="0"/>
        <v/>
      </c>
      <c r="D27" s="257" t="str">
        <f t="shared" si="1"/>
        <v/>
      </c>
      <c r="E27" s="257" t="str">
        <f t="shared" si="5"/>
        <v/>
      </c>
      <c r="F27" s="257" t="str">
        <f t="shared" si="4"/>
        <v/>
      </c>
      <c r="G27" s="258" t="str">
        <f t="shared" si="3"/>
        <v/>
      </c>
    </row>
    <row r="28" spans="2:7" ht="14.45" customHeight="1">
      <c r="B28" s="256">
        <v>8</v>
      </c>
      <c r="C28" s="257" t="str">
        <f t="shared" si="0"/>
        <v/>
      </c>
      <c r="D28" s="257" t="str">
        <f t="shared" si="1"/>
        <v/>
      </c>
      <c r="E28" s="257" t="str">
        <f t="shared" si="5"/>
        <v/>
      </c>
      <c r="F28" s="257" t="str">
        <f t="shared" si="4"/>
        <v/>
      </c>
      <c r="G28" s="258" t="str">
        <f t="shared" si="3"/>
        <v/>
      </c>
    </row>
    <row r="29" spans="2:7" ht="14.45" customHeight="1">
      <c r="B29" s="256">
        <v>9</v>
      </c>
      <c r="C29" s="259" t="str">
        <f t="shared" si="0"/>
        <v/>
      </c>
      <c r="D29" s="257" t="str">
        <f t="shared" si="1"/>
        <v/>
      </c>
      <c r="E29" s="257" t="str">
        <f t="shared" si="5"/>
        <v/>
      </c>
      <c r="F29" s="257" t="str">
        <f t="shared" si="4"/>
        <v/>
      </c>
      <c r="G29" s="258" t="str">
        <f t="shared" si="3"/>
        <v/>
      </c>
    </row>
    <row r="30" spans="2:7" ht="14.45" customHeight="1">
      <c r="B30" s="256">
        <v>10</v>
      </c>
      <c r="C30" s="257" t="str">
        <f t="shared" si="0"/>
        <v/>
      </c>
      <c r="D30" s="257" t="str">
        <f t="shared" si="1"/>
        <v/>
      </c>
      <c r="E30" s="257" t="str">
        <f t="shared" si="5"/>
        <v/>
      </c>
      <c r="F30" s="257" t="str">
        <f t="shared" si="4"/>
        <v/>
      </c>
      <c r="G30" s="258" t="str">
        <f t="shared" si="3"/>
        <v/>
      </c>
    </row>
    <row r="31" spans="2:7" ht="14.45" customHeight="1">
      <c r="B31" s="256">
        <v>11</v>
      </c>
      <c r="C31" s="259" t="str">
        <f t="shared" si="0"/>
        <v/>
      </c>
      <c r="D31" s="257" t="str">
        <f t="shared" si="1"/>
        <v/>
      </c>
      <c r="E31" s="257" t="str">
        <f t="shared" si="5"/>
        <v/>
      </c>
      <c r="F31" s="257" t="str">
        <f t="shared" si="4"/>
        <v/>
      </c>
      <c r="G31" s="258" t="str">
        <f t="shared" si="3"/>
        <v/>
      </c>
    </row>
    <row r="32" spans="2:7" ht="14.45" customHeight="1">
      <c r="B32" s="256">
        <v>12</v>
      </c>
      <c r="C32" s="257" t="str">
        <f t="shared" si="0"/>
        <v/>
      </c>
      <c r="D32" s="257" t="str">
        <f t="shared" si="1"/>
        <v/>
      </c>
      <c r="E32" s="257" t="str">
        <f t="shared" si="5"/>
        <v/>
      </c>
      <c r="F32" s="257" t="str">
        <f t="shared" si="4"/>
        <v/>
      </c>
      <c r="G32" s="258" t="str">
        <f t="shared" si="3"/>
        <v/>
      </c>
    </row>
    <row r="33" spans="2:7" ht="14.45" customHeight="1">
      <c r="B33" s="256">
        <v>13</v>
      </c>
      <c r="C33" s="259" t="str">
        <f>IF(B33&gt;$C$15,"",G32)</f>
        <v/>
      </c>
      <c r="D33" s="257" t="str">
        <f t="shared" si="1"/>
        <v/>
      </c>
      <c r="E33" s="257" t="str">
        <f t="shared" si="5"/>
        <v/>
      </c>
      <c r="F33" s="257" t="str">
        <f t="shared" si="4"/>
        <v/>
      </c>
      <c r="G33" s="258" t="str">
        <f t="shared" si="3"/>
        <v/>
      </c>
    </row>
    <row r="34" spans="2:7" ht="14.45" customHeight="1">
      <c r="B34" s="256">
        <v>14</v>
      </c>
      <c r="C34" s="257" t="str">
        <f>IF(B34&gt;$C$15,"",G33)</f>
        <v/>
      </c>
      <c r="D34" s="257" t="str">
        <f t="shared" si="1"/>
        <v/>
      </c>
      <c r="E34" s="257" t="str">
        <f t="shared" si="5"/>
        <v/>
      </c>
      <c r="F34" s="257" t="str">
        <f t="shared" si="4"/>
        <v/>
      </c>
      <c r="G34" s="258" t="str">
        <f t="shared" si="3"/>
        <v/>
      </c>
    </row>
    <row r="35" spans="2:7" ht="14.45" customHeight="1">
      <c r="B35" s="256">
        <v>15</v>
      </c>
      <c r="C35" s="259" t="str">
        <f t="shared" si="0"/>
        <v/>
      </c>
      <c r="D35" s="257" t="str">
        <f t="shared" si="1"/>
        <v/>
      </c>
      <c r="E35" s="257" t="str">
        <f t="shared" si="5"/>
        <v/>
      </c>
      <c r="F35" s="257" t="str">
        <f t="shared" si="4"/>
        <v/>
      </c>
      <c r="G35" s="258" t="str">
        <f t="shared" si="3"/>
        <v/>
      </c>
    </row>
    <row r="36" spans="2:7" ht="14.45" customHeight="1">
      <c r="B36" s="256">
        <v>16</v>
      </c>
      <c r="C36" s="257" t="str">
        <f t="shared" si="0"/>
        <v/>
      </c>
      <c r="D36" s="257" t="str">
        <f t="shared" si="1"/>
        <v/>
      </c>
      <c r="E36" s="257" t="str">
        <f t="shared" si="5"/>
        <v/>
      </c>
      <c r="F36" s="257" t="str">
        <f t="shared" si="4"/>
        <v/>
      </c>
      <c r="G36" s="258" t="str">
        <f t="shared" si="3"/>
        <v/>
      </c>
    </row>
    <row r="37" spans="2:7" ht="14.45" customHeight="1">
      <c r="B37" s="256">
        <v>17</v>
      </c>
      <c r="C37" s="259" t="str">
        <f t="shared" si="0"/>
        <v/>
      </c>
      <c r="D37" s="257" t="str">
        <f t="shared" si="1"/>
        <v/>
      </c>
      <c r="E37" s="257" t="str">
        <f t="shared" si="5"/>
        <v/>
      </c>
      <c r="F37" s="257" t="str">
        <f t="shared" si="4"/>
        <v/>
      </c>
      <c r="G37" s="258" t="str">
        <f t="shared" si="3"/>
        <v/>
      </c>
    </row>
    <row r="38" spans="2:7" ht="14.45" customHeight="1">
      <c r="B38" s="256">
        <v>18</v>
      </c>
      <c r="C38" s="257" t="str">
        <f t="shared" si="0"/>
        <v/>
      </c>
      <c r="D38" s="257" t="str">
        <f t="shared" si="1"/>
        <v/>
      </c>
      <c r="E38" s="257" t="str">
        <f t="shared" si="5"/>
        <v/>
      </c>
      <c r="F38" s="257" t="str">
        <f t="shared" si="4"/>
        <v/>
      </c>
      <c r="G38" s="258" t="str">
        <f t="shared" si="3"/>
        <v/>
      </c>
    </row>
    <row r="39" spans="2:7" ht="14.45" customHeight="1">
      <c r="B39" s="256">
        <v>19</v>
      </c>
      <c r="C39" s="259" t="str">
        <f t="shared" si="0"/>
        <v/>
      </c>
      <c r="D39" s="257" t="str">
        <f t="shared" si="1"/>
        <v/>
      </c>
      <c r="E39" s="257" t="str">
        <f t="shared" si="5"/>
        <v/>
      </c>
      <c r="F39" s="257" t="str">
        <f t="shared" si="4"/>
        <v/>
      </c>
      <c r="G39" s="258" t="str">
        <f t="shared" si="3"/>
        <v/>
      </c>
    </row>
    <row r="40" spans="2:7" ht="14.45" customHeight="1">
      <c r="B40" s="256">
        <v>20</v>
      </c>
      <c r="C40" s="257" t="str">
        <f t="shared" si="0"/>
        <v/>
      </c>
      <c r="D40" s="257" t="str">
        <f t="shared" si="1"/>
        <v/>
      </c>
      <c r="E40" s="257" t="str">
        <f t="shared" si="5"/>
        <v/>
      </c>
      <c r="F40" s="257" t="str">
        <f t="shared" si="4"/>
        <v/>
      </c>
      <c r="G40" s="258" t="str">
        <f t="shared" si="3"/>
        <v/>
      </c>
    </row>
    <row r="41" spans="2:7" ht="14.45" customHeight="1">
      <c r="B41" s="256">
        <v>21</v>
      </c>
      <c r="C41" s="259" t="str">
        <f t="shared" si="0"/>
        <v/>
      </c>
      <c r="D41" s="257" t="str">
        <f t="shared" si="1"/>
        <v/>
      </c>
      <c r="E41" s="257" t="str">
        <f t="shared" si="5"/>
        <v/>
      </c>
      <c r="F41" s="257" t="str">
        <f t="shared" si="4"/>
        <v/>
      </c>
      <c r="G41" s="258" t="str">
        <f t="shared" si="3"/>
        <v/>
      </c>
    </row>
    <row r="42" spans="2:7" ht="14.45" customHeight="1">
      <c r="B42" s="256">
        <v>22</v>
      </c>
      <c r="C42" s="257" t="str">
        <f t="shared" si="0"/>
        <v/>
      </c>
      <c r="D42" s="257" t="str">
        <f t="shared" si="1"/>
        <v/>
      </c>
      <c r="E42" s="257" t="str">
        <f t="shared" si="5"/>
        <v/>
      </c>
      <c r="F42" s="257" t="str">
        <f t="shared" si="4"/>
        <v/>
      </c>
      <c r="G42" s="258" t="str">
        <f t="shared" si="3"/>
        <v/>
      </c>
    </row>
    <row r="43" spans="2:7" ht="14.45" customHeight="1">
      <c r="B43" s="256">
        <v>23</v>
      </c>
      <c r="C43" s="259" t="str">
        <f t="shared" si="0"/>
        <v/>
      </c>
      <c r="D43" s="257" t="str">
        <f t="shared" si="1"/>
        <v/>
      </c>
      <c r="E43" s="257" t="str">
        <f t="shared" si="5"/>
        <v/>
      </c>
      <c r="F43" s="257" t="str">
        <f t="shared" si="4"/>
        <v/>
      </c>
      <c r="G43" s="258" t="str">
        <f t="shared" si="3"/>
        <v/>
      </c>
    </row>
    <row r="44" spans="2:7" ht="14.45" customHeight="1">
      <c r="B44" s="256">
        <v>24</v>
      </c>
      <c r="C44" s="257" t="str">
        <f>IF(B44&gt;$C$15,"",G43)</f>
        <v/>
      </c>
      <c r="D44" s="257" t="str">
        <f t="shared" si="1"/>
        <v/>
      </c>
      <c r="E44" s="257" t="str">
        <f t="shared" si="5"/>
        <v/>
      </c>
      <c r="F44" s="257" t="str">
        <f t="shared" si="4"/>
        <v/>
      </c>
      <c r="G44" s="258" t="str">
        <f t="shared" si="3"/>
        <v/>
      </c>
    </row>
    <row r="45" spans="2:7" ht="14.45" customHeight="1">
      <c r="B45" s="256">
        <v>25</v>
      </c>
      <c r="C45" s="259" t="str">
        <f>IF(B45&gt;$C$15,"",G44)</f>
        <v/>
      </c>
      <c r="D45" s="257" t="str">
        <f t="shared" si="1"/>
        <v/>
      </c>
      <c r="E45" s="257" t="str">
        <f t="shared" si="5"/>
        <v/>
      </c>
      <c r="F45" s="257" t="str">
        <f t="shared" si="4"/>
        <v/>
      </c>
      <c r="G45" s="258" t="str">
        <f t="shared" si="3"/>
        <v/>
      </c>
    </row>
    <row r="46" spans="2:7" ht="14.45" customHeight="1">
      <c r="B46" s="256">
        <v>26</v>
      </c>
      <c r="C46" s="257" t="str">
        <f t="shared" si="0"/>
        <v/>
      </c>
      <c r="D46" s="257" t="str">
        <f t="shared" si="1"/>
        <v/>
      </c>
      <c r="E46" s="257" t="str">
        <f t="shared" si="5"/>
        <v/>
      </c>
      <c r="F46" s="257" t="str">
        <f t="shared" si="4"/>
        <v/>
      </c>
      <c r="G46" s="258" t="str">
        <f t="shared" si="3"/>
        <v/>
      </c>
    </row>
    <row r="47" spans="2:7" ht="14.45" customHeight="1">
      <c r="B47" s="256">
        <v>27</v>
      </c>
      <c r="C47" s="259" t="str">
        <f t="shared" si="0"/>
        <v/>
      </c>
      <c r="D47" s="257" t="str">
        <f t="shared" si="1"/>
        <v/>
      </c>
      <c r="E47" s="257" t="str">
        <f t="shared" si="5"/>
        <v/>
      </c>
      <c r="F47" s="257" t="str">
        <f t="shared" si="4"/>
        <v/>
      </c>
      <c r="G47" s="258" t="str">
        <f t="shared" si="3"/>
        <v/>
      </c>
    </row>
    <row r="48" spans="2:7" ht="14.45" customHeight="1">
      <c r="B48" s="256">
        <v>28</v>
      </c>
      <c r="C48" s="257" t="str">
        <f>IF(B48&gt;$C$15,"",G47)</f>
        <v/>
      </c>
      <c r="D48" s="257" t="str">
        <f t="shared" si="1"/>
        <v/>
      </c>
      <c r="E48" s="257" t="str">
        <f t="shared" si="5"/>
        <v/>
      </c>
      <c r="F48" s="257" t="str">
        <f>IF(B48&gt;$C$15,"",C48*$C$14/100)</f>
        <v/>
      </c>
      <c r="G48" s="258" t="str">
        <f>IF(B48&gt;$C$15,"",C48-E48)</f>
        <v/>
      </c>
    </row>
    <row r="49" spans="1:48" ht="14.45" customHeight="1">
      <c r="B49" s="260">
        <v>29</v>
      </c>
      <c r="C49" s="259" t="str">
        <f>IF(B49&gt;$C$15,"",G48)</f>
        <v/>
      </c>
      <c r="D49" s="257" t="str">
        <f t="shared" si="1"/>
        <v/>
      </c>
      <c r="E49" s="257" t="str">
        <f t="shared" si="5"/>
        <v/>
      </c>
      <c r="F49" s="257" t="str">
        <f>IF(B49&gt;$C$15,"",C49*$C$14/100)</f>
        <v/>
      </c>
      <c r="G49" s="258" t="str">
        <f>IF(B49&gt;$C$15,"",C49-E49)</f>
        <v/>
      </c>
    </row>
    <row r="50" spans="1:48" ht="14.45" customHeight="1" thickBot="1">
      <c r="B50" s="261">
        <v>30</v>
      </c>
      <c r="C50" s="262" t="str">
        <f>IF(B50&gt;$C$15,"",G49)</f>
        <v/>
      </c>
      <c r="D50" s="262" t="str">
        <f t="shared" si="1"/>
        <v/>
      </c>
      <c r="E50" s="262" t="str">
        <f t="shared" si="5"/>
        <v/>
      </c>
      <c r="F50" s="262" t="str">
        <f>IF(B50&gt;$C$15,"",C50*$C$14/100)</f>
        <v/>
      </c>
      <c r="G50" s="263" t="str">
        <f>IF(B50&gt;$C$15,"",C50-E50)</f>
        <v/>
      </c>
    </row>
    <row r="51" spans="1:48" ht="14.45" customHeight="1" thickTop="1" thickBot="1">
      <c r="B51" s="264" t="s">
        <v>237</v>
      </c>
      <c r="C51" s="265"/>
      <c r="D51" s="266">
        <f>SUM(D21:D50)</f>
        <v>0</v>
      </c>
      <c r="E51" s="266">
        <f>SUM(E21:E50)</f>
        <v>0</v>
      </c>
      <c r="F51" s="266">
        <f>SUM(F21:F50)</f>
        <v>0</v>
      </c>
      <c r="G51" s="267"/>
    </row>
    <row r="52" spans="1:48" ht="15.6" customHeight="1"/>
    <row r="53" spans="1:48" ht="57">
      <c r="A53" s="830" t="str">
        <f>HYPERLINK("#'入力シート'!A4","入力シートに戻る")</f>
        <v>入力シートに戻る</v>
      </c>
      <c r="B53" s="830"/>
      <c r="C53" s="830"/>
      <c r="D53" s="830"/>
      <c r="E53" s="830"/>
      <c r="F53" s="830"/>
      <c r="G53" s="830"/>
      <c r="H53" s="830"/>
      <c r="I53" s="417"/>
    </row>
    <row r="54" spans="1:48" ht="17.45" customHeight="1">
      <c r="B54" s="395"/>
      <c r="C54" s="395"/>
      <c r="D54" s="395"/>
      <c r="E54" s="395"/>
      <c r="F54" s="395"/>
      <c r="G54" s="395"/>
      <c r="H54" s="395"/>
      <c r="I54" s="395"/>
      <c r="J54" s="395"/>
      <c r="K54" s="395"/>
      <c r="L54" s="395"/>
      <c r="M54" s="395"/>
      <c r="N54" s="395"/>
      <c r="O54" s="395"/>
      <c r="P54" s="395"/>
      <c r="Q54" s="395"/>
      <c r="R54" s="395"/>
      <c r="S54" s="395"/>
      <c r="T54" s="395"/>
      <c r="U54" s="395"/>
      <c r="V54" s="395"/>
      <c r="W54" s="395"/>
      <c r="X54" s="395"/>
      <c r="Y54" s="395"/>
      <c r="Z54" s="395"/>
      <c r="AA54" s="395"/>
      <c r="AB54" s="395"/>
      <c r="AC54" s="395"/>
      <c r="AD54" s="395"/>
      <c r="AE54" s="395"/>
      <c r="AF54" s="395"/>
      <c r="AG54" s="395"/>
      <c r="AH54" s="395"/>
      <c r="AI54" s="395"/>
      <c r="AJ54" s="395"/>
      <c r="AK54" s="395"/>
      <c r="AL54" s="395"/>
      <c r="AM54" s="395"/>
      <c r="AN54" s="395"/>
      <c r="AO54" s="395"/>
      <c r="AP54" s="395"/>
      <c r="AQ54" s="395"/>
      <c r="AR54" s="395"/>
      <c r="AS54" s="395"/>
      <c r="AT54" s="395"/>
      <c r="AU54" s="395"/>
      <c r="AV54" s="395"/>
    </row>
    <row r="55" spans="1:48" ht="17.45" customHeight="1">
      <c r="B55" s="395"/>
      <c r="C55" s="395"/>
      <c r="D55" s="395"/>
      <c r="E55" s="395"/>
      <c r="F55" s="395"/>
      <c r="G55" s="395"/>
      <c r="H55" s="395"/>
      <c r="I55" s="395"/>
      <c r="J55" s="395"/>
      <c r="K55" s="395"/>
      <c r="L55" s="395"/>
      <c r="M55" s="395"/>
      <c r="N55" s="395"/>
      <c r="O55" s="395"/>
      <c r="P55" s="395"/>
      <c r="Q55" s="395"/>
      <c r="R55" s="395"/>
      <c r="S55" s="395"/>
      <c r="T55" s="395"/>
      <c r="U55" s="395"/>
      <c r="V55" s="395"/>
      <c r="W55" s="395"/>
      <c r="X55" s="395"/>
      <c r="Y55" s="395"/>
      <c r="Z55" s="395"/>
      <c r="AA55" s="395"/>
      <c r="AB55" s="395"/>
      <c r="AC55" s="395"/>
      <c r="AD55" s="395"/>
      <c r="AE55" s="395"/>
      <c r="AF55" s="395"/>
      <c r="AG55" s="395"/>
      <c r="AH55" s="395"/>
      <c r="AI55" s="395"/>
      <c r="AJ55" s="395"/>
      <c r="AK55" s="395"/>
      <c r="AL55" s="395"/>
      <c r="AM55" s="395"/>
      <c r="AN55" s="395"/>
      <c r="AO55" s="395"/>
      <c r="AP55" s="395"/>
      <c r="AQ55" s="395"/>
      <c r="AR55" s="395"/>
      <c r="AS55" s="395"/>
      <c r="AT55" s="395"/>
      <c r="AU55" s="395"/>
      <c r="AV55" s="395"/>
    </row>
    <row r="56" spans="1:48" ht="17.45" customHeight="1">
      <c r="J56" s="395"/>
      <c r="K56" s="395"/>
      <c r="L56" s="395"/>
      <c r="M56" s="395"/>
      <c r="N56" s="395"/>
      <c r="O56" s="395"/>
      <c r="P56" s="395"/>
      <c r="Q56" s="395"/>
      <c r="R56" s="395"/>
      <c r="S56" s="395"/>
      <c r="T56" s="395"/>
      <c r="U56" s="395"/>
      <c r="V56" s="395"/>
      <c r="W56" s="395"/>
      <c r="X56" s="395"/>
      <c r="Y56" s="395"/>
      <c r="Z56" s="395"/>
      <c r="AA56" s="395"/>
      <c r="AB56" s="395"/>
      <c r="AC56" s="395"/>
      <c r="AD56" s="395"/>
      <c r="AE56" s="395"/>
      <c r="AF56" s="395"/>
      <c r="AG56" s="395"/>
      <c r="AH56" s="395"/>
      <c r="AI56" s="395"/>
      <c r="AJ56" s="395"/>
      <c r="AK56" s="395"/>
      <c r="AL56" s="395"/>
      <c r="AM56" s="395"/>
      <c r="AN56" s="395"/>
      <c r="AO56" s="395"/>
      <c r="AP56" s="395"/>
      <c r="AQ56" s="395"/>
      <c r="AR56" s="395"/>
      <c r="AS56" s="395"/>
      <c r="AT56" s="395"/>
      <c r="AU56" s="395"/>
      <c r="AV56" s="395"/>
    </row>
    <row r="57" spans="1:48"/>
  </sheetData>
  <sheetProtection algorithmName="SHA-512" hashValue="w1y/MhKbbpHY6+bbnsYna8rribZuqm2OoXUXikiCyCAAVeWsryM1qK5QV+tUOtbJy8GKwgQgDK6/atCiw2TePw==" saltValue="UJWj8GyJBPCcO7e6/E5MCg==" spinCount="100000" sheet="1" objects="1" scenarios="1"/>
  <mergeCells count="9">
    <mergeCell ref="G19:G20"/>
    <mergeCell ref="A53:H53"/>
    <mergeCell ref="C13:D13"/>
    <mergeCell ref="C14:D14"/>
    <mergeCell ref="C15:D15"/>
    <mergeCell ref="C16:D16"/>
    <mergeCell ref="B19:B20"/>
    <mergeCell ref="C19:C20"/>
    <mergeCell ref="D19:F19"/>
  </mergeCells>
  <phoneticPr fontId="2"/>
  <conditionalFormatting sqref="C9">
    <cfRule type="cellIs" dxfId="0" priority="1" operator="equal">
      <formula>"縦計と横計の不一致"</formula>
    </cfRule>
  </conditionalFormatting>
  <dataValidations count="4">
    <dataValidation type="decimal" allowBlank="1" showInputMessage="1" showErrorMessage="1" sqref="C14:D14" xr:uid="{00000000-0002-0000-0400-000000000000}">
      <formula1>0</formula1>
      <formula2>100</formula2>
    </dataValidation>
    <dataValidation type="whole" allowBlank="1" showInputMessage="1" showErrorMessage="1" error="整数で入力してください" sqref="C4:G8 C13:D13" xr:uid="{00000000-0002-0000-0400-000001000000}">
      <formula1>0</formula1>
      <formula2>9999999999999</formula2>
    </dataValidation>
    <dataValidation type="whole" allowBlank="1" showInputMessage="1" showErrorMessage="1" sqref="C15" xr:uid="{00000000-0002-0000-0400-000002000000}">
      <formula1>1</formula1>
      <formula2>30</formula2>
    </dataValidation>
    <dataValidation type="list" allowBlank="1" showInputMessage="1" showErrorMessage="1" sqref="C16" xr:uid="{00000000-0002-0000-0400-000003000000}">
      <formula1>"0,1,2,3"</formula1>
    </dataValidation>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C30"/>
  <sheetViews>
    <sheetView workbookViewId="0">
      <selection activeCell="C13" sqref="C13"/>
    </sheetView>
  </sheetViews>
  <sheetFormatPr defaultColWidth="0" defaultRowHeight="13.5" zeroHeight="1"/>
  <cols>
    <col min="1" max="1" width="17.875" bestFit="1" customWidth="1"/>
    <col min="2" max="2" width="11.625" bestFit="1" customWidth="1"/>
    <col min="3" max="3" width="52" customWidth="1"/>
    <col min="4" max="16384" width="8.875" hidden="1"/>
  </cols>
  <sheetData>
    <row r="1" spans="1:3" ht="18.75">
      <c r="A1" s="369" t="s">
        <v>1020</v>
      </c>
      <c r="B1" s="369" t="s">
        <v>1018</v>
      </c>
      <c r="C1" s="369" t="s">
        <v>1019</v>
      </c>
    </row>
    <row r="2" spans="1:3" ht="18.75">
      <c r="A2" s="431">
        <v>43913</v>
      </c>
      <c r="B2" s="482">
        <v>1</v>
      </c>
      <c r="C2" s="42" t="s">
        <v>1021</v>
      </c>
    </row>
    <row r="3" spans="1:3" ht="17.45" customHeight="1">
      <c r="A3" s="1010">
        <v>43934</v>
      </c>
      <c r="B3" s="1011">
        <v>1.1000000000000001</v>
      </c>
      <c r="C3" s="1012" t="s">
        <v>1022</v>
      </c>
    </row>
    <row r="4" spans="1:3" ht="17.45" customHeight="1">
      <c r="A4" s="1010"/>
      <c r="B4" s="1011"/>
      <c r="C4" s="1012"/>
    </row>
    <row r="5" spans="1:3" ht="21.95" customHeight="1">
      <c r="A5" s="431" t="s">
        <v>1024</v>
      </c>
      <c r="B5" s="432">
        <v>1.2</v>
      </c>
      <c r="C5" s="42" t="s">
        <v>1023</v>
      </c>
    </row>
    <row r="6" spans="1:3" ht="36" customHeight="1">
      <c r="A6" s="431" t="s">
        <v>1026</v>
      </c>
      <c r="B6" s="432">
        <v>1.3</v>
      </c>
      <c r="C6" s="111" t="s">
        <v>1027</v>
      </c>
    </row>
    <row r="7" spans="1:3" ht="18.75">
      <c r="A7" s="370">
        <v>44286</v>
      </c>
      <c r="B7" s="481">
        <v>2</v>
      </c>
      <c r="C7" s="42" t="s">
        <v>1071</v>
      </c>
    </row>
    <row r="8" spans="1:3" ht="18.75">
      <c r="A8" s="370"/>
      <c r="B8" s="368"/>
      <c r="C8" s="42"/>
    </row>
    <row r="9" spans="1:3" ht="18.75">
      <c r="A9" s="370"/>
      <c r="B9" s="368"/>
      <c r="C9" s="42"/>
    </row>
    <row r="10" spans="1:3" ht="18.75">
      <c r="A10" s="370"/>
      <c r="B10" s="368"/>
      <c r="C10" s="42"/>
    </row>
    <row r="11" spans="1:3" ht="18.75">
      <c r="A11" s="370"/>
      <c r="B11" s="368"/>
      <c r="C11" s="42"/>
    </row>
    <row r="12" spans="1:3" ht="18.75">
      <c r="A12" s="370"/>
      <c r="B12" s="368"/>
      <c r="C12" s="42"/>
    </row>
    <row r="13" spans="1:3" ht="18.75">
      <c r="A13" s="370"/>
      <c r="B13" s="368"/>
      <c r="C13" s="42"/>
    </row>
    <row r="14" spans="1:3" ht="18.75">
      <c r="A14" s="370"/>
      <c r="B14" s="368"/>
      <c r="C14" s="42"/>
    </row>
    <row r="15" spans="1:3" ht="18.75">
      <c r="A15" s="370"/>
      <c r="B15" s="368"/>
      <c r="C15" s="42"/>
    </row>
    <row r="16" spans="1:3" ht="18.75">
      <c r="A16" s="370"/>
      <c r="B16" s="368"/>
      <c r="C16" s="42"/>
    </row>
    <row r="17" spans="1:3" ht="18.75">
      <c r="A17" s="370"/>
      <c r="B17" s="368"/>
      <c r="C17" s="42"/>
    </row>
    <row r="18" spans="1:3" ht="18.75">
      <c r="A18" s="370"/>
      <c r="B18" s="368"/>
      <c r="C18" s="42"/>
    </row>
    <row r="19" spans="1:3" ht="18.75">
      <c r="A19" s="370"/>
      <c r="B19" s="368"/>
      <c r="C19" s="42"/>
    </row>
    <row r="20" spans="1:3" ht="18.75">
      <c r="A20" s="370"/>
      <c r="B20" s="368"/>
      <c r="C20" s="42"/>
    </row>
    <row r="21" spans="1:3" ht="18.75">
      <c r="A21" s="370"/>
      <c r="B21" s="368"/>
      <c r="C21" s="42"/>
    </row>
    <row r="22" spans="1:3" ht="18.75">
      <c r="A22" s="370"/>
      <c r="B22" s="368"/>
      <c r="C22" s="42"/>
    </row>
    <row r="23" spans="1:3" ht="18.75">
      <c r="A23" s="370"/>
      <c r="B23" s="368"/>
      <c r="C23" s="42"/>
    </row>
    <row r="24" spans="1:3" ht="18.75">
      <c r="A24" s="370"/>
      <c r="B24" s="368"/>
      <c r="C24" s="42"/>
    </row>
    <row r="25" spans="1:3" ht="18.75">
      <c r="A25" s="370"/>
      <c r="B25" s="368"/>
      <c r="C25" s="42"/>
    </row>
    <row r="26" spans="1:3" ht="18.75">
      <c r="A26" s="370"/>
      <c r="B26" s="368"/>
      <c r="C26" s="42"/>
    </row>
    <row r="27" spans="1:3" ht="18.75">
      <c r="A27" s="370"/>
      <c r="B27" s="368"/>
      <c r="C27" s="42"/>
    </row>
    <row r="28" spans="1:3" ht="18.75">
      <c r="A28" s="370"/>
      <c r="B28" s="368"/>
      <c r="C28" s="42"/>
    </row>
    <row r="29" spans="1:3" ht="18.75">
      <c r="A29" s="370"/>
      <c r="B29" s="368"/>
      <c r="C29" s="42"/>
    </row>
    <row r="30" spans="1:3" ht="18.75">
      <c r="A30" s="370"/>
      <c r="B30" s="368"/>
      <c r="C30" s="42"/>
    </row>
  </sheetData>
  <sheetProtection algorithmName="SHA-512" hashValue="gtGEvgjfUczRVZ5Dxjq/SZAUlxoIpfYfAKpRVigSMw0UizTVTQSiiPMJeWGw4R0FHiW2X/7lHVnV4fCtJgByBg==" saltValue="x3eT7x3dctwHXsC/+8hZeg==" spinCount="100000" sheet="1" objects="1" scenarios="1"/>
  <mergeCells count="3">
    <mergeCell ref="A3:A4"/>
    <mergeCell ref="B3:B4"/>
    <mergeCell ref="C3:C4"/>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78</vt:i4>
      </vt:variant>
    </vt:vector>
  </HeadingPairs>
  <TitlesOfParts>
    <vt:vector size="91" baseType="lpstr">
      <vt:lpstr>入力シート</vt:lpstr>
      <vt:lpstr>出力シート</vt:lpstr>
      <vt:lpstr>加算項目（A病棟）</vt:lpstr>
      <vt:lpstr>加算項目（B病棟）</vt:lpstr>
      <vt:lpstr>加算項目（C病棟）</vt:lpstr>
      <vt:lpstr>加算項目（D病棟）</vt:lpstr>
      <vt:lpstr>利用者負担計算シート</vt:lpstr>
      <vt:lpstr>資金計画・借入金返済シミュレーション</vt:lpstr>
      <vt:lpstr>更新履歴</vt:lpstr>
      <vt:lpstr>以下DB⇒</vt:lpstr>
      <vt:lpstr>【食費居住費】</vt:lpstr>
      <vt:lpstr>【事務所の所在地】</vt:lpstr>
      <vt:lpstr>【入所居室のタイプ】</vt:lpstr>
      <vt:lpstr>「その他」の地域</vt:lpstr>
      <vt:lpstr>Ⅰ型Ⅰ</vt:lpstr>
      <vt:lpstr>Ⅰ型Ⅱ</vt:lpstr>
      <vt:lpstr>Ⅰ型Ⅲ</vt:lpstr>
      <vt:lpstr>Ⅰ型特別</vt:lpstr>
      <vt:lpstr>Ⅱ型Ⅰ</vt:lpstr>
      <vt:lpstr>Ⅱ型Ⅱ</vt:lpstr>
      <vt:lpstr>Ⅱ型Ⅲ</vt:lpstr>
      <vt:lpstr>Ⅱ型特別</vt:lpstr>
      <vt:lpstr>A病棟</vt:lpstr>
      <vt:lpstr>B病棟</vt:lpstr>
      <vt:lpstr>C病棟</vt:lpstr>
      <vt:lpstr>D病棟</vt:lpstr>
      <vt:lpstr>GRADE_FLG</vt:lpstr>
      <vt:lpstr>LIST_PREF</vt:lpstr>
      <vt:lpstr>'加算項目（A病棟）'!Print_Area</vt:lpstr>
      <vt:lpstr>'加算項目（B病棟）'!Print_Area</vt:lpstr>
      <vt:lpstr>'加算項目（C病棟）'!Print_Area</vt:lpstr>
      <vt:lpstr>'加算項目（D病棟）'!Print_Area</vt:lpstr>
      <vt:lpstr>出力シート!Print_Area</vt:lpstr>
      <vt:lpstr>利用者負担計算シート!Print_Area</vt:lpstr>
      <vt:lpstr>その他の地域</vt:lpstr>
      <vt:lpstr>ユニット型Ⅰ型Ⅰ</vt:lpstr>
      <vt:lpstr>ユニット型Ⅰ型Ⅱ</vt:lpstr>
      <vt:lpstr>ユニット型Ⅰ型特別</vt:lpstr>
      <vt:lpstr>ユニット型Ⅱ型</vt:lpstr>
      <vt:lpstr>ユニット型Ⅱ型特別</vt:lpstr>
      <vt:lpstr>愛知県</vt:lpstr>
      <vt:lpstr>愛媛県</vt:lpstr>
      <vt:lpstr>茨城県</vt:lpstr>
      <vt:lpstr>岡山県</vt:lpstr>
      <vt:lpstr>沖縄県</vt:lpstr>
      <vt:lpstr>岩手県</vt:lpstr>
      <vt:lpstr>岐阜県</vt:lpstr>
      <vt:lpstr>宮崎県</vt:lpstr>
      <vt:lpstr>宮城県</vt:lpstr>
      <vt:lpstr>居室種類</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施設種類</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地域区分</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未選択</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2020-03-19T01:42:41Z</dcterms:created>
  <dcterms:modified xsi:type="dcterms:W3CDTF">2021-06-29T02:53:40Z</dcterms:modified>
</cp:coreProperties>
</file>