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mc:AlternateContent xmlns:mc="http://schemas.openxmlformats.org/markup-compatibility/2006">
    <mc:Choice Requires="x15">
      <x15ac:absPath xmlns:x15ac="http://schemas.microsoft.com/office/spreadsheetml/2010/11/ac" url="\\svr00101\svr11101\04.NPO振興課\700 助成業務\800 助成金管理エクセルファイル\令和４年度\★子供の未来応援基金★\アップロード用（エクセルマニュアルアンケート投稿文）\"/>
    </mc:Choice>
  </mc:AlternateContent>
  <xr:revisionPtr revIDLastSave="0" documentId="13_ncr:1_{C1886B47-2ADE-4454-AF7D-7320297B40D2}" xr6:coauthVersionLast="36" xr6:coauthVersionMax="36" xr10:uidLastSave="{00000000-0000-0000-0000-000000000000}"/>
  <workbookProtection workbookAlgorithmName="SHA-512" workbookHashValue="lEXp0h25IFBxhTPyta8ZMdw8+pxLjYD6pSnDfuwwy50A/lBXy6BVpmuxDA4+IjtmkhJo/cjEDMU9x/01BTwStA==" workbookSaltValue="ujA6/PLtPQkkJp0IabAI8g==" workbookSpinCount="100000" lockStructure="1"/>
  <bookViews>
    <workbookView xWindow="0" yWindow="0" windowWidth="20430" windowHeight="7395" xr2:uid="{3A9BCA5F-37EE-410B-8055-1AC5379BBFC8}"/>
  </bookViews>
  <sheets>
    <sheet name="メニュー画面" sheetId="13" r:id="rId1"/>
    <sheet name="団体基本情報" sheetId="8" r:id="rId2"/>
    <sheet name="支出入力表" sheetId="1" r:id="rId3"/>
    <sheet name="収入入力表" sheetId="12" r:id="rId4"/>
    <sheet name="精算額計算書" sheetId="6" r:id="rId5"/>
    <sheet name="総事業費の支出額内訳" sheetId="11" r:id="rId6"/>
    <sheet name="プルダウン用リスト" sheetId="4" state="hidden" r:id="rId7"/>
    <sheet name="予算変更確認" sheetId="14" r:id="rId8"/>
    <sheet name="事業完了報告書" sheetId="7" r:id="rId9"/>
  </sheets>
  <definedNames>
    <definedName name="_xlnm._FilterDatabase" localSheetId="2" hidden="1">支出入力表!$B$5:$O$1005</definedName>
    <definedName name="_xlnm._FilterDatabase" localSheetId="3" hidden="1">収入入力表!$B$5:$F$200</definedName>
    <definedName name="_xlnm._FilterDatabase" localSheetId="5" hidden="1">総事業費の支出額内訳!$B$4:$J$164</definedName>
    <definedName name="_xlnm.Print_Area" localSheetId="0">メニュー画面!$A$1:$D$9</definedName>
    <definedName name="_xlnm.Print_Area" localSheetId="2">支出入力表!$A$1:$P$1006</definedName>
    <definedName name="_xlnm.Print_Area" localSheetId="8">事業完了報告書!$A$1:$U$36</definedName>
    <definedName name="_xlnm.Print_Area" localSheetId="3">収入入力表!$A$1:$G$201</definedName>
    <definedName name="_xlnm.Print_Area" localSheetId="4">精算額計算書!$A$1:$U$42</definedName>
    <definedName name="_xlnm.Print_Area" localSheetId="5">総事業費の支出額内訳!$A$1:$K$166</definedName>
    <definedName name="_xlnm.Print_Area" localSheetId="1">団体基本情報!$A$1:$E$23</definedName>
    <definedName name="_xlnm.Print_Area" localSheetId="7">予算変更確認!$A$12:$AC$36</definedName>
    <definedName name="_xlnm.Print_Titles" localSheetId="2">支出入力表!$1:$5</definedName>
    <definedName name="_xlnm.Print_Titles" localSheetId="3">収入入力表!$1:$5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4" l="1"/>
  <c r="O7" i="1" l="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489" i="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643" i="1"/>
  <c r="O644" i="1"/>
  <c r="O645" i="1"/>
  <c r="O646" i="1"/>
  <c r="O647" i="1"/>
  <c r="O648" i="1"/>
  <c r="O649" i="1"/>
  <c r="O650" i="1"/>
  <c r="O651" i="1"/>
  <c r="O652" i="1"/>
  <c r="O653" i="1"/>
  <c r="O654" i="1"/>
  <c r="O655" i="1"/>
  <c r="O656" i="1"/>
  <c r="O657" i="1"/>
  <c r="O658" i="1"/>
  <c r="O659" i="1"/>
  <c r="O660" i="1"/>
  <c r="O661" i="1"/>
  <c r="O662" i="1"/>
  <c r="O663" i="1"/>
  <c r="O664" i="1"/>
  <c r="O665" i="1"/>
  <c r="O666" i="1"/>
  <c r="O667" i="1"/>
  <c r="O668" i="1"/>
  <c r="O669" i="1"/>
  <c r="O670" i="1"/>
  <c r="O671" i="1"/>
  <c r="O672" i="1"/>
  <c r="O673" i="1"/>
  <c r="O674" i="1"/>
  <c r="O675" i="1"/>
  <c r="O676" i="1"/>
  <c r="O677" i="1"/>
  <c r="O678" i="1"/>
  <c r="O679" i="1"/>
  <c r="O680" i="1"/>
  <c r="O681" i="1"/>
  <c r="O682" i="1"/>
  <c r="O683" i="1"/>
  <c r="O684" i="1"/>
  <c r="O685" i="1"/>
  <c r="O686" i="1"/>
  <c r="O687" i="1"/>
  <c r="O688" i="1"/>
  <c r="O689" i="1"/>
  <c r="O690" i="1"/>
  <c r="O691" i="1"/>
  <c r="O692" i="1"/>
  <c r="O693" i="1"/>
  <c r="O694" i="1"/>
  <c r="O695" i="1"/>
  <c r="O696" i="1"/>
  <c r="O697" i="1"/>
  <c r="O698" i="1"/>
  <c r="O699" i="1"/>
  <c r="O700" i="1"/>
  <c r="O701" i="1"/>
  <c r="O702" i="1"/>
  <c r="O703" i="1"/>
  <c r="O704" i="1"/>
  <c r="O705" i="1"/>
  <c r="O706" i="1"/>
  <c r="O707" i="1"/>
  <c r="O708" i="1"/>
  <c r="O709" i="1"/>
  <c r="O710" i="1"/>
  <c r="O711" i="1"/>
  <c r="O712" i="1"/>
  <c r="O713" i="1"/>
  <c r="O714" i="1"/>
  <c r="O715" i="1"/>
  <c r="O716" i="1"/>
  <c r="O717" i="1"/>
  <c r="O718" i="1"/>
  <c r="O719" i="1"/>
  <c r="O720" i="1"/>
  <c r="O721" i="1"/>
  <c r="O722" i="1"/>
  <c r="O723" i="1"/>
  <c r="O724" i="1"/>
  <c r="O725" i="1"/>
  <c r="O726" i="1"/>
  <c r="O727" i="1"/>
  <c r="O728" i="1"/>
  <c r="O729" i="1"/>
  <c r="O730" i="1"/>
  <c r="O731" i="1"/>
  <c r="O732" i="1"/>
  <c r="O733" i="1"/>
  <c r="O734" i="1"/>
  <c r="O735" i="1"/>
  <c r="O736" i="1"/>
  <c r="O737" i="1"/>
  <c r="O738" i="1"/>
  <c r="O739" i="1"/>
  <c r="O740" i="1"/>
  <c r="O741" i="1"/>
  <c r="O742" i="1"/>
  <c r="O743" i="1"/>
  <c r="O744" i="1"/>
  <c r="O745" i="1"/>
  <c r="O746" i="1"/>
  <c r="O747" i="1"/>
  <c r="O748" i="1"/>
  <c r="O749" i="1"/>
  <c r="O750" i="1"/>
  <c r="O751" i="1"/>
  <c r="O752" i="1"/>
  <c r="O753" i="1"/>
  <c r="O754" i="1"/>
  <c r="O755" i="1"/>
  <c r="O756" i="1"/>
  <c r="O757" i="1"/>
  <c r="O758" i="1"/>
  <c r="O759" i="1"/>
  <c r="O760" i="1"/>
  <c r="O761" i="1"/>
  <c r="O762" i="1"/>
  <c r="O763" i="1"/>
  <c r="O764" i="1"/>
  <c r="O765" i="1"/>
  <c r="O766" i="1"/>
  <c r="O767" i="1"/>
  <c r="O768" i="1"/>
  <c r="O769" i="1"/>
  <c r="O770" i="1"/>
  <c r="O771" i="1"/>
  <c r="O772" i="1"/>
  <c r="O773" i="1"/>
  <c r="O774" i="1"/>
  <c r="O775" i="1"/>
  <c r="O776" i="1"/>
  <c r="O777" i="1"/>
  <c r="O778" i="1"/>
  <c r="O779" i="1"/>
  <c r="O780" i="1"/>
  <c r="O781" i="1"/>
  <c r="O782" i="1"/>
  <c r="O783" i="1"/>
  <c r="O784" i="1"/>
  <c r="O785" i="1"/>
  <c r="O786" i="1"/>
  <c r="O787" i="1"/>
  <c r="O788" i="1"/>
  <c r="O789" i="1"/>
  <c r="O790" i="1"/>
  <c r="O791" i="1"/>
  <c r="O792" i="1"/>
  <c r="O793" i="1"/>
  <c r="O794" i="1"/>
  <c r="O795" i="1"/>
  <c r="O796" i="1"/>
  <c r="O797" i="1"/>
  <c r="O798" i="1"/>
  <c r="O799" i="1"/>
  <c r="O800" i="1"/>
  <c r="O801" i="1"/>
  <c r="O802" i="1"/>
  <c r="O803" i="1"/>
  <c r="O804" i="1"/>
  <c r="O805" i="1"/>
  <c r="O806" i="1"/>
  <c r="O807" i="1"/>
  <c r="O808" i="1"/>
  <c r="O809" i="1"/>
  <c r="O810" i="1"/>
  <c r="O811" i="1"/>
  <c r="O812" i="1"/>
  <c r="O813" i="1"/>
  <c r="O814" i="1"/>
  <c r="O815" i="1"/>
  <c r="O816" i="1"/>
  <c r="O817" i="1"/>
  <c r="O818" i="1"/>
  <c r="O819" i="1"/>
  <c r="O820" i="1"/>
  <c r="O821" i="1"/>
  <c r="O822" i="1"/>
  <c r="O823" i="1"/>
  <c r="O824" i="1"/>
  <c r="O825" i="1"/>
  <c r="O826" i="1"/>
  <c r="O827" i="1"/>
  <c r="O828" i="1"/>
  <c r="O829" i="1"/>
  <c r="O830" i="1"/>
  <c r="O831" i="1"/>
  <c r="O832" i="1"/>
  <c r="O833" i="1"/>
  <c r="O834" i="1"/>
  <c r="O835" i="1"/>
  <c r="O836" i="1"/>
  <c r="O837" i="1"/>
  <c r="O838" i="1"/>
  <c r="O839" i="1"/>
  <c r="O840" i="1"/>
  <c r="O841" i="1"/>
  <c r="O842" i="1"/>
  <c r="O843" i="1"/>
  <c r="O844" i="1"/>
  <c r="O845" i="1"/>
  <c r="O846" i="1"/>
  <c r="O847" i="1"/>
  <c r="O848" i="1"/>
  <c r="O849" i="1"/>
  <c r="O850" i="1"/>
  <c r="O851" i="1"/>
  <c r="O852" i="1"/>
  <c r="O853" i="1"/>
  <c r="O854" i="1"/>
  <c r="O855" i="1"/>
  <c r="O856" i="1"/>
  <c r="O857" i="1"/>
  <c r="O858" i="1"/>
  <c r="O859" i="1"/>
  <c r="O860" i="1"/>
  <c r="O861" i="1"/>
  <c r="O862" i="1"/>
  <c r="O863" i="1"/>
  <c r="O864" i="1"/>
  <c r="O865" i="1"/>
  <c r="O866" i="1"/>
  <c r="O867" i="1"/>
  <c r="O868" i="1"/>
  <c r="O869" i="1"/>
  <c r="O870" i="1"/>
  <c r="O871" i="1"/>
  <c r="O872" i="1"/>
  <c r="O873" i="1"/>
  <c r="O874" i="1"/>
  <c r="O875" i="1"/>
  <c r="O876" i="1"/>
  <c r="O877" i="1"/>
  <c r="O878" i="1"/>
  <c r="O879" i="1"/>
  <c r="O880" i="1"/>
  <c r="O881" i="1"/>
  <c r="O882" i="1"/>
  <c r="O883" i="1"/>
  <c r="O884" i="1"/>
  <c r="O885" i="1"/>
  <c r="O886" i="1"/>
  <c r="O887" i="1"/>
  <c r="O888" i="1"/>
  <c r="O889" i="1"/>
  <c r="O890" i="1"/>
  <c r="O891" i="1"/>
  <c r="O892" i="1"/>
  <c r="O893" i="1"/>
  <c r="O894" i="1"/>
  <c r="O895" i="1"/>
  <c r="O896" i="1"/>
  <c r="O897" i="1"/>
  <c r="O898" i="1"/>
  <c r="O899" i="1"/>
  <c r="O900" i="1"/>
  <c r="O901" i="1"/>
  <c r="O902" i="1"/>
  <c r="O903" i="1"/>
  <c r="O904" i="1"/>
  <c r="O905" i="1"/>
  <c r="O906" i="1"/>
  <c r="O907" i="1"/>
  <c r="O908" i="1"/>
  <c r="O909" i="1"/>
  <c r="O910" i="1"/>
  <c r="O911" i="1"/>
  <c r="O912" i="1"/>
  <c r="O913" i="1"/>
  <c r="O914" i="1"/>
  <c r="O915" i="1"/>
  <c r="O916" i="1"/>
  <c r="O917" i="1"/>
  <c r="O918" i="1"/>
  <c r="O919" i="1"/>
  <c r="O920" i="1"/>
  <c r="O921" i="1"/>
  <c r="O922" i="1"/>
  <c r="O923" i="1"/>
  <c r="O924" i="1"/>
  <c r="O925" i="1"/>
  <c r="O926" i="1"/>
  <c r="O927" i="1"/>
  <c r="O928" i="1"/>
  <c r="O929" i="1"/>
  <c r="O930" i="1"/>
  <c r="O931" i="1"/>
  <c r="O932" i="1"/>
  <c r="O933" i="1"/>
  <c r="O934" i="1"/>
  <c r="O935" i="1"/>
  <c r="O936" i="1"/>
  <c r="O937" i="1"/>
  <c r="O938" i="1"/>
  <c r="O939" i="1"/>
  <c r="O940" i="1"/>
  <c r="O941" i="1"/>
  <c r="O942" i="1"/>
  <c r="O943" i="1"/>
  <c r="O944" i="1"/>
  <c r="O945" i="1"/>
  <c r="O946" i="1"/>
  <c r="O947" i="1"/>
  <c r="O948" i="1"/>
  <c r="O949" i="1"/>
  <c r="O950" i="1"/>
  <c r="O951" i="1"/>
  <c r="O952" i="1"/>
  <c r="O953" i="1"/>
  <c r="O954" i="1"/>
  <c r="O955" i="1"/>
  <c r="O956" i="1"/>
  <c r="O957" i="1"/>
  <c r="O958" i="1"/>
  <c r="O959" i="1"/>
  <c r="O960" i="1"/>
  <c r="O961" i="1"/>
  <c r="O962" i="1"/>
  <c r="O963" i="1"/>
  <c r="O964" i="1"/>
  <c r="O965" i="1"/>
  <c r="O966" i="1"/>
  <c r="O967" i="1"/>
  <c r="O968" i="1"/>
  <c r="O969" i="1"/>
  <c r="O970" i="1"/>
  <c r="O971" i="1"/>
  <c r="O972" i="1"/>
  <c r="O973" i="1"/>
  <c r="O974" i="1"/>
  <c r="O975" i="1"/>
  <c r="O976" i="1"/>
  <c r="O977" i="1"/>
  <c r="O978" i="1"/>
  <c r="O979" i="1"/>
  <c r="O980" i="1"/>
  <c r="O981" i="1"/>
  <c r="O982" i="1"/>
  <c r="O983" i="1"/>
  <c r="O984" i="1"/>
  <c r="O985" i="1"/>
  <c r="O986" i="1"/>
  <c r="O987" i="1"/>
  <c r="O988" i="1"/>
  <c r="O989" i="1"/>
  <c r="O990" i="1"/>
  <c r="O991" i="1"/>
  <c r="O992" i="1"/>
  <c r="O993" i="1"/>
  <c r="O994" i="1"/>
  <c r="O995" i="1"/>
  <c r="O996" i="1"/>
  <c r="O997" i="1"/>
  <c r="O998" i="1"/>
  <c r="O999" i="1"/>
  <c r="O1000" i="1"/>
  <c r="O6" i="1"/>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6" i="1"/>
  <c r="D6" i="1"/>
  <c r="F7" i="1"/>
  <c r="E7" i="1" s="1"/>
  <c r="F8" i="1"/>
  <c r="F9" i="1"/>
  <c r="E9" i="1" s="1"/>
  <c r="F10" i="1"/>
  <c r="E10" i="1" s="1"/>
  <c r="F11" i="1"/>
  <c r="F12" i="1"/>
  <c r="F13" i="1"/>
  <c r="E13" i="1" s="1"/>
  <c r="F14" i="1"/>
  <c r="E14" i="1" s="1"/>
  <c r="F15" i="1"/>
  <c r="F16" i="1"/>
  <c r="F17" i="1"/>
  <c r="E17" i="1" s="1"/>
  <c r="F18" i="1"/>
  <c r="E18" i="1" s="1"/>
  <c r="F19" i="1"/>
  <c r="F20" i="1"/>
  <c r="F21" i="1"/>
  <c r="E21" i="1" s="1"/>
  <c r="F22" i="1"/>
  <c r="E22" i="1" s="1"/>
  <c r="F23" i="1"/>
  <c r="F24" i="1"/>
  <c r="F25" i="1"/>
  <c r="E25" i="1" s="1"/>
  <c r="F26" i="1"/>
  <c r="E26" i="1" s="1"/>
  <c r="F27" i="1"/>
  <c r="F28" i="1"/>
  <c r="F29" i="1"/>
  <c r="F30" i="1"/>
  <c r="E30" i="1" s="1"/>
  <c r="F31" i="1"/>
  <c r="F32" i="1"/>
  <c r="F33" i="1"/>
  <c r="E33" i="1" s="1"/>
  <c r="F34" i="1"/>
  <c r="E34" i="1" s="1"/>
  <c r="F35" i="1"/>
  <c r="F36" i="1"/>
  <c r="F37" i="1"/>
  <c r="E37" i="1" s="1"/>
  <c r="F38" i="1"/>
  <c r="E38" i="1" s="1"/>
  <c r="F39" i="1"/>
  <c r="F40" i="1"/>
  <c r="F41" i="1"/>
  <c r="E41" i="1" s="1"/>
  <c r="F42" i="1"/>
  <c r="E42" i="1" s="1"/>
  <c r="F43" i="1"/>
  <c r="F44" i="1"/>
  <c r="F45" i="1"/>
  <c r="E45" i="1" s="1"/>
  <c r="F46" i="1"/>
  <c r="E46" i="1" s="1"/>
  <c r="F47" i="1"/>
  <c r="F48" i="1"/>
  <c r="F49" i="1"/>
  <c r="E49" i="1" s="1"/>
  <c r="F50" i="1"/>
  <c r="E50" i="1" s="1"/>
  <c r="F51" i="1"/>
  <c r="F52" i="1"/>
  <c r="F53" i="1"/>
  <c r="E53" i="1" s="1"/>
  <c r="F54" i="1"/>
  <c r="E54" i="1" s="1"/>
  <c r="F55" i="1"/>
  <c r="F56" i="1"/>
  <c r="F57" i="1"/>
  <c r="E57" i="1" s="1"/>
  <c r="F58" i="1"/>
  <c r="E58" i="1" s="1"/>
  <c r="F59" i="1"/>
  <c r="F60" i="1"/>
  <c r="F61" i="1"/>
  <c r="E61" i="1" s="1"/>
  <c r="F62" i="1"/>
  <c r="E62" i="1" s="1"/>
  <c r="F63" i="1"/>
  <c r="F64" i="1"/>
  <c r="F65" i="1"/>
  <c r="E65" i="1" s="1"/>
  <c r="F66" i="1"/>
  <c r="E66" i="1" s="1"/>
  <c r="F67" i="1"/>
  <c r="F68" i="1"/>
  <c r="F69" i="1"/>
  <c r="E69" i="1" s="1"/>
  <c r="F70" i="1"/>
  <c r="E70" i="1" s="1"/>
  <c r="F71" i="1"/>
  <c r="F72" i="1"/>
  <c r="F73" i="1"/>
  <c r="E73" i="1" s="1"/>
  <c r="F74" i="1"/>
  <c r="E74" i="1" s="1"/>
  <c r="F75" i="1"/>
  <c r="F76" i="1"/>
  <c r="F77" i="1"/>
  <c r="E77" i="1" s="1"/>
  <c r="F78" i="1"/>
  <c r="E78" i="1" s="1"/>
  <c r="F79" i="1"/>
  <c r="F80" i="1"/>
  <c r="F81" i="1"/>
  <c r="E81" i="1" s="1"/>
  <c r="F82" i="1"/>
  <c r="E82" i="1" s="1"/>
  <c r="F83" i="1"/>
  <c r="F84" i="1"/>
  <c r="F85" i="1"/>
  <c r="E85" i="1" s="1"/>
  <c r="F86" i="1"/>
  <c r="E86" i="1" s="1"/>
  <c r="F87" i="1"/>
  <c r="F88" i="1"/>
  <c r="F89" i="1"/>
  <c r="E89" i="1" s="1"/>
  <c r="F90" i="1"/>
  <c r="E90" i="1" s="1"/>
  <c r="F91" i="1"/>
  <c r="F92" i="1"/>
  <c r="F93" i="1"/>
  <c r="E93" i="1" s="1"/>
  <c r="F94" i="1"/>
  <c r="E94" i="1" s="1"/>
  <c r="F95" i="1"/>
  <c r="F96" i="1"/>
  <c r="F97" i="1"/>
  <c r="E97" i="1" s="1"/>
  <c r="F98" i="1"/>
  <c r="E98" i="1" s="1"/>
  <c r="F99" i="1"/>
  <c r="F100" i="1"/>
  <c r="F101" i="1"/>
  <c r="E101" i="1" s="1"/>
  <c r="F102" i="1"/>
  <c r="E102" i="1" s="1"/>
  <c r="F103" i="1"/>
  <c r="F104" i="1"/>
  <c r="F105" i="1"/>
  <c r="E105" i="1" s="1"/>
  <c r="F106" i="1"/>
  <c r="E106" i="1" s="1"/>
  <c r="F107" i="1"/>
  <c r="F108" i="1"/>
  <c r="F109" i="1"/>
  <c r="E109" i="1" s="1"/>
  <c r="F110" i="1"/>
  <c r="E110" i="1" s="1"/>
  <c r="F111" i="1"/>
  <c r="F112" i="1"/>
  <c r="F113" i="1"/>
  <c r="E113" i="1" s="1"/>
  <c r="F114" i="1"/>
  <c r="E114" i="1" s="1"/>
  <c r="F115" i="1"/>
  <c r="F116" i="1"/>
  <c r="F117" i="1"/>
  <c r="E117" i="1" s="1"/>
  <c r="F118" i="1"/>
  <c r="E118" i="1" s="1"/>
  <c r="F119" i="1"/>
  <c r="F120" i="1"/>
  <c r="F121" i="1"/>
  <c r="E121" i="1" s="1"/>
  <c r="F122" i="1"/>
  <c r="E122" i="1" s="1"/>
  <c r="F123" i="1"/>
  <c r="F124" i="1"/>
  <c r="F125" i="1"/>
  <c r="E125" i="1" s="1"/>
  <c r="F126" i="1"/>
  <c r="E126" i="1" s="1"/>
  <c r="F127" i="1"/>
  <c r="F128" i="1"/>
  <c r="F129" i="1"/>
  <c r="E129" i="1" s="1"/>
  <c r="F130" i="1"/>
  <c r="E130" i="1" s="1"/>
  <c r="F131" i="1"/>
  <c r="F132" i="1"/>
  <c r="F133" i="1"/>
  <c r="E133" i="1" s="1"/>
  <c r="F134" i="1"/>
  <c r="E134" i="1" s="1"/>
  <c r="F135" i="1"/>
  <c r="F136" i="1"/>
  <c r="F137" i="1"/>
  <c r="E137" i="1" s="1"/>
  <c r="F138" i="1"/>
  <c r="E138" i="1" s="1"/>
  <c r="F139" i="1"/>
  <c r="F140" i="1"/>
  <c r="F141" i="1"/>
  <c r="E141" i="1" s="1"/>
  <c r="F142" i="1"/>
  <c r="E142" i="1" s="1"/>
  <c r="F143" i="1"/>
  <c r="F144" i="1"/>
  <c r="F145" i="1"/>
  <c r="F146" i="1"/>
  <c r="E146" i="1" s="1"/>
  <c r="F147" i="1"/>
  <c r="F148" i="1"/>
  <c r="F149" i="1"/>
  <c r="E149" i="1" s="1"/>
  <c r="F150" i="1"/>
  <c r="E150" i="1" s="1"/>
  <c r="F151" i="1"/>
  <c r="F152" i="1"/>
  <c r="F153" i="1"/>
  <c r="E153" i="1" s="1"/>
  <c r="F154" i="1"/>
  <c r="E154" i="1" s="1"/>
  <c r="F155" i="1"/>
  <c r="F156" i="1"/>
  <c r="F157" i="1"/>
  <c r="F158" i="1"/>
  <c r="E158" i="1" s="1"/>
  <c r="F159" i="1"/>
  <c r="F160" i="1"/>
  <c r="F161" i="1"/>
  <c r="E161" i="1" s="1"/>
  <c r="F162" i="1"/>
  <c r="E162" i="1" s="1"/>
  <c r="F163" i="1"/>
  <c r="F164" i="1"/>
  <c r="F165" i="1"/>
  <c r="E165" i="1" s="1"/>
  <c r="F166" i="1"/>
  <c r="E166" i="1" s="1"/>
  <c r="F167" i="1"/>
  <c r="F168" i="1"/>
  <c r="F169" i="1"/>
  <c r="E169" i="1" s="1"/>
  <c r="F170" i="1"/>
  <c r="E170" i="1" s="1"/>
  <c r="F171" i="1"/>
  <c r="F172" i="1"/>
  <c r="F173" i="1"/>
  <c r="E173" i="1" s="1"/>
  <c r="F174" i="1"/>
  <c r="E174" i="1" s="1"/>
  <c r="F175" i="1"/>
  <c r="F176" i="1"/>
  <c r="F177" i="1"/>
  <c r="E177" i="1" s="1"/>
  <c r="F178" i="1"/>
  <c r="E178" i="1" s="1"/>
  <c r="F179" i="1"/>
  <c r="F180" i="1"/>
  <c r="F181" i="1"/>
  <c r="E181" i="1" s="1"/>
  <c r="F182" i="1"/>
  <c r="E182" i="1" s="1"/>
  <c r="F183" i="1"/>
  <c r="F184" i="1"/>
  <c r="F185" i="1"/>
  <c r="E185" i="1" s="1"/>
  <c r="F186" i="1"/>
  <c r="E186" i="1" s="1"/>
  <c r="F187" i="1"/>
  <c r="F188" i="1"/>
  <c r="F189" i="1"/>
  <c r="E189" i="1" s="1"/>
  <c r="F190" i="1"/>
  <c r="E190" i="1" s="1"/>
  <c r="F191" i="1"/>
  <c r="F192" i="1"/>
  <c r="F193" i="1"/>
  <c r="E193" i="1" s="1"/>
  <c r="F194" i="1"/>
  <c r="E194" i="1" s="1"/>
  <c r="F195" i="1"/>
  <c r="F196" i="1"/>
  <c r="F197" i="1"/>
  <c r="E197" i="1" s="1"/>
  <c r="F198" i="1"/>
  <c r="E198" i="1" s="1"/>
  <c r="F199" i="1"/>
  <c r="F200" i="1"/>
  <c r="F201" i="1"/>
  <c r="E201" i="1" s="1"/>
  <c r="F202" i="1"/>
  <c r="E202" i="1" s="1"/>
  <c r="F203" i="1"/>
  <c r="F204" i="1"/>
  <c r="F205" i="1"/>
  <c r="E205" i="1" s="1"/>
  <c r="F206" i="1"/>
  <c r="E206" i="1" s="1"/>
  <c r="F207" i="1"/>
  <c r="F208" i="1"/>
  <c r="F209" i="1"/>
  <c r="E209" i="1" s="1"/>
  <c r="F210" i="1"/>
  <c r="E210" i="1" s="1"/>
  <c r="F211" i="1"/>
  <c r="F212" i="1"/>
  <c r="F213" i="1"/>
  <c r="E213" i="1" s="1"/>
  <c r="F214" i="1"/>
  <c r="E214" i="1" s="1"/>
  <c r="F215" i="1"/>
  <c r="F216" i="1"/>
  <c r="F217" i="1"/>
  <c r="E217" i="1" s="1"/>
  <c r="F218" i="1"/>
  <c r="E218" i="1" s="1"/>
  <c r="F219" i="1"/>
  <c r="F220" i="1"/>
  <c r="F221" i="1"/>
  <c r="E221" i="1" s="1"/>
  <c r="F222" i="1"/>
  <c r="E222" i="1" s="1"/>
  <c r="F223" i="1"/>
  <c r="F224" i="1"/>
  <c r="F225" i="1"/>
  <c r="E225" i="1" s="1"/>
  <c r="F226" i="1"/>
  <c r="E226" i="1" s="1"/>
  <c r="F227" i="1"/>
  <c r="F228" i="1"/>
  <c r="F229" i="1"/>
  <c r="E229" i="1" s="1"/>
  <c r="F230" i="1"/>
  <c r="E230" i="1" s="1"/>
  <c r="F231" i="1"/>
  <c r="F232" i="1"/>
  <c r="F233" i="1"/>
  <c r="E233" i="1" s="1"/>
  <c r="F234" i="1"/>
  <c r="E234" i="1" s="1"/>
  <c r="F235" i="1"/>
  <c r="F236" i="1"/>
  <c r="F237" i="1"/>
  <c r="E237" i="1" s="1"/>
  <c r="F238" i="1"/>
  <c r="E238" i="1" s="1"/>
  <c r="F239" i="1"/>
  <c r="F240" i="1"/>
  <c r="F241" i="1"/>
  <c r="E241" i="1" s="1"/>
  <c r="F242" i="1"/>
  <c r="E242" i="1" s="1"/>
  <c r="F243" i="1"/>
  <c r="F244" i="1"/>
  <c r="F245" i="1"/>
  <c r="E245" i="1" s="1"/>
  <c r="F246" i="1"/>
  <c r="E246" i="1" s="1"/>
  <c r="F247" i="1"/>
  <c r="F248" i="1"/>
  <c r="F249" i="1"/>
  <c r="E249" i="1" s="1"/>
  <c r="F250" i="1"/>
  <c r="E250" i="1" s="1"/>
  <c r="F251" i="1"/>
  <c r="F252" i="1"/>
  <c r="F253" i="1"/>
  <c r="E253" i="1" s="1"/>
  <c r="F254" i="1"/>
  <c r="E254" i="1" s="1"/>
  <c r="F255" i="1"/>
  <c r="F256" i="1"/>
  <c r="F257" i="1"/>
  <c r="E257" i="1" s="1"/>
  <c r="F258" i="1"/>
  <c r="E258" i="1" s="1"/>
  <c r="F259" i="1"/>
  <c r="F260" i="1"/>
  <c r="F261" i="1"/>
  <c r="E261" i="1" s="1"/>
  <c r="F262" i="1"/>
  <c r="E262" i="1" s="1"/>
  <c r="F263" i="1"/>
  <c r="F264" i="1"/>
  <c r="F265" i="1"/>
  <c r="E265" i="1" s="1"/>
  <c r="F266" i="1"/>
  <c r="E266" i="1" s="1"/>
  <c r="F267" i="1"/>
  <c r="F268" i="1"/>
  <c r="F269" i="1"/>
  <c r="E269" i="1" s="1"/>
  <c r="F270" i="1"/>
  <c r="E270" i="1" s="1"/>
  <c r="F271" i="1"/>
  <c r="F272" i="1"/>
  <c r="F273" i="1"/>
  <c r="F274" i="1"/>
  <c r="E274" i="1" s="1"/>
  <c r="F275" i="1"/>
  <c r="F276" i="1"/>
  <c r="F277" i="1"/>
  <c r="E277" i="1" s="1"/>
  <c r="F278" i="1"/>
  <c r="E278" i="1" s="1"/>
  <c r="F279" i="1"/>
  <c r="F280" i="1"/>
  <c r="F281" i="1"/>
  <c r="E281" i="1" s="1"/>
  <c r="F282" i="1"/>
  <c r="E282" i="1" s="1"/>
  <c r="F283" i="1"/>
  <c r="F284" i="1"/>
  <c r="F285" i="1"/>
  <c r="F286" i="1"/>
  <c r="E286" i="1" s="1"/>
  <c r="F287" i="1"/>
  <c r="F288" i="1"/>
  <c r="F289" i="1"/>
  <c r="E289" i="1" s="1"/>
  <c r="F290" i="1"/>
  <c r="E290" i="1" s="1"/>
  <c r="F291" i="1"/>
  <c r="F292" i="1"/>
  <c r="F293" i="1"/>
  <c r="E293" i="1" s="1"/>
  <c r="F294" i="1"/>
  <c r="E294" i="1" s="1"/>
  <c r="F295" i="1"/>
  <c r="F296" i="1"/>
  <c r="F297" i="1"/>
  <c r="E297" i="1" s="1"/>
  <c r="F298" i="1"/>
  <c r="E298" i="1" s="1"/>
  <c r="F299" i="1"/>
  <c r="F300" i="1"/>
  <c r="F301" i="1"/>
  <c r="E301" i="1" s="1"/>
  <c r="F302" i="1"/>
  <c r="E302" i="1" s="1"/>
  <c r="F303" i="1"/>
  <c r="F304" i="1"/>
  <c r="F305" i="1"/>
  <c r="E305" i="1" s="1"/>
  <c r="F306" i="1"/>
  <c r="E306" i="1" s="1"/>
  <c r="F307" i="1"/>
  <c r="F308" i="1"/>
  <c r="F309" i="1"/>
  <c r="E309" i="1" s="1"/>
  <c r="F310" i="1"/>
  <c r="E310" i="1" s="1"/>
  <c r="F311" i="1"/>
  <c r="F312" i="1"/>
  <c r="F313" i="1"/>
  <c r="E313" i="1" s="1"/>
  <c r="F314" i="1"/>
  <c r="E314" i="1" s="1"/>
  <c r="F315" i="1"/>
  <c r="F316" i="1"/>
  <c r="F317" i="1"/>
  <c r="E317" i="1" s="1"/>
  <c r="F318" i="1"/>
  <c r="E318" i="1" s="1"/>
  <c r="F319" i="1"/>
  <c r="F320" i="1"/>
  <c r="F321" i="1"/>
  <c r="E321" i="1" s="1"/>
  <c r="F322" i="1"/>
  <c r="E322" i="1" s="1"/>
  <c r="F323" i="1"/>
  <c r="F324" i="1"/>
  <c r="F325" i="1"/>
  <c r="E325" i="1" s="1"/>
  <c r="F326" i="1"/>
  <c r="E326" i="1" s="1"/>
  <c r="F327" i="1"/>
  <c r="F328" i="1"/>
  <c r="F329" i="1"/>
  <c r="E329" i="1" s="1"/>
  <c r="F330" i="1"/>
  <c r="E330" i="1" s="1"/>
  <c r="F331" i="1"/>
  <c r="F332" i="1"/>
  <c r="F333" i="1"/>
  <c r="E333" i="1" s="1"/>
  <c r="F334" i="1"/>
  <c r="E334" i="1" s="1"/>
  <c r="F335" i="1"/>
  <c r="F336" i="1"/>
  <c r="F337" i="1"/>
  <c r="E337" i="1" s="1"/>
  <c r="F338" i="1"/>
  <c r="E338" i="1" s="1"/>
  <c r="F339" i="1"/>
  <c r="F340" i="1"/>
  <c r="F341" i="1"/>
  <c r="E341" i="1" s="1"/>
  <c r="F342" i="1"/>
  <c r="E342" i="1" s="1"/>
  <c r="F343" i="1"/>
  <c r="F344" i="1"/>
  <c r="F345" i="1"/>
  <c r="E345" i="1" s="1"/>
  <c r="F346" i="1"/>
  <c r="E346" i="1" s="1"/>
  <c r="F347" i="1"/>
  <c r="F348" i="1"/>
  <c r="F349" i="1"/>
  <c r="E349" i="1" s="1"/>
  <c r="F350" i="1"/>
  <c r="E350" i="1" s="1"/>
  <c r="F351" i="1"/>
  <c r="F352" i="1"/>
  <c r="F353" i="1"/>
  <c r="E353" i="1" s="1"/>
  <c r="F354" i="1"/>
  <c r="E354" i="1" s="1"/>
  <c r="F355" i="1"/>
  <c r="F356" i="1"/>
  <c r="F357" i="1"/>
  <c r="E357" i="1" s="1"/>
  <c r="F358" i="1"/>
  <c r="E358" i="1" s="1"/>
  <c r="F359" i="1"/>
  <c r="F360" i="1"/>
  <c r="F361" i="1"/>
  <c r="E361" i="1" s="1"/>
  <c r="F362" i="1"/>
  <c r="E362" i="1" s="1"/>
  <c r="F363" i="1"/>
  <c r="F364" i="1"/>
  <c r="F365" i="1"/>
  <c r="E365" i="1" s="1"/>
  <c r="F366" i="1"/>
  <c r="E366" i="1" s="1"/>
  <c r="F367" i="1"/>
  <c r="F368" i="1"/>
  <c r="F369" i="1"/>
  <c r="E369" i="1" s="1"/>
  <c r="F370" i="1"/>
  <c r="E370" i="1" s="1"/>
  <c r="F371" i="1"/>
  <c r="F372" i="1"/>
  <c r="F373" i="1"/>
  <c r="E373" i="1" s="1"/>
  <c r="F374" i="1"/>
  <c r="E374" i="1" s="1"/>
  <c r="F375" i="1"/>
  <c r="F376" i="1"/>
  <c r="F377" i="1"/>
  <c r="E377" i="1" s="1"/>
  <c r="F378" i="1"/>
  <c r="E378" i="1" s="1"/>
  <c r="F379" i="1"/>
  <c r="F380" i="1"/>
  <c r="F381" i="1"/>
  <c r="E381" i="1" s="1"/>
  <c r="F382" i="1"/>
  <c r="E382" i="1" s="1"/>
  <c r="F383" i="1"/>
  <c r="F384" i="1"/>
  <c r="F385" i="1"/>
  <c r="E385" i="1" s="1"/>
  <c r="F386" i="1"/>
  <c r="E386" i="1" s="1"/>
  <c r="F387" i="1"/>
  <c r="F388" i="1"/>
  <c r="F389" i="1"/>
  <c r="E389" i="1" s="1"/>
  <c r="F390" i="1"/>
  <c r="E390" i="1" s="1"/>
  <c r="F391" i="1"/>
  <c r="F392" i="1"/>
  <c r="F393" i="1"/>
  <c r="E393" i="1" s="1"/>
  <c r="F394" i="1"/>
  <c r="E394" i="1" s="1"/>
  <c r="F395" i="1"/>
  <c r="F396" i="1"/>
  <c r="F397" i="1"/>
  <c r="E397" i="1" s="1"/>
  <c r="F398" i="1"/>
  <c r="E398" i="1" s="1"/>
  <c r="F399" i="1"/>
  <c r="F400" i="1"/>
  <c r="F401" i="1"/>
  <c r="F402" i="1"/>
  <c r="E402" i="1" s="1"/>
  <c r="F403" i="1"/>
  <c r="F404" i="1"/>
  <c r="F405" i="1"/>
  <c r="E405" i="1" s="1"/>
  <c r="F406" i="1"/>
  <c r="E406" i="1" s="1"/>
  <c r="F407" i="1"/>
  <c r="F408" i="1"/>
  <c r="F409" i="1"/>
  <c r="E409" i="1" s="1"/>
  <c r="F410" i="1"/>
  <c r="E410" i="1" s="1"/>
  <c r="F411" i="1"/>
  <c r="F412" i="1"/>
  <c r="F413" i="1"/>
  <c r="F414" i="1"/>
  <c r="E414" i="1" s="1"/>
  <c r="F415" i="1"/>
  <c r="F416" i="1"/>
  <c r="F417" i="1"/>
  <c r="E417" i="1" s="1"/>
  <c r="F418" i="1"/>
  <c r="E418" i="1" s="1"/>
  <c r="F419" i="1"/>
  <c r="F420" i="1"/>
  <c r="F421" i="1"/>
  <c r="E421" i="1" s="1"/>
  <c r="F422" i="1"/>
  <c r="E422" i="1" s="1"/>
  <c r="F423" i="1"/>
  <c r="F424" i="1"/>
  <c r="F425" i="1"/>
  <c r="E425" i="1" s="1"/>
  <c r="F426" i="1"/>
  <c r="E426" i="1" s="1"/>
  <c r="F427" i="1"/>
  <c r="F428" i="1"/>
  <c r="F429" i="1"/>
  <c r="E429" i="1" s="1"/>
  <c r="F430" i="1"/>
  <c r="E430" i="1" s="1"/>
  <c r="F431" i="1"/>
  <c r="F432" i="1"/>
  <c r="F433" i="1"/>
  <c r="E433" i="1" s="1"/>
  <c r="F434" i="1"/>
  <c r="E434" i="1" s="1"/>
  <c r="F435" i="1"/>
  <c r="F436" i="1"/>
  <c r="F437" i="1"/>
  <c r="E437" i="1" s="1"/>
  <c r="F438" i="1"/>
  <c r="E438" i="1" s="1"/>
  <c r="F439" i="1"/>
  <c r="F440" i="1"/>
  <c r="F441" i="1"/>
  <c r="E441" i="1" s="1"/>
  <c r="F442" i="1"/>
  <c r="E442" i="1" s="1"/>
  <c r="F443" i="1"/>
  <c r="F444" i="1"/>
  <c r="F445" i="1"/>
  <c r="E445" i="1" s="1"/>
  <c r="F446" i="1"/>
  <c r="E446" i="1" s="1"/>
  <c r="F447" i="1"/>
  <c r="F448" i="1"/>
  <c r="F449" i="1"/>
  <c r="E449" i="1" s="1"/>
  <c r="F450" i="1"/>
  <c r="E450" i="1" s="1"/>
  <c r="F451" i="1"/>
  <c r="F452" i="1"/>
  <c r="F453" i="1"/>
  <c r="E453" i="1" s="1"/>
  <c r="F454" i="1"/>
  <c r="E454" i="1" s="1"/>
  <c r="F455" i="1"/>
  <c r="F456" i="1"/>
  <c r="F457" i="1"/>
  <c r="E457" i="1" s="1"/>
  <c r="F458" i="1"/>
  <c r="E458" i="1" s="1"/>
  <c r="F459" i="1"/>
  <c r="F460" i="1"/>
  <c r="F461" i="1"/>
  <c r="E461" i="1" s="1"/>
  <c r="F462" i="1"/>
  <c r="E462" i="1" s="1"/>
  <c r="F463" i="1"/>
  <c r="F464" i="1"/>
  <c r="F465" i="1"/>
  <c r="E465" i="1" s="1"/>
  <c r="F466" i="1"/>
  <c r="E466" i="1" s="1"/>
  <c r="F467" i="1"/>
  <c r="F468" i="1"/>
  <c r="F469" i="1"/>
  <c r="E469" i="1" s="1"/>
  <c r="F470" i="1"/>
  <c r="E470" i="1" s="1"/>
  <c r="F471" i="1"/>
  <c r="F472" i="1"/>
  <c r="F473" i="1"/>
  <c r="E473" i="1" s="1"/>
  <c r="F474" i="1"/>
  <c r="E474" i="1" s="1"/>
  <c r="F475" i="1"/>
  <c r="F476" i="1"/>
  <c r="F477" i="1"/>
  <c r="E477" i="1" s="1"/>
  <c r="F478" i="1"/>
  <c r="E478" i="1" s="1"/>
  <c r="F479" i="1"/>
  <c r="F480" i="1"/>
  <c r="F481" i="1"/>
  <c r="E481" i="1" s="1"/>
  <c r="F482" i="1"/>
  <c r="E482" i="1" s="1"/>
  <c r="F483" i="1"/>
  <c r="F484" i="1"/>
  <c r="F485" i="1"/>
  <c r="E485" i="1" s="1"/>
  <c r="F486" i="1"/>
  <c r="E486" i="1" s="1"/>
  <c r="F487" i="1"/>
  <c r="F488" i="1"/>
  <c r="F489" i="1"/>
  <c r="E489" i="1" s="1"/>
  <c r="F490" i="1"/>
  <c r="E490" i="1" s="1"/>
  <c r="F491" i="1"/>
  <c r="F492" i="1"/>
  <c r="F493" i="1"/>
  <c r="E493" i="1" s="1"/>
  <c r="F494" i="1"/>
  <c r="E494" i="1" s="1"/>
  <c r="F495" i="1"/>
  <c r="F496" i="1"/>
  <c r="F497" i="1"/>
  <c r="E497" i="1" s="1"/>
  <c r="F498" i="1"/>
  <c r="E498" i="1" s="1"/>
  <c r="F499" i="1"/>
  <c r="F500" i="1"/>
  <c r="F501" i="1"/>
  <c r="E501" i="1" s="1"/>
  <c r="F502" i="1"/>
  <c r="E502" i="1" s="1"/>
  <c r="F503" i="1"/>
  <c r="F504" i="1"/>
  <c r="F505" i="1"/>
  <c r="E505" i="1" s="1"/>
  <c r="F506" i="1"/>
  <c r="E506" i="1" s="1"/>
  <c r="F507" i="1"/>
  <c r="F508" i="1"/>
  <c r="F509" i="1"/>
  <c r="E509" i="1" s="1"/>
  <c r="F510" i="1"/>
  <c r="E510" i="1" s="1"/>
  <c r="F511" i="1"/>
  <c r="F512" i="1"/>
  <c r="F513" i="1"/>
  <c r="E513" i="1" s="1"/>
  <c r="F514" i="1"/>
  <c r="E514" i="1" s="1"/>
  <c r="F515" i="1"/>
  <c r="F516" i="1"/>
  <c r="F517" i="1"/>
  <c r="E517" i="1" s="1"/>
  <c r="F518" i="1"/>
  <c r="E518" i="1" s="1"/>
  <c r="F519" i="1"/>
  <c r="F520" i="1"/>
  <c r="F521" i="1"/>
  <c r="E521" i="1" s="1"/>
  <c r="F522" i="1"/>
  <c r="E522" i="1" s="1"/>
  <c r="F523" i="1"/>
  <c r="F524" i="1"/>
  <c r="F525" i="1"/>
  <c r="E525" i="1" s="1"/>
  <c r="F526" i="1"/>
  <c r="E526" i="1" s="1"/>
  <c r="F527" i="1"/>
  <c r="F528" i="1"/>
  <c r="F529" i="1"/>
  <c r="F530" i="1"/>
  <c r="E530" i="1" s="1"/>
  <c r="F531" i="1"/>
  <c r="F532" i="1"/>
  <c r="F533" i="1"/>
  <c r="E533" i="1" s="1"/>
  <c r="F534" i="1"/>
  <c r="E534" i="1" s="1"/>
  <c r="F535" i="1"/>
  <c r="F536" i="1"/>
  <c r="F537" i="1"/>
  <c r="E537" i="1" s="1"/>
  <c r="F538" i="1"/>
  <c r="E538" i="1" s="1"/>
  <c r="F539" i="1"/>
  <c r="F540" i="1"/>
  <c r="F541" i="1"/>
  <c r="F542" i="1"/>
  <c r="E542" i="1" s="1"/>
  <c r="F543" i="1"/>
  <c r="F544" i="1"/>
  <c r="F545" i="1"/>
  <c r="E545" i="1" s="1"/>
  <c r="F546" i="1"/>
  <c r="E546" i="1" s="1"/>
  <c r="F547" i="1"/>
  <c r="F548" i="1"/>
  <c r="F549" i="1"/>
  <c r="E549" i="1" s="1"/>
  <c r="F550" i="1"/>
  <c r="E550" i="1" s="1"/>
  <c r="F551" i="1"/>
  <c r="F552" i="1"/>
  <c r="F553" i="1"/>
  <c r="E553" i="1" s="1"/>
  <c r="F554" i="1"/>
  <c r="E554" i="1" s="1"/>
  <c r="F555" i="1"/>
  <c r="F556" i="1"/>
  <c r="F557" i="1"/>
  <c r="E557" i="1" s="1"/>
  <c r="F558" i="1"/>
  <c r="E558" i="1" s="1"/>
  <c r="F559" i="1"/>
  <c r="F560" i="1"/>
  <c r="F561" i="1"/>
  <c r="E561" i="1" s="1"/>
  <c r="F562" i="1"/>
  <c r="E562" i="1" s="1"/>
  <c r="F563" i="1"/>
  <c r="F564" i="1"/>
  <c r="F565" i="1"/>
  <c r="E565" i="1" s="1"/>
  <c r="F566" i="1"/>
  <c r="E566" i="1" s="1"/>
  <c r="F567" i="1"/>
  <c r="F568" i="1"/>
  <c r="F569" i="1"/>
  <c r="E569" i="1" s="1"/>
  <c r="F570" i="1"/>
  <c r="E570" i="1" s="1"/>
  <c r="F571" i="1"/>
  <c r="F572" i="1"/>
  <c r="F573" i="1"/>
  <c r="E573" i="1" s="1"/>
  <c r="F574" i="1"/>
  <c r="E574" i="1" s="1"/>
  <c r="F575" i="1"/>
  <c r="F576" i="1"/>
  <c r="F577" i="1"/>
  <c r="E577" i="1" s="1"/>
  <c r="F578" i="1"/>
  <c r="E578" i="1" s="1"/>
  <c r="F579" i="1"/>
  <c r="F580" i="1"/>
  <c r="F581" i="1"/>
  <c r="E581" i="1" s="1"/>
  <c r="F582" i="1"/>
  <c r="E582" i="1" s="1"/>
  <c r="F583" i="1"/>
  <c r="F584" i="1"/>
  <c r="F585" i="1"/>
  <c r="E585" i="1" s="1"/>
  <c r="F586" i="1"/>
  <c r="E586" i="1" s="1"/>
  <c r="F587" i="1"/>
  <c r="F588" i="1"/>
  <c r="F589" i="1"/>
  <c r="E589" i="1" s="1"/>
  <c r="F590" i="1"/>
  <c r="E590" i="1" s="1"/>
  <c r="F591" i="1"/>
  <c r="F592" i="1"/>
  <c r="F593" i="1"/>
  <c r="E593" i="1" s="1"/>
  <c r="F594" i="1"/>
  <c r="E594" i="1" s="1"/>
  <c r="F595" i="1"/>
  <c r="F596" i="1"/>
  <c r="F597" i="1"/>
  <c r="E597" i="1" s="1"/>
  <c r="F598" i="1"/>
  <c r="E598" i="1" s="1"/>
  <c r="F599" i="1"/>
  <c r="F600" i="1"/>
  <c r="F601" i="1"/>
  <c r="E601" i="1" s="1"/>
  <c r="F602" i="1"/>
  <c r="E602" i="1" s="1"/>
  <c r="F603" i="1"/>
  <c r="F604" i="1"/>
  <c r="F605" i="1"/>
  <c r="E605" i="1" s="1"/>
  <c r="F606" i="1"/>
  <c r="E606" i="1" s="1"/>
  <c r="F607" i="1"/>
  <c r="F608" i="1"/>
  <c r="F609" i="1"/>
  <c r="E609" i="1" s="1"/>
  <c r="F610" i="1"/>
  <c r="E610" i="1" s="1"/>
  <c r="F611" i="1"/>
  <c r="F612" i="1"/>
  <c r="F613" i="1"/>
  <c r="E613" i="1" s="1"/>
  <c r="F614" i="1"/>
  <c r="E614" i="1" s="1"/>
  <c r="F615" i="1"/>
  <c r="F616" i="1"/>
  <c r="F617" i="1"/>
  <c r="E617" i="1" s="1"/>
  <c r="F618" i="1"/>
  <c r="E618" i="1" s="1"/>
  <c r="F619" i="1"/>
  <c r="F620" i="1"/>
  <c r="F621" i="1"/>
  <c r="E621" i="1" s="1"/>
  <c r="F622" i="1"/>
  <c r="E622" i="1" s="1"/>
  <c r="F623" i="1"/>
  <c r="F624" i="1"/>
  <c r="F625" i="1"/>
  <c r="E625" i="1" s="1"/>
  <c r="F626" i="1"/>
  <c r="E626" i="1" s="1"/>
  <c r="F627" i="1"/>
  <c r="F628" i="1"/>
  <c r="F629" i="1"/>
  <c r="E629" i="1" s="1"/>
  <c r="F630" i="1"/>
  <c r="E630" i="1" s="1"/>
  <c r="F631" i="1"/>
  <c r="F632" i="1"/>
  <c r="F633" i="1"/>
  <c r="E633" i="1" s="1"/>
  <c r="F634" i="1"/>
  <c r="E634" i="1" s="1"/>
  <c r="F635" i="1"/>
  <c r="F636" i="1"/>
  <c r="F637" i="1"/>
  <c r="E637" i="1" s="1"/>
  <c r="F638" i="1"/>
  <c r="E638" i="1" s="1"/>
  <c r="F639" i="1"/>
  <c r="F640" i="1"/>
  <c r="F641" i="1"/>
  <c r="E641" i="1" s="1"/>
  <c r="F642" i="1"/>
  <c r="E642" i="1" s="1"/>
  <c r="F643" i="1"/>
  <c r="F644" i="1"/>
  <c r="F645" i="1"/>
  <c r="E645" i="1" s="1"/>
  <c r="F646" i="1"/>
  <c r="E646" i="1" s="1"/>
  <c r="F647" i="1"/>
  <c r="F648" i="1"/>
  <c r="F649" i="1"/>
  <c r="E649" i="1" s="1"/>
  <c r="F650" i="1"/>
  <c r="E650" i="1" s="1"/>
  <c r="F651" i="1"/>
  <c r="F652" i="1"/>
  <c r="F653" i="1"/>
  <c r="E653" i="1" s="1"/>
  <c r="F654" i="1"/>
  <c r="E654" i="1" s="1"/>
  <c r="F655" i="1"/>
  <c r="F656" i="1"/>
  <c r="F657" i="1"/>
  <c r="F658" i="1"/>
  <c r="E658" i="1" s="1"/>
  <c r="F659" i="1"/>
  <c r="F660" i="1"/>
  <c r="F661" i="1"/>
  <c r="E661" i="1" s="1"/>
  <c r="F662" i="1"/>
  <c r="E662" i="1" s="1"/>
  <c r="F663" i="1"/>
  <c r="F664" i="1"/>
  <c r="F665" i="1"/>
  <c r="E665" i="1" s="1"/>
  <c r="F666" i="1"/>
  <c r="E666" i="1" s="1"/>
  <c r="F667" i="1"/>
  <c r="F668" i="1"/>
  <c r="F669" i="1"/>
  <c r="F670" i="1"/>
  <c r="E670" i="1" s="1"/>
  <c r="F671" i="1"/>
  <c r="F672" i="1"/>
  <c r="F673" i="1"/>
  <c r="E673" i="1" s="1"/>
  <c r="F674" i="1"/>
  <c r="E674" i="1" s="1"/>
  <c r="F675" i="1"/>
  <c r="F676" i="1"/>
  <c r="F677" i="1"/>
  <c r="E677" i="1" s="1"/>
  <c r="F678" i="1"/>
  <c r="E678" i="1" s="1"/>
  <c r="F679" i="1"/>
  <c r="F680" i="1"/>
  <c r="F681" i="1"/>
  <c r="E681" i="1" s="1"/>
  <c r="F682" i="1"/>
  <c r="E682" i="1" s="1"/>
  <c r="F683" i="1"/>
  <c r="F684" i="1"/>
  <c r="F685" i="1"/>
  <c r="E685" i="1" s="1"/>
  <c r="F686" i="1"/>
  <c r="E686" i="1" s="1"/>
  <c r="F687" i="1"/>
  <c r="F688" i="1"/>
  <c r="F689" i="1"/>
  <c r="E689" i="1" s="1"/>
  <c r="F690" i="1"/>
  <c r="E690" i="1" s="1"/>
  <c r="F691" i="1"/>
  <c r="F692" i="1"/>
  <c r="F693" i="1"/>
  <c r="E693" i="1" s="1"/>
  <c r="F694" i="1"/>
  <c r="E694" i="1" s="1"/>
  <c r="F695" i="1"/>
  <c r="F696" i="1"/>
  <c r="F697" i="1"/>
  <c r="E697" i="1" s="1"/>
  <c r="F698" i="1"/>
  <c r="E698" i="1" s="1"/>
  <c r="F699" i="1"/>
  <c r="F700" i="1"/>
  <c r="F701" i="1"/>
  <c r="E701" i="1" s="1"/>
  <c r="F702" i="1"/>
  <c r="E702" i="1" s="1"/>
  <c r="F703" i="1"/>
  <c r="F704" i="1"/>
  <c r="F705" i="1"/>
  <c r="E705" i="1" s="1"/>
  <c r="F706" i="1"/>
  <c r="E706" i="1" s="1"/>
  <c r="F707" i="1"/>
  <c r="F708" i="1"/>
  <c r="F709" i="1"/>
  <c r="E709" i="1" s="1"/>
  <c r="F710" i="1"/>
  <c r="E710" i="1" s="1"/>
  <c r="F711" i="1"/>
  <c r="F712" i="1"/>
  <c r="F713" i="1"/>
  <c r="E713" i="1" s="1"/>
  <c r="F714" i="1"/>
  <c r="E714" i="1" s="1"/>
  <c r="F715" i="1"/>
  <c r="F716" i="1"/>
  <c r="F717" i="1"/>
  <c r="E717" i="1" s="1"/>
  <c r="F718" i="1"/>
  <c r="E718" i="1" s="1"/>
  <c r="F719" i="1"/>
  <c r="F720" i="1"/>
  <c r="F721" i="1"/>
  <c r="E721" i="1" s="1"/>
  <c r="F722" i="1"/>
  <c r="E722" i="1" s="1"/>
  <c r="F723" i="1"/>
  <c r="F724" i="1"/>
  <c r="F725" i="1"/>
  <c r="E725" i="1" s="1"/>
  <c r="F726" i="1"/>
  <c r="E726" i="1" s="1"/>
  <c r="F727" i="1"/>
  <c r="F728" i="1"/>
  <c r="F729" i="1"/>
  <c r="E729" i="1" s="1"/>
  <c r="F730" i="1"/>
  <c r="E730" i="1" s="1"/>
  <c r="F731" i="1"/>
  <c r="F732" i="1"/>
  <c r="F733" i="1"/>
  <c r="E733" i="1" s="1"/>
  <c r="F734" i="1"/>
  <c r="E734" i="1" s="1"/>
  <c r="F735" i="1"/>
  <c r="F736" i="1"/>
  <c r="F737" i="1"/>
  <c r="F738" i="1"/>
  <c r="E738" i="1" s="1"/>
  <c r="F739" i="1"/>
  <c r="F740" i="1"/>
  <c r="F741" i="1"/>
  <c r="F742" i="1"/>
  <c r="E742" i="1" s="1"/>
  <c r="F743" i="1"/>
  <c r="F744" i="1"/>
  <c r="F745" i="1"/>
  <c r="E745" i="1" s="1"/>
  <c r="F746" i="1"/>
  <c r="E746" i="1" s="1"/>
  <c r="F747" i="1"/>
  <c r="F748" i="1"/>
  <c r="F749" i="1"/>
  <c r="E749" i="1" s="1"/>
  <c r="F750" i="1"/>
  <c r="E750" i="1" s="1"/>
  <c r="F751" i="1"/>
  <c r="F752" i="1"/>
  <c r="F753" i="1"/>
  <c r="E753" i="1" s="1"/>
  <c r="F754" i="1"/>
  <c r="E754" i="1" s="1"/>
  <c r="F755" i="1"/>
  <c r="F756" i="1"/>
  <c r="F757" i="1"/>
  <c r="E757" i="1" s="1"/>
  <c r="F758" i="1"/>
  <c r="E758" i="1" s="1"/>
  <c r="F759" i="1"/>
  <c r="F760" i="1"/>
  <c r="F761" i="1"/>
  <c r="E761" i="1" s="1"/>
  <c r="F762" i="1"/>
  <c r="E762" i="1" s="1"/>
  <c r="F763" i="1"/>
  <c r="F764" i="1"/>
  <c r="F765" i="1"/>
  <c r="E765" i="1" s="1"/>
  <c r="F766" i="1"/>
  <c r="E766" i="1" s="1"/>
  <c r="F767" i="1"/>
  <c r="F768" i="1"/>
  <c r="F769" i="1"/>
  <c r="E769" i="1" s="1"/>
  <c r="F770" i="1"/>
  <c r="E770" i="1" s="1"/>
  <c r="F771" i="1"/>
  <c r="F772" i="1"/>
  <c r="F773" i="1"/>
  <c r="E773" i="1" s="1"/>
  <c r="F774" i="1"/>
  <c r="E774" i="1" s="1"/>
  <c r="F775" i="1"/>
  <c r="F776" i="1"/>
  <c r="F777" i="1"/>
  <c r="E777" i="1" s="1"/>
  <c r="F778" i="1"/>
  <c r="E778" i="1" s="1"/>
  <c r="F779" i="1"/>
  <c r="F780" i="1"/>
  <c r="F781" i="1"/>
  <c r="E781" i="1" s="1"/>
  <c r="F782" i="1"/>
  <c r="E782" i="1" s="1"/>
  <c r="F783" i="1"/>
  <c r="F784" i="1"/>
  <c r="F785" i="1"/>
  <c r="E785" i="1" s="1"/>
  <c r="F786" i="1"/>
  <c r="E786" i="1" s="1"/>
  <c r="F787" i="1"/>
  <c r="F788" i="1"/>
  <c r="F789" i="1"/>
  <c r="E789" i="1" s="1"/>
  <c r="F790" i="1"/>
  <c r="E790" i="1" s="1"/>
  <c r="F791" i="1"/>
  <c r="F792" i="1"/>
  <c r="F793" i="1"/>
  <c r="E793" i="1" s="1"/>
  <c r="F794" i="1"/>
  <c r="E794" i="1" s="1"/>
  <c r="F795" i="1"/>
  <c r="F796" i="1"/>
  <c r="F797" i="1"/>
  <c r="E797" i="1" s="1"/>
  <c r="F798" i="1"/>
  <c r="E798" i="1" s="1"/>
  <c r="F799" i="1"/>
  <c r="F800" i="1"/>
  <c r="F801" i="1"/>
  <c r="F802" i="1"/>
  <c r="E802" i="1" s="1"/>
  <c r="F803" i="1"/>
  <c r="F804" i="1"/>
  <c r="F805" i="1"/>
  <c r="F806" i="1"/>
  <c r="E806" i="1" s="1"/>
  <c r="F807" i="1"/>
  <c r="F808" i="1"/>
  <c r="F809" i="1"/>
  <c r="E809" i="1" s="1"/>
  <c r="F810" i="1"/>
  <c r="E810" i="1" s="1"/>
  <c r="F811" i="1"/>
  <c r="F812" i="1"/>
  <c r="F813" i="1"/>
  <c r="E813" i="1" s="1"/>
  <c r="F814" i="1"/>
  <c r="E814" i="1" s="1"/>
  <c r="F815" i="1"/>
  <c r="F816" i="1"/>
  <c r="F817" i="1"/>
  <c r="E817" i="1" s="1"/>
  <c r="F818" i="1"/>
  <c r="E818" i="1" s="1"/>
  <c r="F819" i="1"/>
  <c r="F820" i="1"/>
  <c r="F821" i="1"/>
  <c r="E821" i="1" s="1"/>
  <c r="F822" i="1"/>
  <c r="E822" i="1" s="1"/>
  <c r="F823" i="1"/>
  <c r="F824" i="1"/>
  <c r="F825" i="1"/>
  <c r="E825" i="1" s="1"/>
  <c r="F826" i="1"/>
  <c r="E826" i="1" s="1"/>
  <c r="F827" i="1"/>
  <c r="F828" i="1"/>
  <c r="F829" i="1"/>
  <c r="E829" i="1" s="1"/>
  <c r="F830" i="1"/>
  <c r="E830" i="1" s="1"/>
  <c r="F831" i="1"/>
  <c r="F832" i="1"/>
  <c r="F833" i="1"/>
  <c r="E833" i="1" s="1"/>
  <c r="F834" i="1"/>
  <c r="E834" i="1" s="1"/>
  <c r="F835" i="1"/>
  <c r="F836" i="1"/>
  <c r="F837" i="1"/>
  <c r="E837" i="1" s="1"/>
  <c r="F838" i="1"/>
  <c r="E838" i="1" s="1"/>
  <c r="F839" i="1"/>
  <c r="F840" i="1"/>
  <c r="F841" i="1"/>
  <c r="E841" i="1" s="1"/>
  <c r="F842" i="1"/>
  <c r="E842" i="1" s="1"/>
  <c r="F843" i="1"/>
  <c r="F844" i="1"/>
  <c r="F845" i="1"/>
  <c r="E845" i="1" s="1"/>
  <c r="F846" i="1"/>
  <c r="E846" i="1" s="1"/>
  <c r="F847" i="1"/>
  <c r="F848" i="1"/>
  <c r="F849" i="1"/>
  <c r="E849" i="1" s="1"/>
  <c r="F850" i="1"/>
  <c r="E850" i="1" s="1"/>
  <c r="F851" i="1"/>
  <c r="F852" i="1"/>
  <c r="F853" i="1"/>
  <c r="E853" i="1" s="1"/>
  <c r="F854" i="1"/>
  <c r="E854" i="1" s="1"/>
  <c r="F855" i="1"/>
  <c r="F856" i="1"/>
  <c r="F857" i="1"/>
  <c r="E857" i="1" s="1"/>
  <c r="F858" i="1"/>
  <c r="E858" i="1" s="1"/>
  <c r="F859" i="1"/>
  <c r="F860" i="1"/>
  <c r="F861" i="1"/>
  <c r="E861" i="1" s="1"/>
  <c r="F862" i="1"/>
  <c r="E862" i="1" s="1"/>
  <c r="F863" i="1"/>
  <c r="F864" i="1"/>
  <c r="F865" i="1"/>
  <c r="F866" i="1"/>
  <c r="E866" i="1" s="1"/>
  <c r="F867" i="1"/>
  <c r="F868" i="1"/>
  <c r="F869" i="1"/>
  <c r="F870" i="1"/>
  <c r="E870" i="1" s="1"/>
  <c r="F871" i="1"/>
  <c r="F872" i="1"/>
  <c r="F873" i="1"/>
  <c r="E873" i="1" s="1"/>
  <c r="F874" i="1"/>
  <c r="E874" i="1" s="1"/>
  <c r="F875" i="1"/>
  <c r="F876" i="1"/>
  <c r="F877" i="1"/>
  <c r="E877" i="1" s="1"/>
  <c r="F878" i="1"/>
  <c r="E878" i="1" s="1"/>
  <c r="F879" i="1"/>
  <c r="F880" i="1"/>
  <c r="F881" i="1"/>
  <c r="E881" i="1" s="1"/>
  <c r="F882" i="1"/>
  <c r="E882" i="1" s="1"/>
  <c r="F883" i="1"/>
  <c r="F884" i="1"/>
  <c r="F885" i="1"/>
  <c r="F886" i="1"/>
  <c r="E886" i="1" s="1"/>
  <c r="F887" i="1"/>
  <c r="F888" i="1"/>
  <c r="F889" i="1"/>
  <c r="E889" i="1" s="1"/>
  <c r="F890" i="1"/>
  <c r="E890" i="1" s="1"/>
  <c r="F891" i="1"/>
  <c r="F892" i="1"/>
  <c r="F893" i="1"/>
  <c r="E893" i="1" s="1"/>
  <c r="F894" i="1"/>
  <c r="E894" i="1" s="1"/>
  <c r="F895" i="1"/>
  <c r="F896" i="1"/>
  <c r="F897" i="1"/>
  <c r="F898" i="1"/>
  <c r="E898" i="1" s="1"/>
  <c r="F899" i="1"/>
  <c r="F900" i="1"/>
  <c r="F901" i="1"/>
  <c r="E901" i="1" s="1"/>
  <c r="F902" i="1"/>
  <c r="E902" i="1" s="1"/>
  <c r="F903" i="1"/>
  <c r="F904" i="1"/>
  <c r="F905" i="1"/>
  <c r="E905" i="1" s="1"/>
  <c r="F906" i="1"/>
  <c r="E906" i="1" s="1"/>
  <c r="F907" i="1"/>
  <c r="F908" i="1"/>
  <c r="F909" i="1"/>
  <c r="E909" i="1" s="1"/>
  <c r="F910" i="1"/>
  <c r="E910" i="1" s="1"/>
  <c r="F911" i="1"/>
  <c r="F912" i="1"/>
  <c r="F913" i="1"/>
  <c r="E913" i="1" s="1"/>
  <c r="F914" i="1"/>
  <c r="E914" i="1" s="1"/>
  <c r="F915" i="1"/>
  <c r="F916" i="1"/>
  <c r="F917" i="1"/>
  <c r="E917" i="1" s="1"/>
  <c r="F918" i="1"/>
  <c r="E918" i="1" s="1"/>
  <c r="F919" i="1"/>
  <c r="F920" i="1"/>
  <c r="F921" i="1"/>
  <c r="E921" i="1" s="1"/>
  <c r="F922" i="1"/>
  <c r="E922" i="1" s="1"/>
  <c r="F923" i="1"/>
  <c r="F924" i="1"/>
  <c r="F925" i="1"/>
  <c r="E925" i="1" s="1"/>
  <c r="F926" i="1"/>
  <c r="E926" i="1" s="1"/>
  <c r="F927" i="1"/>
  <c r="F928" i="1"/>
  <c r="F929" i="1"/>
  <c r="E929" i="1" s="1"/>
  <c r="F930" i="1"/>
  <c r="E930" i="1" s="1"/>
  <c r="F931" i="1"/>
  <c r="F932" i="1"/>
  <c r="F933" i="1"/>
  <c r="E933" i="1" s="1"/>
  <c r="F934" i="1"/>
  <c r="E934" i="1" s="1"/>
  <c r="F935" i="1"/>
  <c r="F936" i="1"/>
  <c r="F937" i="1"/>
  <c r="E937" i="1" s="1"/>
  <c r="F938" i="1"/>
  <c r="E938" i="1" s="1"/>
  <c r="F939" i="1"/>
  <c r="F940" i="1"/>
  <c r="F941" i="1"/>
  <c r="E941" i="1" s="1"/>
  <c r="F942" i="1"/>
  <c r="E942" i="1" s="1"/>
  <c r="F943" i="1"/>
  <c r="F944" i="1"/>
  <c r="F945" i="1"/>
  <c r="E945" i="1" s="1"/>
  <c r="F946" i="1"/>
  <c r="E946" i="1" s="1"/>
  <c r="F947" i="1"/>
  <c r="F948" i="1"/>
  <c r="F949" i="1"/>
  <c r="E949" i="1" s="1"/>
  <c r="F950" i="1"/>
  <c r="E950" i="1" s="1"/>
  <c r="F951" i="1"/>
  <c r="F952" i="1"/>
  <c r="F953" i="1"/>
  <c r="E953" i="1" s="1"/>
  <c r="F954" i="1"/>
  <c r="E954" i="1" s="1"/>
  <c r="F955" i="1"/>
  <c r="F956" i="1"/>
  <c r="F957" i="1"/>
  <c r="E957" i="1" s="1"/>
  <c r="F958" i="1"/>
  <c r="E958" i="1" s="1"/>
  <c r="F959" i="1"/>
  <c r="F960" i="1"/>
  <c r="F961" i="1"/>
  <c r="E961" i="1" s="1"/>
  <c r="F962" i="1"/>
  <c r="E962" i="1" s="1"/>
  <c r="F963" i="1"/>
  <c r="F964" i="1"/>
  <c r="F965" i="1"/>
  <c r="E965" i="1" s="1"/>
  <c r="F966" i="1"/>
  <c r="E966" i="1" s="1"/>
  <c r="F967" i="1"/>
  <c r="F968" i="1"/>
  <c r="F969" i="1"/>
  <c r="E969" i="1" s="1"/>
  <c r="F970" i="1"/>
  <c r="E970" i="1" s="1"/>
  <c r="F971" i="1"/>
  <c r="F972" i="1"/>
  <c r="F973" i="1"/>
  <c r="E973" i="1" s="1"/>
  <c r="F974" i="1"/>
  <c r="E974" i="1" s="1"/>
  <c r="F975" i="1"/>
  <c r="F976" i="1"/>
  <c r="F977" i="1"/>
  <c r="E977" i="1" s="1"/>
  <c r="F978" i="1"/>
  <c r="E978" i="1" s="1"/>
  <c r="F979" i="1"/>
  <c r="F980" i="1"/>
  <c r="F981" i="1"/>
  <c r="E981" i="1" s="1"/>
  <c r="F982" i="1"/>
  <c r="E982" i="1" s="1"/>
  <c r="F983" i="1"/>
  <c r="F984" i="1"/>
  <c r="F985" i="1"/>
  <c r="E985" i="1" s="1"/>
  <c r="F986" i="1"/>
  <c r="E986" i="1" s="1"/>
  <c r="F987" i="1"/>
  <c r="F988" i="1"/>
  <c r="F989" i="1"/>
  <c r="E989" i="1" s="1"/>
  <c r="F990" i="1"/>
  <c r="E990" i="1" s="1"/>
  <c r="F991" i="1"/>
  <c r="F992" i="1"/>
  <c r="F993" i="1"/>
  <c r="E993" i="1" s="1"/>
  <c r="F994" i="1"/>
  <c r="E994" i="1" s="1"/>
  <c r="F995" i="1"/>
  <c r="F996" i="1"/>
  <c r="F997" i="1"/>
  <c r="E997" i="1" s="1"/>
  <c r="F998" i="1"/>
  <c r="E998" i="1" s="1"/>
  <c r="F999" i="1"/>
  <c r="E999" i="1" s="1"/>
  <c r="F1000" i="1"/>
  <c r="E8" i="1"/>
  <c r="E11" i="1"/>
  <c r="E12" i="1"/>
  <c r="E15" i="1"/>
  <c r="E16" i="1"/>
  <c r="E19" i="1"/>
  <c r="E20" i="1"/>
  <c r="E23" i="1"/>
  <c r="E24" i="1"/>
  <c r="E27" i="1"/>
  <c r="E28" i="1"/>
  <c r="E29" i="1"/>
  <c r="E31" i="1"/>
  <c r="E32" i="1"/>
  <c r="E35" i="1"/>
  <c r="E36" i="1"/>
  <c r="E39" i="1"/>
  <c r="E40" i="1"/>
  <c r="E43" i="1"/>
  <c r="E44" i="1"/>
  <c r="E47" i="1"/>
  <c r="E48" i="1"/>
  <c r="E51" i="1"/>
  <c r="E52" i="1"/>
  <c r="E55" i="1"/>
  <c r="E56" i="1"/>
  <c r="E59" i="1"/>
  <c r="E60" i="1"/>
  <c r="E63" i="1"/>
  <c r="E64" i="1"/>
  <c r="E67" i="1"/>
  <c r="E68" i="1"/>
  <c r="E71" i="1"/>
  <c r="E72" i="1"/>
  <c r="E75" i="1"/>
  <c r="E76" i="1"/>
  <c r="E79" i="1"/>
  <c r="E80" i="1"/>
  <c r="E83" i="1"/>
  <c r="E84" i="1"/>
  <c r="E87" i="1"/>
  <c r="E88" i="1"/>
  <c r="E91" i="1"/>
  <c r="E92" i="1"/>
  <c r="E95" i="1"/>
  <c r="E96" i="1"/>
  <c r="E99" i="1"/>
  <c r="E100" i="1"/>
  <c r="E103" i="1"/>
  <c r="E104" i="1"/>
  <c r="E107" i="1"/>
  <c r="E108" i="1"/>
  <c r="E111" i="1"/>
  <c r="E112" i="1"/>
  <c r="E115" i="1"/>
  <c r="E116" i="1"/>
  <c r="E119" i="1"/>
  <c r="E120" i="1"/>
  <c r="E123" i="1"/>
  <c r="E124" i="1"/>
  <c r="E127" i="1"/>
  <c r="E128" i="1"/>
  <c r="E131" i="1"/>
  <c r="E132" i="1"/>
  <c r="E135" i="1"/>
  <c r="E136" i="1"/>
  <c r="E139" i="1"/>
  <c r="E140" i="1"/>
  <c r="E143" i="1"/>
  <c r="E144" i="1"/>
  <c r="E145" i="1"/>
  <c r="E147" i="1"/>
  <c r="E148" i="1"/>
  <c r="E151" i="1"/>
  <c r="E152" i="1"/>
  <c r="E155" i="1"/>
  <c r="E156" i="1"/>
  <c r="E157" i="1"/>
  <c r="E159" i="1"/>
  <c r="E160" i="1"/>
  <c r="E163" i="1"/>
  <c r="E164" i="1"/>
  <c r="E167" i="1"/>
  <c r="E168" i="1"/>
  <c r="E171" i="1"/>
  <c r="E172" i="1"/>
  <c r="E175" i="1"/>
  <c r="E176" i="1"/>
  <c r="E179" i="1"/>
  <c r="E180" i="1"/>
  <c r="E183" i="1"/>
  <c r="E184" i="1"/>
  <c r="E187" i="1"/>
  <c r="E188" i="1"/>
  <c r="E191" i="1"/>
  <c r="E192" i="1"/>
  <c r="E195" i="1"/>
  <c r="E196" i="1"/>
  <c r="E199" i="1"/>
  <c r="E200" i="1"/>
  <c r="E203" i="1"/>
  <c r="E204" i="1"/>
  <c r="E207" i="1"/>
  <c r="E208" i="1"/>
  <c r="E211" i="1"/>
  <c r="E212" i="1"/>
  <c r="E215" i="1"/>
  <c r="E216" i="1"/>
  <c r="E219" i="1"/>
  <c r="E220" i="1"/>
  <c r="E223" i="1"/>
  <c r="E224" i="1"/>
  <c r="E227" i="1"/>
  <c r="E228" i="1"/>
  <c r="E231" i="1"/>
  <c r="E232" i="1"/>
  <c r="E235" i="1"/>
  <c r="E236" i="1"/>
  <c r="E239" i="1"/>
  <c r="E240" i="1"/>
  <c r="E243" i="1"/>
  <c r="E244" i="1"/>
  <c r="E247" i="1"/>
  <c r="E248" i="1"/>
  <c r="E251" i="1"/>
  <c r="E252" i="1"/>
  <c r="E255" i="1"/>
  <c r="E256" i="1"/>
  <c r="E259" i="1"/>
  <c r="E260" i="1"/>
  <c r="E263" i="1"/>
  <c r="E264" i="1"/>
  <c r="E267" i="1"/>
  <c r="E268" i="1"/>
  <c r="E271" i="1"/>
  <c r="E272" i="1"/>
  <c r="E273" i="1"/>
  <c r="E275" i="1"/>
  <c r="E276" i="1"/>
  <c r="E279" i="1"/>
  <c r="E280" i="1"/>
  <c r="E283" i="1"/>
  <c r="E284" i="1"/>
  <c r="E285" i="1"/>
  <c r="E287" i="1"/>
  <c r="E288" i="1"/>
  <c r="E291" i="1"/>
  <c r="E292" i="1"/>
  <c r="E295" i="1"/>
  <c r="E296" i="1"/>
  <c r="E299" i="1"/>
  <c r="E300" i="1"/>
  <c r="E303" i="1"/>
  <c r="E304" i="1"/>
  <c r="E307" i="1"/>
  <c r="E308" i="1"/>
  <c r="E311" i="1"/>
  <c r="E312" i="1"/>
  <c r="E315" i="1"/>
  <c r="E316" i="1"/>
  <c r="E319" i="1"/>
  <c r="E320" i="1"/>
  <c r="E323" i="1"/>
  <c r="E324" i="1"/>
  <c r="E327" i="1"/>
  <c r="E328" i="1"/>
  <c r="E331" i="1"/>
  <c r="E332" i="1"/>
  <c r="E335" i="1"/>
  <c r="E336" i="1"/>
  <c r="E339" i="1"/>
  <c r="E340" i="1"/>
  <c r="E343" i="1"/>
  <c r="E344" i="1"/>
  <c r="E347" i="1"/>
  <c r="E348" i="1"/>
  <c r="E351" i="1"/>
  <c r="E352" i="1"/>
  <c r="E355" i="1"/>
  <c r="E356" i="1"/>
  <c r="E359" i="1"/>
  <c r="E360" i="1"/>
  <c r="E363" i="1"/>
  <c r="E364" i="1"/>
  <c r="E367" i="1"/>
  <c r="E368" i="1"/>
  <c r="E371" i="1"/>
  <c r="E372" i="1"/>
  <c r="E375" i="1"/>
  <c r="E376" i="1"/>
  <c r="E379" i="1"/>
  <c r="E380" i="1"/>
  <c r="E383" i="1"/>
  <c r="E384" i="1"/>
  <c r="E387" i="1"/>
  <c r="E388" i="1"/>
  <c r="E391" i="1"/>
  <c r="E392" i="1"/>
  <c r="E395" i="1"/>
  <c r="E396" i="1"/>
  <c r="E399" i="1"/>
  <c r="E400" i="1"/>
  <c r="E401" i="1"/>
  <c r="E403" i="1"/>
  <c r="E404" i="1"/>
  <c r="E407" i="1"/>
  <c r="E408" i="1"/>
  <c r="E411" i="1"/>
  <c r="E412" i="1"/>
  <c r="E413" i="1"/>
  <c r="E415" i="1"/>
  <c r="E416" i="1"/>
  <c r="E419" i="1"/>
  <c r="E420" i="1"/>
  <c r="E423" i="1"/>
  <c r="E424" i="1"/>
  <c r="E427" i="1"/>
  <c r="E428" i="1"/>
  <c r="E431" i="1"/>
  <c r="E432" i="1"/>
  <c r="E435" i="1"/>
  <c r="E436" i="1"/>
  <c r="E439" i="1"/>
  <c r="E440" i="1"/>
  <c r="E443" i="1"/>
  <c r="E444" i="1"/>
  <c r="E447" i="1"/>
  <c r="E448" i="1"/>
  <c r="E451" i="1"/>
  <c r="E452" i="1"/>
  <c r="E455" i="1"/>
  <c r="E456" i="1"/>
  <c r="E459" i="1"/>
  <c r="E460" i="1"/>
  <c r="E463" i="1"/>
  <c r="E464" i="1"/>
  <c r="E467" i="1"/>
  <c r="E468" i="1"/>
  <c r="E471" i="1"/>
  <c r="E472" i="1"/>
  <c r="E475" i="1"/>
  <c r="E476" i="1"/>
  <c r="E479" i="1"/>
  <c r="E480" i="1"/>
  <c r="E483" i="1"/>
  <c r="E484" i="1"/>
  <c r="E487" i="1"/>
  <c r="E488" i="1"/>
  <c r="E491" i="1"/>
  <c r="E492" i="1"/>
  <c r="E495" i="1"/>
  <c r="E496" i="1"/>
  <c r="E499" i="1"/>
  <c r="E500" i="1"/>
  <c r="E503" i="1"/>
  <c r="E504" i="1"/>
  <c r="E507" i="1"/>
  <c r="E508" i="1"/>
  <c r="E511" i="1"/>
  <c r="E512" i="1"/>
  <c r="E515" i="1"/>
  <c r="E516" i="1"/>
  <c r="E519" i="1"/>
  <c r="E520" i="1"/>
  <c r="E523" i="1"/>
  <c r="E524" i="1"/>
  <c r="E527" i="1"/>
  <c r="E528" i="1"/>
  <c r="E529" i="1"/>
  <c r="E531" i="1"/>
  <c r="E532" i="1"/>
  <c r="E535" i="1"/>
  <c r="E536" i="1"/>
  <c r="E539" i="1"/>
  <c r="E540" i="1"/>
  <c r="E541" i="1"/>
  <c r="E543" i="1"/>
  <c r="E544" i="1"/>
  <c r="E547" i="1"/>
  <c r="E548" i="1"/>
  <c r="E551" i="1"/>
  <c r="E552" i="1"/>
  <c r="E555" i="1"/>
  <c r="E556" i="1"/>
  <c r="E559" i="1"/>
  <c r="E560" i="1"/>
  <c r="E563" i="1"/>
  <c r="E564" i="1"/>
  <c r="E567" i="1"/>
  <c r="E568" i="1"/>
  <c r="E571" i="1"/>
  <c r="E572" i="1"/>
  <c r="E575" i="1"/>
  <c r="E576" i="1"/>
  <c r="E579" i="1"/>
  <c r="E580" i="1"/>
  <c r="E583" i="1"/>
  <c r="E584" i="1"/>
  <c r="E587" i="1"/>
  <c r="E588" i="1"/>
  <c r="E591" i="1"/>
  <c r="E592" i="1"/>
  <c r="E595" i="1"/>
  <c r="E596" i="1"/>
  <c r="E599" i="1"/>
  <c r="E600" i="1"/>
  <c r="E603" i="1"/>
  <c r="E604" i="1"/>
  <c r="E607" i="1"/>
  <c r="E608" i="1"/>
  <c r="E611" i="1"/>
  <c r="E612" i="1"/>
  <c r="E615" i="1"/>
  <c r="E616" i="1"/>
  <c r="E619" i="1"/>
  <c r="E620" i="1"/>
  <c r="E623" i="1"/>
  <c r="E624" i="1"/>
  <c r="E627" i="1"/>
  <c r="E628" i="1"/>
  <c r="E631" i="1"/>
  <c r="E632" i="1"/>
  <c r="E635" i="1"/>
  <c r="E636" i="1"/>
  <c r="E639" i="1"/>
  <c r="E640" i="1"/>
  <c r="E643" i="1"/>
  <c r="E644" i="1"/>
  <c r="E647" i="1"/>
  <c r="E648" i="1"/>
  <c r="E651" i="1"/>
  <c r="E652" i="1"/>
  <c r="E655" i="1"/>
  <c r="E656" i="1"/>
  <c r="E657" i="1"/>
  <c r="E659" i="1"/>
  <c r="E660" i="1"/>
  <c r="E663" i="1"/>
  <c r="E664" i="1"/>
  <c r="E667" i="1"/>
  <c r="E668" i="1"/>
  <c r="E669" i="1"/>
  <c r="E671" i="1"/>
  <c r="E672" i="1"/>
  <c r="E675" i="1"/>
  <c r="E676" i="1"/>
  <c r="E679" i="1"/>
  <c r="E680" i="1"/>
  <c r="E683" i="1"/>
  <c r="E684" i="1"/>
  <c r="E687" i="1"/>
  <c r="E688" i="1"/>
  <c r="E691" i="1"/>
  <c r="E692" i="1"/>
  <c r="E695" i="1"/>
  <c r="E696" i="1"/>
  <c r="E699" i="1"/>
  <c r="E700" i="1"/>
  <c r="E703" i="1"/>
  <c r="E704" i="1"/>
  <c r="E707" i="1"/>
  <c r="E708" i="1"/>
  <c r="E711" i="1"/>
  <c r="E712" i="1"/>
  <c r="E715" i="1"/>
  <c r="E716" i="1"/>
  <c r="E719" i="1"/>
  <c r="E720" i="1"/>
  <c r="E723" i="1"/>
  <c r="E724" i="1"/>
  <c r="E727" i="1"/>
  <c r="E728" i="1"/>
  <c r="E731" i="1"/>
  <c r="E732" i="1"/>
  <c r="E735" i="1"/>
  <c r="E736" i="1"/>
  <c r="E737" i="1"/>
  <c r="E739" i="1"/>
  <c r="E740" i="1"/>
  <c r="E741" i="1"/>
  <c r="E743" i="1"/>
  <c r="E744" i="1"/>
  <c r="E747" i="1"/>
  <c r="E748" i="1"/>
  <c r="E751" i="1"/>
  <c r="E752" i="1"/>
  <c r="E755" i="1"/>
  <c r="E756" i="1"/>
  <c r="E759" i="1"/>
  <c r="E760" i="1"/>
  <c r="E763" i="1"/>
  <c r="E764" i="1"/>
  <c r="E767" i="1"/>
  <c r="E768" i="1"/>
  <c r="E771" i="1"/>
  <c r="E772" i="1"/>
  <c r="E775" i="1"/>
  <c r="E776" i="1"/>
  <c r="E779" i="1"/>
  <c r="E780" i="1"/>
  <c r="E783" i="1"/>
  <c r="E784" i="1"/>
  <c r="E787" i="1"/>
  <c r="E788" i="1"/>
  <c r="E791" i="1"/>
  <c r="E792" i="1"/>
  <c r="E795" i="1"/>
  <c r="E796" i="1"/>
  <c r="E799" i="1"/>
  <c r="E800" i="1"/>
  <c r="E801" i="1"/>
  <c r="E803" i="1"/>
  <c r="E804" i="1"/>
  <c r="E805" i="1"/>
  <c r="E807" i="1"/>
  <c r="E808" i="1"/>
  <c r="E811" i="1"/>
  <c r="E812" i="1"/>
  <c r="E815" i="1"/>
  <c r="E816" i="1"/>
  <c r="E819" i="1"/>
  <c r="E820" i="1"/>
  <c r="E823" i="1"/>
  <c r="E824" i="1"/>
  <c r="E827" i="1"/>
  <c r="E828" i="1"/>
  <c r="E831" i="1"/>
  <c r="E832" i="1"/>
  <c r="E835" i="1"/>
  <c r="E836" i="1"/>
  <c r="E839" i="1"/>
  <c r="E840" i="1"/>
  <c r="E843" i="1"/>
  <c r="E844" i="1"/>
  <c r="E847" i="1"/>
  <c r="E848" i="1"/>
  <c r="E851" i="1"/>
  <c r="E852" i="1"/>
  <c r="E855" i="1"/>
  <c r="E856" i="1"/>
  <c r="E859" i="1"/>
  <c r="E860" i="1"/>
  <c r="E863" i="1"/>
  <c r="E864" i="1"/>
  <c r="E865" i="1"/>
  <c r="E867" i="1"/>
  <c r="E868" i="1"/>
  <c r="E869" i="1"/>
  <c r="E871" i="1"/>
  <c r="E872" i="1"/>
  <c r="E875" i="1"/>
  <c r="E876" i="1"/>
  <c r="E879" i="1"/>
  <c r="E880" i="1"/>
  <c r="E883" i="1"/>
  <c r="E884" i="1"/>
  <c r="E885" i="1"/>
  <c r="E887" i="1"/>
  <c r="E888" i="1"/>
  <c r="E891" i="1"/>
  <c r="E892" i="1"/>
  <c r="E895" i="1"/>
  <c r="E896" i="1"/>
  <c r="E897" i="1"/>
  <c r="E899" i="1"/>
  <c r="E900" i="1"/>
  <c r="E903" i="1"/>
  <c r="E904" i="1"/>
  <c r="E907" i="1"/>
  <c r="E908" i="1"/>
  <c r="E911" i="1"/>
  <c r="E912" i="1"/>
  <c r="E915" i="1"/>
  <c r="E916" i="1"/>
  <c r="E919" i="1"/>
  <c r="E920" i="1"/>
  <c r="E923" i="1"/>
  <c r="E924" i="1"/>
  <c r="E927" i="1"/>
  <c r="E928" i="1"/>
  <c r="E931" i="1"/>
  <c r="E932" i="1"/>
  <c r="E935" i="1"/>
  <c r="E936" i="1"/>
  <c r="E939" i="1"/>
  <c r="E940" i="1"/>
  <c r="E943" i="1"/>
  <c r="E944" i="1"/>
  <c r="E947" i="1"/>
  <c r="E948" i="1"/>
  <c r="E951" i="1"/>
  <c r="E952" i="1"/>
  <c r="E955" i="1"/>
  <c r="E956" i="1"/>
  <c r="E959" i="1"/>
  <c r="E960" i="1"/>
  <c r="E963" i="1"/>
  <c r="E964" i="1"/>
  <c r="E967" i="1"/>
  <c r="E968" i="1"/>
  <c r="E971" i="1"/>
  <c r="E972" i="1"/>
  <c r="E975" i="1"/>
  <c r="E976" i="1"/>
  <c r="E979" i="1"/>
  <c r="E980" i="1"/>
  <c r="E983" i="1"/>
  <c r="E984" i="1"/>
  <c r="E987" i="1"/>
  <c r="E988" i="1"/>
  <c r="E991" i="1"/>
  <c r="E992" i="1"/>
  <c r="E995" i="1"/>
  <c r="E996" i="1"/>
  <c r="E1000"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F6" i="1"/>
  <c r="E6" i="1" s="1"/>
  <c r="N35" i="6" l="1"/>
  <c r="B20" i="11" l="1"/>
  <c r="N34" i="6" l="1"/>
  <c r="N33" i="6"/>
  <c r="N32" i="6"/>
  <c r="N31" i="6"/>
  <c r="J33" i="14" l="1"/>
  <c r="R33" i="14" s="1"/>
  <c r="J21" i="14"/>
  <c r="R21" i="14" s="1"/>
  <c r="J22" i="14"/>
  <c r="J23" i="14"/>
  <c r="R23" i="14" s="1"/>
  <c r="J24" i="14"/>
  <c r="R24" i="14" s="1"/>
  <c r="J25" i="14"/>
  <c r="R25" i="14" s="1"/>
  <c r="J26" i="14"/>
  <c r="J27" i="14"/>
  <c r="R27" i="14" s="1"/>
  <c r="J28" i="14"/>
  <c r="R28" i="14" s="1"/>
  <c r="J29" i="14"/>
  <c r="R29" i="14" s="1"/>
  <c r="J30" i="14"/>
  <c r="R30" i="14" s="1"/>
  <c r="J31" i="14"/>
  <c r="R31" i="14" s="1"/>
  <c r="J20" i="14"/>
  <c r="R20" i="14" s="1"/>
  <c r="J18" i="14"/>
  <c r="V18" i="14" s="1"/>
  <c r="J17" i="14"/>
  <c r="R17" i="14" s="1"/>
  <c r="X17" i="14" s="1"/>
  <c r="R26" i="14"/>
  <c r="R22" i="14"/>
  <c r="N19" i="14"/>
  <c r="N32" i="14" s="1"/>
  <c r="N34" i="14" s="1"/>
  <c r="V17" i="14"/>
  <c r="J19" i="14" l="1"/>
  <c r="V19" i="14" s="1"/>
  <c r="R18" i="14"/>
  <c r="X18" i="14" s="1"/>
  <c r="Z18" i="14" s="1"/>
  <c r="Y17" i="14"/>
  <c r="N35" i="14"/>
  <c r="Z17" i="14"/>
  <c r="R19" i="14"/>
  <c r="X19" i="14" s="1"/>
  <c r="J32" i="14"/>
  <c r="J34" i="14" s="1"/>
  <c r="R34" i="14" s="1"/>
  <c r="V15" i="14" l="1"/>
  <c r="Y18" i="14"/>
  <c r="Z19" i="14"/>
  <c r="Y19" i="14"/>
  <c r="R32" i="14"/>
  <c r="AA19" i="14" l="1"/>
  <c r="U19" i="14"/>
  <c r="U17" i="14"/>
  <c r="AA17" i="14" s="1"/>
  <c r="U18" i="14"/>
  <c r="AA18" i="14" s="1"/>
  <c r="I163" i="11"/>
  <c r="E163" i="11"/>
  <c r="I147" i="11"/>
  <c r="E147" i="11"/>
  <c r="I131" i="11"/>
  <c r="E131" i="11"/>
  <c r="I115" i="11"/>
  <c r="E115" i="11"/>
  <c r="I162" i="11"/>
  <c r="G162" i="11"/>
  <c r="E162" i="11"/>
  <c r="I146" i="11"/>
  <c r="G146" i="11"/>
  <c r="E146" i="11"/>
  <c r="I130" i="11"/>
  <c r="G130" i="11"/>
  <c r="E130" i="11"/>
  <c r="I114" i="11"/>
  <c r="G114" i="11"/>
  <c r="E114" i="11"/>
  <c r="I161" i="11"/>
  <c r="G161" i="11"/>
  <c r="E161" i="11"/>
  <c r="I145" i="11"/>
  <c r="G145" i="11"/>
  <c r="E145" i="11"/>
  <c r="I129" i="11"/>
  <c r="G129" i="11"/>
  <c r="E129" i="11"/>
  <c r="I113" i="11"/>
  <c r="G113" i="11"/>
  <c r="E113" i="11"/>
  <c r="I160" i="11"/>
  <c r="G160" i="11"/>
  <c r="E160" i="11"/>
  <c r="I144" i="11"/>
  <c r="G144" i="11"/>
  <c r="E144" i="11"/>
  <c r="I128" i="11"/>
  <c r="G128" i="11"/>
  <c r="E128" i="11"/>
  <c r="I112" i="11"/>
  <c r="G112" i="11"/>
  <c r="E112" i="11"/>
  <c r="I159" i="11"/>
  <c r="G159" i="11"/>
  <c r="E159" i="11"/>
  <c r="I143" i="11"/>
  <c r="G143" i="11"/>
  <c r="E143" i="11"/>
  <c r="I127" i="11"/>
  <c r="G127" i="11"/>
  <c r="E127" i="11"/>
  <c r="I111" i="11"/>
  <c r="G111" i="11"/>
  <c r="E111" i="11"/>
  <c r="I158" i="11"/>
  <c r="G158" i="11"/>
  <c r="E158" i="11"/>
  <c r="I142" i="11"/>
  <c r="G142" i="11"/>
  <c r="E142" i="11"/>
  <c r="I126" i="11"/>
  <c r="G126" i="11"/>
  <c r="E126" i="11"/>
  <c r="I110" i="11"/>
  <c r="G110" i="11"/>
  <c r="E110" i="11"/>
  <c r="I157" i="11"/>
  <c r="G157" i="11"/>
  <c r="E157" i="11"/>
  <c r="I141" i="11"/>
  <c r="G141" i="11"/>
  <c r="E141" i="11"/>
  <c r="I125" i="11"/>
  <c r="G125" i="11"/>
  <c r="E125" i="11"/>
  <c r="I109" i="11"/>
  <c r="G109" i="11"/>
  <c r="E109" i="11"/>
  <c r="I156" i="11"/>
  <c r="G156" i="11"/>
  <c r="E156" i="11"/>
  <c r="I140" i="11"/>
  <c r="G140" i="11"/>
  <c r="E140" i="11"/>
  <c r="I124" i="11"/>
  <c r="G124" i="11"/>
  <c r="E124" i="11"/>
  <c r="I108" i="11"/>
  <c r="G108" i="11"/>
  <c r="E108" i="11"/>
  <c r="I155" i="11"/>
  <c r="G155" i="11"/>
  <c r="E155" i="11"/>
  <c r="I139" i="11"/>
  <c r="G139" i="11"/>
  <c r="E139" i="11"/>
  <c r="I123" i="11"/>
  <c r="G123" i="11"/>
  <c r="E123" i="11"/>
  <c r="I107" i="11"/>
  <c r="G107" i="11"/>
  <c r="E107" i="11"/>
  <c r="I154" i="11"/>
  <c r="G154" i="11"/>
  <c r="E154" i="11"/>
  <c r="I138" i="11"/>
  <c r="G138" i="11"/>
  <c r="E138" i="11"/>
  <c r="I122" i="11"/>
  <c r="G122" i="11"/>
  <c r="E122" i="11"/>
  <c r="I106" i="11"/>
  <c r="G106" i="11"/>
  <c r="E106" i="11"/>
  <c r="I153" i="11"/>
  <c r="G153" i="11"/>
  <c r="E153" i="11"/>
  <c r="I137" i="11"/>
  <c r="G137" i="11"/>
  <c r="E137" i="11"/>
  <c r="I121" i="11"/>
  <c r="G121" i="11"/>
  <c r="E121" i="11"/>
  <c r="I105" i="11"/>
  <c r="G105" i="11"/>
  <c r="E105" i="11"/>
  <c r="I152" i="11"/>
  <c r="G152" i="11"/>
  <c r="E152" i="11"/>
  <c r="I136" i="11"/>
  <c r="G136" i="11"/>
  <c r="E136" i="11"/>
  <c r="I120" i="11"/>
  <c r="G120" i="11"/>
  <c r="E120" i="11"/>
  <c r="I104" i="11"/>
  <c r="G104" i="11"/>
  <c r="E104" i="11"/>
  <c r="I151" i="11"/>
  <c r="G151" i="11"/>
  <c r="E151" i="11"/>
  <c r="I135" i="11"/>
  <c r="G135" i="11"/>
  <c r="E135" i="11"/>
  <c r="I119" i="11"/>
  <c r="G119" i="11"/>
  <c r="E119" i="11"/>
  <c r="I103" i="11"/>
  <c r="G103" i="11"/>
  <c r="E103" i="11"/>
  <c r="I150" i="11"/>
  <c r="G150" i="11"/>
  <c r="E150" i="11"/>
  <c r="I134" i="11"/>
  <c r="G134" i="11"/>
  <c r="E134" i="11"/>
  <c r="I118" i="11"/>
  <c r="G118" i="11"/>
  <c r="E118" i="11"/>
  <c r="I102" i="11"/>
  <c r="G102" i="11"/>
  <c r="E102" i="11"/>
  <c r="I149" i="11"/>
  <c r="G149" i="11"/>
  <c r="E149" i="11"/>
  <c r="I133" i="11"/>
  <c r="G133" i="11"/>
  <c r="E133" i="11"/>
  <c r="I117" i="11"/>
  <c r="G117" i="11"/>
  <c r="E117" i="11"/>
  <c r="I101" i="11"/>
  <c r="G101" i="11"/>
  <c r="E101" i="11"/>
  <c r="AB17" i="14" l="1"/>
  <c r="AC17" i="14" s="1"/>
  <c r="J12" i="14" s="1"/>
  <c r="I37" i="11"/>
  <c r="G86" i="11"/>
  <c r="I53" i="11"/>
  <c r="I50" i="11"/>
  <c r="G37" i="11"/>
  <c r="E85" i="11"/>
  <c r="E86" i="11"/>
  <c r="G85" i="11"/>
  <c r="I99" i="11"/>
  <c r="G82" i="11"/>
  <c r="I67" i="11"/>
  <c r="G10" i="11"/>
  <c r="I87" i="11"/>
  <c r="E89" i="11"/>
  <c r="G90" i="11"/>
  <c r="I91" i="11"/>
  <c r="E93" i="11"/>
  <c r="G94" i="11"/>
  <c r="I95" i="11"/>
  <c r="E97" i="11"/>
  <c r="G98" i="11"/>
  <c r="I86" i="11"/>
  <c r="E88" i="11"/>
  <c r="G89" i="11"/>
  <c r="I90" i="11"/>
  <c r="E92" i="11"/>
  <c r="G93" i="11"/>
  <c r="I94" i="11"/>
  <c r="E96" i="11"/>
  <c r="G97" i="11"/>
  <c r="I98" i="11"/>
  <c r="I85" i="11"/>
  <c r="E87" i="11"/>
  <c r="G88" i="11"/>
  <c r="I89" i="11"/>
  <c r="E91" i="11"/>
  <c r="G92" i="11"/>
  <c r="I93" i="11"/>
  <c r="E95" i="11"/>
  <c r="G96" i="11"/>
  <c r="I97" i="11"/>
  <c r="E99" i="11"/>
  <c r="G87" i="11"/>
  <c r="I88" i="11"/>
  <c r="E90" i="11"/>
  <c r="G91" i="11"/>
  <c r="I92" i="11"/>
  <c r="E94" i="11"/>
  <c r="G95" i="11"/>
  <c r="I96" i="11"/>
  <c r="E98" i="11"/>
  <c r="E69" i="11"/>
  <c r="I70" i="11"/>
  <c r="E71" i="11"/>
  <c r="I72" i="11"/>
  <c r="E73" i="11"/>
  <c r="I74" i="11"/>
  <c r="E75" i="11"/>
  <c r="I76" i="11"/>
  <c r="E77" i="11"/>
  <c r="I78" i="11"/>
  <c r="E79" i="11"/>
  <c r="I80" i="11"/>
  <c r="E81" i="11"/>
  <c r="I82" i="11"/>
  <c r="E83" i="11"/>
  <c r="G71" i="11"/>
  <c r="G73" i="11"/>
  <c r="G75" i="11"/>
  <c r="G77" i="11"/>
  <c r="G79" i="11"/>
  <c r="G81" i="11"/>
  <c r="I83" i="11"/>
  <c r="G69" i="11"/>
  <c r="I69" i="11"/>
  <c r="E70" i="11"/>
  <c r="I71" i="11"/>
  <c r="E72" i="11"/>
  <c r="I73" i="11"/>
  <c r="E74" i="11"/>
  <c r="I75" i="11"/>
  <c r="E76" i="11"/>
  <c r="I77" i="11"/>
  <c r="E78" i="11"/>
  <c r="I79" i="11"/>
  <c r="E80" i="11"/>
  <c r="I81" i="11"/>
  <c r="E82" i="11"/>
  <c r="G70" i="11"/>
  <c r="G72" i="11"/>
  <c r="G74" i="11"/>
  <c r="G76" i="11"/>
  <c r="G78" i="11"/>
  <c r="G80" i="11"/>
  <c r="E53" i="11"/>
  <c r="I55" i="11"/>
  <c r="G56" i="11"/>
  <c r="E57" i="11"/>
  <c r="I59" i="11"/>
  <c r="G60" i="11"/>
  <c r="E61" i="11"/>
  <c r="I63" i="11"/>
  <c r="G64" i="11"/>
  <c r="E65" i="11"/>
  <c r="G53" i="11"/>
  <c r="E54" i="11"/>
  <c r="I56" i="11"/>
  <c r="G57" i="11"/>
  <c r="E58" i="11"/>
  <c r="I60" i="11"/>
  <c r="G61" i="11"/>
  <c r="E62" i="11"/>
  <c r="I64" i="11"/>
  <c r="G65" i="11"/>
  <c r="E66" i="11"/>
  <c r="G54" i="11"/>
  <c r="E55" i="11"/>
  <c r="I57" i="11"/>
  <c r="G58" i="11"/>
  <c r="E59" i="11"/>
  <c r="I61" i="11"/>
  <c r="G62" i="11"/>
  <c r="E63" i="11"/>
  <c r="I65" i="11"/>
  <c r="G66" i="11"/>
  <c r="E67" i="11"/>
  <c r="I54" i="11"/>
  <c r="G55" i="11"/>
  <c r="E56" i="11"/>
  <c r="I58" i="11"/>
  <c r="G59" i="11"/>
  <c r="E60" i="11"/>
  <c r="I62" i="11"/>
  <c r="G63" i="11"/>
  <c r="E64" i="11"/>
  <c r="I66" i="11"/>
  <c r="E37" i="11"/>
  <c r="E38" i="11"/>
  <c r="E39" i="11"/>
  <c r="E40" i="11"/>
  <c r="E41" i="11"/>
  <c r="E42" i="11"/>
  <c r="E43" i="11"/>
  <c r="E44" i="11"/>
  <c r="E45" i="11"/>
  <c r="E46" i="11"/>
  <c r="E47" i="11"/>
  <c r="E48" i="11"/>
  <c r="E49" i="11"/>
  <c r="E50" i="11"/>
  <c r="E51" i="11"/>
  <c r="G38" i="11"/>
  <c r="G39" i="11"/>
  <c r="G40" i="11"/>
  <c r="G41" i="11"/>
  <c r="G42" i="11"/>
  <c r="G43" i="11"/>
  <c r="G44" i="11"/>
  <c r="G45" i="11"/>
  <c r="G46" i="11"/>
  <c r="G47" i="11"/>
  <c r="G48" i="11"/>
  <c r="G49" i="11"/>
  <c r="G50" i="11"/>
  <c r="I38" i="11"/>
  <c r="I40" i="11"/>
  <c r="I41" i="11"/>
  <c r="I42" i="11"/>
  <c r="I43" i="11"/>
  <c r="I44" i="11"/>
  <c r="I45" i="11"/>
  <c r="I46" i="11"/>
  <c r="I47" i="11"/>
  <c r="I48" i="11"/>
  <c r="I49" i="11"/>
  <c r="N1001" i="1"/>
  <c r="E35" i="11"/>
  <c r="M1004" i="1"/>
  <c r="N1004" i="1"/>
  <c r="M1001" i="1"/>
  <c r="N1002" i="1"/>
  <c r="N1003" i="1"/>
  <c r="M1002" i="1"/>
  <c r="M1003" i="1"/>
  <c r="E27" i="11"/>
  <c r="E21" i="11"/>
  <c r="I24" i="11"/>
  <c r="E25" i="11"/>
  <c r="G12" i="11"/>
  <c r="G14" i="11"/>
  <c r="E23" i="11"/>
  <c r="I28" i="11"/>
  <c r="E31" i="11"/>
  <c r="N19" i="6"/>
  <c r="G6" i="11"/>
  <c r="G8" i="11"/>
  <c r="I26" i="11"/>
  <c r="E29" i="11"/>
  <c r="G16" i="11"/>
  <c r="I32" i="11"/>
  <c r="E33" i="11"/>
  <c r="G18" i="11"/>
  <c r="I34" i="11"/>
  <c r="N12" i="6"/>
  <c r="N16" i="6"/>
  <c r="N20" i="6"/>
  <c r="E5" i="11"/>
  <c r="G21" i="11"/>
  <c r="E7" i="11"/>
  <c r="G23" i="11"/>
  <c r="I8" i="11"/>
  <c r="E9" i="11"/>
  <c r="G25" i="11"/>
  <c r="I10" i="11"/>
  <c r="E11" i="11"/>
  <c r="G27" i="11"/>
  <c r="E13" i="11"/>
  <c r="G29" i="11"/>
  <c r="I14" i="11"/>
  <c r="E15" i="11"/>
  <c r="G31" i="11"/>
  <c r="I16" i="11"/>
  <c r="E17" i="11"/>
  <c r="G33" i="11"/>
  <c r="I18" i="11"/>
  <c r="E19" i="11"/>
  <c r="N8" i="6"/>
  <c r="N13" i="6"/>
  <c r="N17" i="6"/>
  <c r="N21" i="6"/>
  <c r="G5" i="11"/>
  <c r="E22" i="11"/>
  <c r="G7" i="11"/>
  <c r="E24" i="11"/>
  <c r="G9" i="11"/>
  <c r="E26" i="11"/>
  <c r="G11" i="11"/>
  <c r="I27" i="11"/>
  <c r="E28" i="11"/>
  <c r="G13" i="11"/>
  <c r="I29" i="11"/>
  <c r="E30" i="11"/>
  <c r="G15" i="11"/>
  <c r="I31" i="11"/>
  <c r="E32" i="11"/>
  <c r="G17" i="11"/>
  <c r="I33" i="11"/>
  <c r="E34" i="11"/>
  <c r="N9" i="6"/>
  <c r="N14" i="6"/>
  <c r="N18" i="6"/>
  <c r="N22" i="6"/>
  <c r="E6" i="11"/>
  <c r="G22" i="11"/>
  <c r="E8" i="11"/>
  <c r="G24" i="11"/>
  <c r="E10" i="11"/>
  <c r="G26" i="11"/>
  <c r="I11" i="11"/>
  <c r="E12" i="11"/>
  <c r="G28" i="11"/>
  <c r="I13" i="11"/>
  <c r="E14" i="11"/>
  <c r="G30" i="11"/>
  <c r="I15" i="11"/>
  <c r="E16" i="11"/>
  <c r="G32" i="11"/>
  <c r="I17" i="11"/>
  <c r="E18" i="11"/>
  <c r="G34" i="11"/>
  <c r="N11" i="6"/>
  <c r="N15" i="6"/>
  <c r="F201" i="12"/>
  <c r="M1005" i="1" l="1"/>
  <c r="N1005" i="1"/>
  <c r="H14" i="7" l="1"/>
  <c r="L41" i="6" l="1"/>
  <c r="E2" i="11" l="1"/>
  <c r="I12" i="11" l="1"/>
  <c r="I9" i="11" l="1"/>
  <c r="O1001" i="1"/>
  <c r="I6" i="11"/>
  <c r="I7" i="11"/>
  <c r="I19" i="11"/>
  <c r="I5" i="11"/>
  <c r="B163" i="11"/>
  <c r="B147" i="11"/>
  <c r="B131" i="11"/>
  <c r="B115" i="11"/>
  <c r="B99" i="11"/>
  <c r="B83" i="11"/>
  <c r="B67" i="11"/>
  <c r="B51" i="11"/>
  <c r="B36" i="11"/>
  <c r="B35" i="11"/>
  <c r="B19" i="11"/>
  <c r="J10" i="6" l="1"/>
  <c r="I39" i="11" l="1"/>
  <c r="I51" i="11"/>
  <c r="O1004" i="1"/>
  <c r="I25" i="11"/>
  <c r="O1003" i="1"/>
  <c r="I30" i="11"/>
  <c r="O1002" i="1"/>
  <c r="I21" i="11"/>
  <c r="I22" i="11"/>
  <c r="I35" i="11"/>
  <c r="I23" i="11"/>
  <c r="J36" i="6"/>
  <c r="O1005" i="1" l="1"/>
  <c r="N24" i="6"/>
  <c r="R34" i="6" l="1"/>
  <c r="O2" i="7"/>
  <c r="R22" i="6" l="1"/>
  <c r="L24" i="7" l="1"/>
  <c r="D3" i="6" l="1"/>
  <c r="B162" i="11" l="1"/>
  <c r="B164" i="11"/>
  <c r="B146" i="11"/>
  <c r="B148" i="11"/>
  <c r="B130" i="11"/>
  <c r="B132" i="11"/>
  <c r="B114" i="11"/>
  <c r="B116" i="11"/>
  <c r="B98" i="11"/>
  <c r="B100" i="11"/>
  <c r="B82" i="11"/>
  <c r="B84" i="11"/>
  <c r="B66" i="11"/>
  <c r="B68" i="11"/>
  <c r="B50" i="11"/>
  <c r="B52" i="11"/>
  <c r="B34" i="11"/>
  <c r="B18" i="11"/>
  <c r="R31" i="6" l="1"/>
  <c r="N36" i="6"/>
  <c r="R36" i="6" l="1"/>
  <c r="B149" i="11" l="1"/>
  <c r="B150" i="11"/>
  <c r="B151" i="11"/>
  <c r="B152" i="11"/>
  <c r="B153" i="11"/>
  <c r="B154" i="11"/>
  <c r="B155" i="11"/>
  <c r="B156" i="11"/>
  <c r="B157" i="11"/>
  <c r="B158" i="11"/>
  <c r="B159" i="11"/>
  <c r="B160" i="11"/>
  <c r="B161" i="11"/>
  <c r="B133" i="11"/>
  <c r="B134" i="11"/>
  <c r="B135" i="11"/>
  <c r="B136" i="11"/>
  <c r="B137" i="11"/>
  <c r="B138" i="11"/>
  <c r="B139" i="11"/>
  <c r="B140" i="11"/>
  <c r="B141" i="11"/>
  <c r="B142" i="11"/>
  <c r="B143" i="11"/>
  <c r="B144" i="11"/>
  <c r="B145" i="11"/>
  <c r="B117" i="11"/>
  <c r="B118" i="11"/>
  <c r="B119" i="11"/>
  <c r="B120" i="11"/>
  <c r="B121" i="11"/>
  <c r="B122" i="11"/>
  <c r="B123" i="11"/>
  <c r="B124" i="11"/>
  <c r="B125" i="11"/>
  <c r="B126" i="11"/>
  <c r="B127" i="11"/>
  <c r="B128" i="11"/>
  <c r="B129" i="11"/>
  <c r="B101" i="11" l="1"/>
  <c r="B102" i="11"/>
  <c r="B103" i="11"/>
  <c r="B104" i="11"/>
  <c r="B105" i="11"/>
  <c r="B106" i="11"/>
  <c r="B107" i="11"/>
  <c r="B108" i="11"/>
  <c r="B109" i="11"/>
  <c r="B110" i="11"/>
  <c r="B111" i="11"/>
  <c r="B112" i="11"/>
  <c r="B113" i="11"/>
  <c r="B85" i="11"/>
  <c r="B86" i="11"/>
  <c r="B87" i="11"/>
  <c r="B88" i="11"/>
  <c r="B89" i="11"/>
  <c r="B90" i="11"/>
  <c r="B91" i="11"/>
  <c r="B92" i="11"/>
  <c r="B93" i="11"/>
  <c r="B94" i="11"/>
  <c r="B95" i="11"/>
  <c r="B96" i="11"/>
  <c r="B97" i="11"/>
  <c r="B69" i="11"/>
  <c r="B70" i="11"/>
  <c r="B71" i="11"/>
  <c r="B72" i="11"/>
  <c r="B73" i="11"/>
  <c r="B74" i="11"/>
  <c r="B75" i="11"/>
  <c r="B76" i="11"/>
  <c r="B77" i="11"/>
  <c r="B78" i="11"/>
  <c r="B79" i="11"/>
  <c r="B80" i="11"/>
  <c r="B81" i="11"/>
  <c r="B53" i="11"/>
  <c r="B54" i="11"/>
  <c r="B55" i="11"/>
  <c r="B56" i="11"/>
  <c r="B57" i="11"/>
  <c r="B58" i="11"/>
  <c r="B59" i="11"/>
  <c r="B60" i="11"/>
  <c r="B61" i="11"/>
  <c r="B62" i="11"/>
  <c r="B63" i="11"/>
  <c r="B64" i="11"/>
  <c r="B65" i="11"/>
  <c r="B37" i="11"/>
  <c r="B38" i="11"/>
  <c r="B39" i="11"/>
  <c r="B40" i="11"/>
  <c r="B41" i="11"/>
  <c r="B42" i="11"/>
  <c r="B43" i="11"/>
  <c r="B44" i="11"/>
  <c r="B45" i="11"/>
  <c r="B46" i="11"/>
  <c r="B47" i="11"/>
  <c r="B48" i="11"/>
  <c r="B49" i="11"/>
  <c r="B21" i="11"/>
  <c r="B22" i="11"/>
  <c r="B23" i="11"/>
  <c r="B24" i="11"/>
  <c r="B25" i="11"/>
  <c r="B26" i="11"/>
  <c r="B27" i="11"/>
  <c r="B28" i="11"/>
  <c r="B29" i="11"/>
  <c r="B30" i="11"/>
  <c r="B31" i="11"/>
  <c r="B32" i="11"/>
  <c r="B33" i="11"/>
  <c r="B5" i="11"/>
  <c r="B6" i="11"/>
  <c r="B7" i="11"/>
  <c r="B8" i="11"/>
  <c r="B9" i="11"/>
  <c r="B10" i="11"/>
  <c r="B11" i="11"/>
  <c r="B12" i="11"/>
  <c r="B13" i="11"/>
  <c r="B14" i="11"/>
  <c r="B15" i="11"/>
  <c r="B16" i="11"/>
  <c r="B17" i="11"/>
  <c r="G132" i="11" l="1"/>
  <c r="E148" i="11"/>
  <c r="I148" i="11"/>
  <c r="G164" i="11"/>
  <c r="E164" i="11"/>
  <c r="I164" i="11"/>
  <c r="G148" i="11"/>
  <c r="I132" i="11"/>
  <c r="E132" i="11" l="1"/>
  <c r="G100" i="11"/>
  <c r="E116" i="11"/>
  <c r="I116" i="11"/>
  <c r="G116" i="11"/>
  <c r="G84" i="11"/>
  <c r="E100" i="11"/>
  <c r="I100" i="11"/>
  <c r="E68" i="11"/>
  <c r="E52" i="11"/>
  <c r="E84" i="11"/>
  <c r="I84" i="11"/>
  <c r="G68" i="11"/>
  <c r="I68" i="11"/>
  <c r="G52" i="11"/>
  <c r="I52" i="11"/>
  <c r="I36" i="11" l="1"/>
  <c r="G36" i="11"/>
  <c r="L8" i="7" l="1"/>
  <c r="F18" i="7"/>
  <c r="L12" i="7"/>
  <c r="L11" i="7"/>
  <c r="L10" i="7"/>
  <c r="L9" i="7"/>
  <c r="E41" i="6" l="1"/>
  <c r="J23" i="6"/>
  <c r="J25" i="6" s="1"/>
  <c r="F24" i="7" l="1"/>
  <c r="R32" i="6" l="1"/>
  <c r="R33" i="6"/>
  <c r="R35" i="6"/>
  <c r="E36" i="11" l="1"/>
  <c r="R15" i="6"/>
  <c r="R9" i="6"/>
  <c r="R18" i="6"/>
  <c r="R14" i="6"/>
  <c r="R21" i="6"/>
  <c r="R17" i="6"/>
  <c r="R13" i="6"/>
  <c r="R8" i="6"/>
  <c r="R20" i="6"/>
  <c r="R16" i="6"/>
  <c r="R12" i="6"/>
  <c r="R19" i="6" l="1"/>
  <c r="N10" i="6"/>
  <c r="N23" i="6" s="1"/>
  <c r="G20" i="11"/>
  <c r="G165" i="11" s="1"/>
  <c r="R11" i="6"/>
  <c r="R10" i="6" l="1"/>
  <c r="E20" i="11" l="1"/>
  <c r="E165" i="11" s="1"/>
  <c r="I20" i="11"/>
  <c r="R23" i="6"/>
  <c r="I165" i="11" l="1"/>
  <c r="N37" i="6" s="1"/>
  <c r="N25" i="6" l="1"/>
  <c r="G19" i="6" s="1"/>
  <c r="N26" i="6" l="1"/>
  <c r="R24" i="6"/>
  <c r="B41" i="6"/>
  <c r="H41" i="6" s="1"/>
  <c r="J41" i="6" s="1"/>
  <c r="P41" i="6" s="1"/>
  <c r="N24" i="7" s="1"/>
  <c r="F20" i="7" s="1"/>
  <c r="R25" i="6"/>
  <c r="C24" i="7" l="1"/>
  <c r="R41" i="6"/>
  <c r="Q24" i="7" s="1"/>
  <c r="H24" i="7"/>
  <c r="J24" i="7" s="1"/>
</calcChain>
</file>

<file path=xl/sharedStrings.xml><?xml version="1.0" encoding="utf-8"?>
<sst xmlns="http://schemas.openxmlformats.org/spreadsheetml/2006/main" count="1097" uniqueCount="264">
  <si>
    <t>謝金</t>
    <rPh sb="0" eb="2">
      <t>シャキン</t>
    </rPh>
    <phoneticPr fontId="4"/>
  </si>
  <si>
    <t>消耗品費</t>
    <rPh sb="0" eb="3">
      <t>ショウモウヒン</t>
    </rPh>
    <rPh sb="3" eb="4">
      <t>ヒ</t>
    </rPh>
    <phoneticPr fontId="4"/>
  </si>
  <si>
    <t>旅費</t>
    <rPh sb="0" eb="2">
      <t>リョヒ</t>
    </rPh>
    <phoneticPr fontId="4"/>
  </si>
  <si>
    <t>光熱水費</t>
    <rPh sb="0" eb="3">
      <t>コウネツスイ</t>
    </rPh>
    <rPh sb="3" eb="4">
      <t>ヒ</t>
    </rPh>
    <phoneticPr fontId="4"/>
  </si>
  <si>
    <t>借料損料</t>
    <rPh sb="0" eb="2">
      <t>シャクリョウ</t>
    </rPh>
    <rPh sb="2" eb="4">
      <t>ソンリョウ</t>
    </rPh>
    <phoneticPr fontId="4"/>
  </si>
  <si>
    <t>保険料</t>
    <rPh sb="0" eb="3">
      <t>ホケンリョウ</t>
    </rPh>
    <phoneticPr fontId="4"/>
  </si>
  <si>
    <t>その他</t>
    <rPh sb="2" eb="3">
      <t>タ</t>
    </rPh>
    <phoneticPr fontId="4"/>
  </si>
  <si>
    <t>備品購入費</t>
    <rPh sb="0" eb="2">
      <t>ビヒン</t>
    </rPh>
    <rPh sb="2" eb="4">
      <t>コウニュウ</t>
    </rPh>
    <rPh sb="4" eb="5">
      <t>ヒ</t>
    </rPh>
    <phoneticPr fontId="4"/>
  </si>
  <si>
    <t>印刷製本費</t>
    <rPh sb="0" eb="2">
      <t>インサツ</t>
    </rPh>
    <rPh sb="2" eb="4">
      <t>セイホン</t>
    </rPh>
    <rPh sb="4" eb="5">
      <t>ヒ</t>
    </rPh>
    <phoneticPr fontId="4"/>
  </si>
  <si>
    <t>雑役務費</t>
    <rPh sb="0" eb="1">
      <t>ザツ</t>
    </rPh>
    <rPh sb="1" eb="3">
      <t>エキム</t>
    </rPh>
    <rPh sb="3" eb="4">
      <t>ヒ</t>
    </rPh>
    <phoneticPr fontId="4"/>
  </si>
  <si>
    <t>家賃</t>
    <rPh sb="0" eb="2">
      <t>ヤチン</t>
    </rPh>
    <phoneticPr fontId="4"/>
  </si>
  <si>
    <t>賃金</t>
    <rPh sb="0" eb="2">
      <t>チンギン</t>
    </rPh>
    <phoneticPr fontId="4"/>
  </si>
  <si>
    <t>通信運搬費</t>
    <rPh sb="0" eb="2">
      <t>ツウシン</t>
    </rPh>
    <rPh sb="2" eb="4">
      <t>ウンパン</t>
    </rPh>
    <rPh sb="4" eb="5">
      <t>ヒ</t>
    </rPh>
    <phoneticPr fontId="4"/>
  </si>
  <si>
    <t>委託費</t>
    <rPh sb="0" eb="2">
      <t>イタク</t>
    </rPh>
    <rPh sb="2" eb="3">
      <t>ヒ</t>
    </rPh>
    <phoneticPr fontId="4"/>
  </si>
  <si>
    <t>団体名</t>
    <rPh sb="0" eb="2">
      <t>ダンタイ</t>
    </rPh>
    <rPh sb="2" eb="3">
      <t>メイ</t>
    </rPh>
    <phoneticPr fontId="4"/>
  </si>
  <si>
    <t>団体住所</t>
    <rPh sb="0" eb="2">
      <t>ダンタイ</t>
    </rPh>
    <rPh sb="2" eb="4">
      <t>ジュウショ</t>
    </rPh>
    <phoneticPr fontId="4"/>
  </si>
  <si>
    <t>代表者職名</t>
    <rPh sb="0" eb="3">
      <t>ダイヒョウシャ</t>
    </rPh>
    <rPh sb="3" eb="5">
      <t>ショクメイ</t>
    </rPh>
    <phoneticPr fontId="4"/>
  </si>
  <si>
    <t>代表者名</t>
    <rPh sb="0" eb="3">
      <t>ダイヒョウシャ</t>
    </rPh>
    <rPh sb="3" eb="4">
      <t>メイ</t>
    </rPh>
    <phoneticPr fontId="4"/>
  </si>
  <si>
    <t>受付番号</t>
    <rPh sb="0" eb="4">
      <t>ウケツケバンゴウ</t>
    </rPh>
    <phoneticPr fontId="4"/>
  </si>
  <si>
    <t>年</t>
    <rPh sb="0" eb="1">
      <t>ネン</t>
    </rPh>
    <phoneticPr fontId="4"/>
  </si>
  <si>
    <t>月</t>
    <rPh sb="0" eb="1">
      <t>ツキ</t>
    </rPh>
    <phoneticPr fontId="4"/>
  </si>
  <si>
    <t>日</t>
    <rPh sb="0" eb="1">
      <t>ニチ</t>
    </rPh>
    <phoneticPr fontId="4"/>
  </si>
  <si>
    <t>独立行政法人福祉医療機構　理事長　様</t>
    <rPh sb="0" eb="2">
      <t>ドクリツ</t>
    </rPh>
    <rPh sb="2" eb="4">
      <t>ギョウセイ</t>
    </rPh>
    <rPh sb="4" eb="6">
      <t>ホウジン</t>
    </rPh>
    <rPh sb="6" eb="8">
      <t>フクシ</t>
    </rPh>
    <rPh sb="8" eb="10">
      <t>イリョウ</t>
    </rPh>
    <rPh sb="10" eb="12">
      <t>キコウ</t>
    </rPh>
    <rPh sb="13" eb="16">
      <t>リジチョウ</t>
    </rPh>
    <rPh sb="17" eb="18">
      <t>サマ</t>
    </rPh>
    <phoneticPr fontId="4"/>
  </si>
  <si>
    <t>実印</t>
    <rPh sb="0" eb="2">
      <t>ジツイン</t>
    </rPh>
    <phoneticPr fontId="4"/>
  </si>
  <si>
    <t>千円</t>
    <rPh sb="0" eb="2">
      <t>センエン</t>
    </rPh>
    <phoneticPr fontId="4"/>
  </si>
  <si>
    <t>事業</t>
    <rPh sb="0" eb="2">
      <t>ジギョウ</t>
    </rPh>
    <phoneticPr fontId="4"/>
  </si>
  <si>
    <t>円</t>
    <rPh sb="0" eb="1">
      <t>エン</t>
    </rPh>
    <phoneticPr fontId="4"/>
  </si>
  <si>
    <t>担当者</t>
    <rPh sb="0" eb="3">
      <t>タントウシャ</t>
    </rPh>
    <phoneticPr fontId="4"/>
  </si>
  <si>
    <t>メールアドレス</t>
    <phoneticPr fontId="4"/>
  </si>
  <si>
    <t>　精 算 額 計 算 書</t>
    <rPh sb="1" eb="2">
      <t>セイ</t>
    </rPh>
    <rPh sb="3" eb="4">
      <t>サン</t>
    </rPh>
    <rPh sb="5" eb="6">
      <t>ガク</t>
    </rPh>
    <rPh sb="7" eb="8">
      <t>ケイ</t>
    </rPh>
    <rPh sb="9" eb="10">
      <t>サン</t>
    </rPh>
    <rPh sb="11" eb="12">
      <t>ショ</t>
    </rPh>
    <phoneticPr fontId="4"/>
  </si>
  <si>
    <t>　　団体名：</t>
    <rPh sb="2" eb="4">
      <t>ダンタイ</t>
    </rPh>
    <rPh sb="4" eb="5">
      <t>メイ</t>
    </rPh>
    <phoneticPr fontId="4"/>
  </si>
  <si>
    <t>科目</t>
    <rPh sb="0" eb="2">
      <t>カモク</t>
    </rPh>
    <phoneticPr fontId="4"/>
  </si>
  <si>
    <t>金額（円）</t>
    <rPh sb="0" eb="2">
      <t>キンガク</t>
    </rPh>
    <rPh sb="3" eb="4">
      <t>エン</t>
    </rPh>
    <phoneticPr fontId="4"/>
  </si>
  <si>
    <t>02.旅費</t>
    <rPh sb="3" eb="5">
      <t>リョヒ</t>
    </rPh>
    <phoneticPr fontId="4"/>
  </si>
  <si>
    <t>03．所費合計</t>
    <rPh sb="3" eb="4">
      <t>トコロ</t>
    </rPh>
    <rPh sb="4" eb="5">
      <t>ヒ</t>
    </rPh>
    <rPh sb="5" eb="7">
      <t>ゴウケイ</t>
    </rPh>
    <phoneticPr fontId="4"/>
  </si>
  <si>
    <t>03.所費</t>
    <rPh sb="3" eb="4">
      <t>トコロ</t>
    </rPh>
    <rPh sb="4" eb="5">
      <t>ヒ</t>
    </rPh>
    <phoneticPr fontId="4"/>
  </si>
  <si>
    <t>寄付金・協賛金収入</t>
    <rPh sb="0" eb="3">
      <t>キフキン</t>
    </rPh>
    <rPh sb="4" eb="7">
      <t>キョウサンキン</t>
    </rPh>
    <rPh sb="7" eb="9">
      <t>シュウニュウ</t>
    </rPh>
    <phoneticPr fontId="4"/>
  </si>
  <si>
    <t>千円</t>
    <rPh sb="0" eb="1">
      <t>セン</t>
    </rPh>
    <rPh sb="1" eb="2">
      <t>エン</t>
    </rPh>
    <phoneticPr fontId="4"/>
  </si>
  <si>
    <t>01.謝金</t>
    <rPh sb="3" eb="5">
      <t>シャキン</t>
    </rPh>
    <phoneticPr fontId="4"/>
  </si>
  <si>
    <t>〇</t>
    <phoneticPr fontId="4"/>
  </si>
  <si>
    <t>04.その他</t>
    <rPh sb="5" eb="6">
      <t>タ</t>
    </rPh>
    <phoneticPr fontId="4"/>
  </si>
  <si>
    <t>所費</t>
    <rPh sb="0" eb="1">
      <t>トコロ</t>
    </rPh>
    <rPh sb="1" eb="2">
      <t>ヒ</t>
    </rPh>
    <phoneticPr fontId="4"/>
  </si>
  <si>
    <t>千円</t>
    <rPh sb="0" eb="2">
      <t>センエン</t>
    </rPh>
    <phoneticPr fontId="4"/>
  </si>
  <si>
    <t>F  A  X</t>
    <phoneticPr fontId="4"/>
  </si>
  <si>
    <t>氏     名</t>
    <rPh sb="0" eb="1">
      <t>シ</t>
    </rPh>
    <rPh sb="6" eb="7">
      <t>ナ</t>
    </rPh>
    <phoneticPr fontId="4"/>
  </si>
  <si>
    <t>電     話</t>
    <rPh sb="0" eb="1">
      <t>デン</t>
    </rPh>
    <rPh sb="6" eb="7">
      <t>ハナシ</t>
    </rPh>
    <phoneticPr fontId="4"/>
  </si>
  <si>
    <t>〒</t>
    <phoneticPr fontId="4"/>
  </si>
  <si>
    <t>支出額</t>
    <rPh sb="0" eb="2">
      <t>シシュツ</t>
    </rPh>
    <rPh sb="2" eb="3">
      <t>ガク</t>
    </rPh>
    <phoneticPr fontId="4"/>
  </si>
  <si>
    <t>合計</t>
    <rPh sb="0" eb="2">
      <t>ゴウケイ</t>
    </rPh>
    <phoneticPr fontId="4"/>
  </si>
  <si>
    <t>円</t>
    <rPh sb="0" eb="1">
      <t>エン</t>
    </rPh>
    <phoneticPr fontId="4"/>
  </si>
  <si>
    <t>円</t>
    <rPh sb="0" eb="1">
      <t>エン</t>
    </rPh>
    <phoneticPr fontId="4"/>
  </si>
  <si>
    <t>14</t>
  </si>
  <si>
    <t>14</t>
    <phoneticPr fontId="4"/>
  </si>
  <si>
    <t>1</t>
    <phoneticPr fontId="4"/>
  </si>
  <si>
    <t>2</t>
    <phoneticPr fontId="4"/>
  </si>
  <si>
    <t>3</t>
    <phoneticPr fontId="4"/>
  </si>
  <si>
    <t>4</t>
  </si>
  <si>
    <t>5</t>
  </si>
  <si>
    <t>6</t>
  </si>
  <si>
    <t>7</t>
  </si>
  <si>
    <t>8</t>
  </si>
  <si>
    <t>9</t>
  </si>
  <si>
    <t>10</t>
  </si>
  <si>
    <t>11</t>
  </si>
  <si>
    <t>12</t>
  </si>
  <si>
    <t>13</t>
  </si>
  <si>
    <t>メニュー画面</t>
    <rPh sb="4" eb="6">
      <t>ガメン</t>
    </rPh>
    <phoneticPr fontId="4"/>
  </si>
  <si>
    <t>支出入力表</t>
    <rPh sb="0" eb="2">
      <t>シシュツ</t>
    </rPh>
    <rPh sb="2" eb="4">
      <t>ニュウリョク</t>
    </rPh>
    <rPh sb="4" eb="5">
      <t>ヒョウ</t>
    </rPh>
    <phoneticPr fontId="4"/>
  </si>
  <si>
    <t>精算額計算書</t>
    <rPh sb="0" eb="3">
      <t>セイサンガク</t>
    </rPh>
    <rPh sb="3" eb="6">
      <t>ケイサンショ</t>
    </rPh>
    <phoneticPr fontId="29"/>
  </si>
  <si>
    <t>1</t>
    <phoneticPr fontId="4"/>
  </si>
  <si>
    <t>2</t>
    <phoneticPr fontId="4"/>
  </si>
  <si>
    <t>3</t>
    <phoneticPr fontId="4"/>
  </si>
  <si>
    <t>1</t>
    <phoneticPr fontId="4"/>
  </si>
  <si>
    <t>2</t>
    <phoneticPr fontId="4"/>
  </si>
  <si>
    <t>3</t>
    <phoneticPr fontId="4"/>
  </si>
  <si>
    <t>3</t>
    <phoneticPr fontId="4"/>
  </si>
  <si>
    <t>2</t>
    <phoneticPr fontId="4"/>
  </si>
  <si>
    <t>円</t>
    <rPh sb="0" eb="1">
      <t>エン</t>
    </rPh>
    <phoneticPr fontId="4"/>
  </si>
  <si>
    <t>円</t>
    <rPh sb="0" eb="1">
      <t>エン</t>
    </rPh>
    <phoneticPr fontId="4"/>
  </si>
  <si>
    <t>メニュー画面へ</t>
  </si>
  <si>
    <t>合計</t>
    <phoneticPr fontId="4"/>
  </si>
  <si>
    <t>住所</t>
    <rPh sb="0" eb="1">
      <t>ジュウ</t>
    </rPh>
    <rPh sb="1" eb="2">
      <t>ショ</t>
    </rPh>
    <phoneticPr fontId="4"/>
  </si>
  <si>
    <t>名称</t>
    <rPh sb="0" eb="1">
      <t>ナ</t>
    </rPh>
    <rPh sb="1" eb="2">
      <t>ショウ</t>
    </rPh>
    <phoneticPr fontId="4"/>
  </si>
  <si>
    <r>
      <t>代</t>
    </r>
    <r>
      <rPr>
        <sz val="11"/>
        <color theme="1"/>
        <rFont val="ＭＳ Ｐ明朝"/>
        <family val="1"/>
        <charset val="128"/>
      </rPr>
      <t>表者</t>
    </r>
    <rPh sb="0" eb="1">
      <t>ダイ</t>
    </rPh>
    <rPh sb="1" eb="2">
      <t>オモテ</t>
    </rPh>
    <rPh sb="2" eb="3">
      <t>シャ</t>
    </rPh>
    <phoneticPr fontId="4"/>
  </si>
  <si>
    <t>標記について次のとおり報告します。</t>
    <rPh sb="0" eb="2">
      <t>ヒョウキ</t>
    </rPh>
    <rPh sb="6" eb="7">
      <t>ツギ</t>
    </rPh>
    <rPh sb="11" eb="13">
      <t>ホウコク</t>
    </rPh>
    <phoneticPr fontId="4"/>
  </si>
  <si>
    <t>1．地域連携活動支援事業</t>
    <rPh sb="2" eb="4">
      <t>チイキ</t>
    </rPh>
    <rPh sb="4" eb="6">
      <t>レンケイ</t>
    </rPh>
    <rPh sb="6" eb="8">
      <t>カツドウ</t>
    </rPh>
    <rPh sb="8" eb="10">
      <t>シエン</t>
    </rPh>
    <rPh sb="10" eb="12">
      <t>ジギョウ</t>
    </rPh>
    <phoneticPr fontId="4"/>
  </si>
  <si>
    <t>2．全国的・広域的ネットワーク活動支援事業</t>
    <rPh sb="2" eb="5">
      <t>ゼンコクテキ</t>
    </rPh>
    <rPh sb="6" eb="9">
      <t>コウイキテキ</t>
    </rPh>
    <rPh sb="15" eb="17">
      <t>カツドウ</t>
    </rPh>
    <rPh sb="17" eb="19">
      <t>シエン</t>
    </rPh>
    <rPh sb="19" eb="21">
      <t>ジギョウ</t>
    </rPh>
    <phoneticPr fontId="4"/>
  </si>
  <si>
    <t>2</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</si>
  <si>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</si>
  <si>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</si>
  <si>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</si>
  <si>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</si>
  <si>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</si>
  <si>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</si>
  <si>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</si>
  <si>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</si>
  <si>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</si>
  <si>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13</t>
    <phoneticPr fontId="4"/>
  </si>
  <si>
    <t>利息収入（支援事業専用口座利息）</t>
    <rPh sb="0" eb="2">
      <t>リソク</t>
    </rPh>
    <rPh sb="2" eb="4">
      <t>シュウニュウ</t>
    </rPh>
    <rPh sb="7" eb="9">
      <t>ジギョウ</t>
    </rPh>
    <rPh sb="9" eb="11">
      <t>センヨウ</t>
    </rPh>
    <rPh sb="11" eb="13">
      <t>コウザ</t>
    </rPh>
    <rPh sb="13" eb="15">
      <t>リソク</t>
    </rPh>
    <phoneticPr fontId="4"/>
  </si>
  <si>
    <t>3.賃金</t>
    <rPh sb="2" eb="4">
      <t>チンギン</t>
    </rPh>
    <phoneticPr fontId="4"/>
  </si>
  <si>
    <t>4.家賃</t>
    <rPh sb="2" eb="4">
      <t>ヤチン</t>
    </rPh>
    <phoneticPr fontId="4"/>
  </si>
  <si>
    <t>5.光熱水費</t>
    <rPh sb="2" eb="6">
      <t>コウネツスイヒ</t>
    </rPh>
    <rPh sb="4" eb="5">
      <t>ミズ</t>
    </rPh>
    <rPh sb="5" eb="6">
      <t>ヒ</t>
    </rPh>
    <phoneticPr fontId="4"/>
  </si>
  <si>
    <t>6.備品購入費　　　</t>
    <rPh sb="2" eb="4">
      <t>ビヒン</t>
    </rPh>
    <rPh sb="4" eb="6">
      <t>コウニュウ</t>
    </rPh>
    <rPh sb="6" eb="7">
      <t>ヒ</t>
    </rPh>
    <phoneticPr fontId="4"/>
  </si>
  <si>
    <t>7.消耗品費</t>
    <rPh sb="2" eb="5">
      <t>ショウモウヒン</t>
    </rPh>
    <rPh sb="5" eb="6">
      <t>ヒ</t>
    </rPh>
    <phoneticPr fontId="4"/>
  </si>
  <si>
    <t>8.借料損料</t>
    <rPh sb="2" eb="4">
      <t>シャクリョウ</t>
    </rPh>
    <rPh sb="4" eb="6">
      <t>ソンリョウ</t>
    </rPh>
    <phoneticPr fontId="4"/>
  </si>
  <si>
    <t>9.印刷製本費</t>
    <rPh sb="2" eb="4">
      <t>インサツ</t>
    </rPh>
    <rPh sb="4" eb="6">
      <t>セイホン</t>
    </rPh>
    <rPh sb="6" eb="7">
      <t>ヒ</t>
    </rPh>
    <phoneticPr fontId="4"/>
  </si>
  <si>
    <t>10.通信運搬費</t>
    <rPh sb="3" eb="5">
      <t>ツウシン</t>
    </rPh>
    <rPh sb="5" eb="7">
      <t>ウンパン</t>
    </rPh>
    <rPh sb="7" eb="8">
      <t>ヒ</t>
    </rPh>
    <phoneticPr fontId="4"/>
  </si>
  <si>
    <t>12.雑役務費</t>
    <rPh sb="3" eb="4">
      <t>ザツ</t>
    </rPh>
    <rPh sb="4" eb="6">
      <t>エキム</t>
    </rPh>
    <rPh sb="6" eb="7">
      <t>ヒ</t>
    </rPh>
    <phoneticPr fontId="4"/>
  </si>
  <si>
    <t>13.保険料</t>
    <rPh sb="3" eb="6">
      <t>ホケンリョウ</t>
    </rPh>
    <phoneticPr fontId="4"/>
  </si>
  <si>
    <t>団体郵便番号 （例：123-4567）</t>
    <rPh sb="0" eb="2">
      <t>ダンタイ</t>
    </rPh>
    <rPh sb="2" eb="6">
      <t>ユウビンバンゴウ</t>
    </rPh>
    <rPh sb="8" eb="9">
      <t>レイ</t>
    </rPh>
    <phoneticPr fontId="4"/>
  </si>
  <si>
    <t>総事業費の支出額内訳</t>
    <rPh sb="0" eb="4">
      <t>ソウジギョウヒ</t>
    </rPh>
    <rPh sb="5" eb="8">
      <t>シシュツガク</t>
    </rPh>
    <rPh sb="8" eb="10">
      <t>ウチワケ</t>
    </rPh>
    <phoneticPr fontId="29"/>
  </si>
  <si>
    <t>事業完了報告書</t>
    <rPh sb="0" eb="2">
      <t>ジギョウ</t>
    </rPh>
    <rPh sb="2" eb="4">
      <t>カンリョウ</t>
    </rPh>
    <rPh sb="4" eb="7">
      <t>ホウコクショ</t>
    </rPh>
    <phoneticPr fontId="29"/>
  </si>
  <si>
    <t>収入入力表</t>
    <phoneticPr fontId="4"/>
  </si>
  <si>
    <t>③ 支援金額の算定</t>
    <rPh sb="4" eb="6">
      <t>キンガク</t>
    </rPh>
    <rPh sb="7" eb="9">
      <t>サンテイ</t>
    </rPh>
    <phoneticPr fontId="4"/>
  </si>
  <si>
    <t>① 支援対象事業を実施するための経費</t>
    <rPh sb="4" eb="6">
      <t>タイショウ</t>
    </rPh>
    <rPh sb="6" eb="8">
      <t>ジギョウ</t>
    </rPh>
    <rPh sb="9" eb="11">
      <t>ジッシ</t>
    </rPh>
    <rPh sb="16" eb="18">
      <t>ケイヒ</t>
    </rPh>
    <phoneticPr fontId="4"/>
  </si>
  <si>
    <t>利息収入（支援事業専用口座利息）</t>
    <rPh sb="0" eb="2">
      <t>リソク</t>
    </rPh>
    <rPh sb="2" eb="4">
      <t>シュウニュウ</t>
    </rPh>
    <rPh sb="5" eb="7">
      <t>シエン</t>
    </rPh>
    <rPh sb="7" eb="9">
      <t>ジギョウ</t>
    </rPh>
    <rPh sb="9" eb="11">
      <t>センヨウ</t>
    </rPh>
    <rPh sb="11" eb="13">
      <t>コウザ</t>
    </rPh>
    <rPh sb="13" eb="15">
      <t>リソク</t>
    </rPh>
    <phoneticPr fontId="4"/>
  </si>
  <si>
    <t>一般会計繰入金</t>
    <rPh sb="0" eb="2">
      <t>イッパン</t>
    </rPh>
    <rPh sb="2" eb="4">
      <t>カイケイ</t>
    </rPh>
    <rPh sb="4" eb="5">
      <t>ク</t>
    </rPh>
    <rPh sb="5" eb="6">
      <t>イレ</t>
    </rPh>
    <rPh sb="6" eb="7">
      <t>キン</t>
    </rPh>
    <phoneticPr fontId="4"/>
  </si>
  <si>
    <t>支援事業における収入（参加費・利用料等）</t>
    <rPh sb="0" eb="2">
      <t>シエン</t>
    </rPh>
    <rPh sb="2" eb="4">
      <t>ジギョウ</t>
    </rPh>
    <rPh sb="8" eb="10">
      <t>シュウニュウ</t>
    </rPh>
    <rPh sb="11" eb="14">
      <t>サンカヒ</t>
    </rPh>
    <rPh sb="15" eb="17">
      <t>リヨウ</t>
    </rPh>
    <rPh sb="17" eb="18">
      <t>リョウ</t>
    </rPh>
    <rPh sb="18" eb="19">
      <t>トウ</t>
    </rPh>
    <phoneticPr fontId="4"/>
  </si>
  <si>
    <t>メニュー画面へ</t>
    <rPh sb="4" eb="6">
      <t>ガメン</t>
    </rPh>
    <phoneticPr fontId="4"/>
  </si>
  <si>
    <t>団体基本情報</t>
    <phoneticPr fontId="4"/>
  </si>
  <si>
    <t>団体基本情報入力</t>
    <rPh sb="0" eb="2">
      <t>ダンタイ</t>
    </rPh>
    <rPh sb="2" eb="4">
      <t>キホン</t>
    </rPh>
    <rPh sb="4" eb="6">
      <t>ジョウホウ</t>
    </rPh>
    <rPh sb="6" eb="8">
      <t>ニュウリョク</t>
    </rPh>
    <phoneticPr fontId="4"/>
  </si>
  <si>
    <t>メニュー画面へ</t>
    <rPh sb="4" eb="6">
      <t>ガメン</t>
    </rPh>
    <phoneticPr fontId="4"/>
  </si>
  <si>
    <t>令和</t>
    <rPh sb="0" eb="2">
      <t>レイワ</t>
    </rPh>
    <phoneticPr fontId="4"/>
  </si>
  <si>
    <t>対象外経費</t>
    <rPh sb="0" eb="3">
      <t>タイショウガイ</t>
    </rPh>
    <rPh sb="3" eb="5">
      <t>ケイヒ</t>
    </rPh>
    <phoneticPr fontId="4"/>
  </si>
  <si>
    <t>対象外経費</t>
    <rPh sb="0" eb="5">
      <t>タイショウガイケイヒ</t>
    </rPh>
    <phoneticPr fontId="4"/>
  </si>
  <si>
    <t>その他の対象経費</t>
    <rPh sb="2" eb="3">
      <t>タ</t>
    </rPh>
    <rPh sb="4" eb="8">
      <t>タイショウケイヒ</t>
    </rPh>
    <phoneticPr fontId="4"/>
  </si>
  <si>
    <t>その他の対象経費</t>
    <rPh sb="2" eb="3">
      <t>タ</t>
    </rPh>
    <rPh sb="4" eb="6">
      <t>タイショウ</t>
    </rPh>
    <rPh sb="6" eb="8">
      <t>ケイヒ</t>
    </rPh>
    <phoneticPr fontId="4"/>
  </si>
  <si>
    <t>03.所費</t>
    <phoneticPr fontId="4"/>
  </si>
  <si>
    <t>14.その他の対象経費</t>
    <rPh sb="5" eb="6">
      <t>タ</t>
    </rPh>
    <rPh sb="7" eb="9">
      <t>タイショウ</t>
    </rPh>
    <rPh sb="9" eb="11">
      <t>ケイヒ</t>
    </rPh>
    <phoneticPr fontId="4"/>
  </si>
  <si>
    <t>支出入力表へ</t>
    <rPh sb="0" eb="5">
      <t>シシュツニュウリョクヒョウ</t>
    </rPh>
    <phoneticPr fontId="4"/>
  </si>
  <si>
    <t>15</t>
  </si>
  <si>
    <t>対象外経費</t>
    <rPh sb="0" eb="3">
      <t>タイショウガイ</t>
    </rPh>
    <rPh sb="3" eb="5">
      <t>ケイヒ</t>
    </rPh>
    <phoneticPr fontId="4"/>
  </si>
  <si>
    <t>-</t>
    <phoneticPr fontId="4"/>
  </si>
  <si>
    <t>-</t>
    <phoneticPr fontId="4"/>
  </si>
  <si>
    <t>-</t>
    <phoneticPr fontId="4"/>
  </si>
  <si>
    <t>-</t>
    <phoneticPr fontId="4"/>
  </si>
  <si>
    <t>支出入力表へ</t>
    <rPh sb="0" eb="5">
      <t>シシュツニュウリョクヒョウ</t>
    </rPh>
    <phoneticPr fontId="4"/>
  </si>
  <si>
    <t>事業</t>
    <rPh sb="0" eb="2">
      <t>ジギョウ</t>
    </rPh>
    <phoneticPr fontId="4"/>
  </si>
  <si>
    <t>団体名：</t>
    <rPh sb="0" eb="2">
      <t>ダンタイ</t>
    </rPh>
    <rPh sb="2" eb="3">
      <t>メイ</t>
    </rPh>
    <phoneticPr fontId="4"/>
  </si>
  <si>
    <t>要望時</t>
    <rPh sb="0" eb="2">
      <t>ヨウボウ</t>
    </rPh>
    <rPh sb="2" eb="3">
      <t>ジ</t>
    </rPh>
    <phoneticPr fontId="4"/>
  </si>
  <si>
    <t>完了時</t>
    <rPh sb="0" eb="2">
      <t>カンリョウ</t>
    </rPh>
    <rPh sb="2" eb="3">
      <t>ジ</t>
    </rPh>
    <phoneticPr fontId="4"/>
  </si>
  <si>
    <t xml:space="preserve"> 精算額計算書</t>
    <rPh sb="1" eb="3">
      <t>セイサン</t>
    </rPh>
    <rPh sb="3" eb="4">
      <t>ガク</t>
    </rPh>
    <rPh sb="4" eb="7">
      <t>ケイサンショ</t>
    </rPh>
    <phoneticPr fontId="4"/>
  </si>
  <si>
    <t xml:space="preserve"> 成果物</t>
    <rPh sb="1" eb="4">
      <t>セイカブツ</t>
    </rPh>
    <phoneticPr fontId="4"/>
  </si>
  <si>
    <t xml:space="preserve"> その他参考となる書類</t>
    <rPh sb="3" eb="4">
      <t>タ</t>
    </rPh>
    <rPh sb="4" eb="6">
      <t>サンコウ</t>
    </rPh>
    <rPh sb="9" eb="11">
      <t>ショルイ</t>
    </rPh>
    <phoneticPr fontId="4"/>
  </si>
  <si>
    <t>３　精算額調書</t>
    <rPh sb="4" eb="5">
      <t>ガク</t>
    </rPh>
    <rPh sb="5" eb="7">
      <t>チョウショ</t>
    </rPh>
    <phoneticPr fontId="4"/>
  </si>
  <si>
    <t>２　精算額</t>
    <rPh sb="2" eb="4">
      <t>セイサン</t>
    </rPh>
    <rPh sb="4" eb="5">
      <t>ガク</t>
    </rPh>
    <phoneticPr fontId="4"/>
  </si>
  <si>
    <t>１　事業名</t>
    <rPh sb="2" eb="4">
      <t>ジギョウ</t>
    </rPh>
    <rPh sb="4" eb="5">
      <t>メイ</t>
    </rPh>
    <phoneticPr fontId="4"/>
  </si>
  <si>
    <t>年度　事業完了報告書</t>
    <phoneticPr fontId="4"/>
  </si>
  <si>
    <t>（ａ） 上記支援対象経費の合計</t>
    <rPh sb="4" eb="6">
      <t>ジョウキ</t>
    </rPh>
    <rPh sb="8" eb="10">
      <t>タイショウ</t>
    </rPh>
    <rPh sb="10" eb="12">
      <t>ケイヒ</t>
    </rPh>
    <rPh sb="13" eb="15">
      <t>ゴウケイ</t>
    </rPh>
    <phoneticPr fontId="4"/>
  </si>
  <si>
    <t>総事業費
（Ａ）</t>
    <rPh sb="0" eb="4">
      <t>ソウジギョウヒ</t>
    </rPh>
    <phoneticPr fontId="4"/>
  </si>
  <si>
    <t>差引事業費
（Ａ‐Ｂ=Ｃ）</t>
    <rPh sb="0" eb="1">
      <t>サ</t>
    </rPh>
    <rPh sb="1" eb="2">
      <t>ヒ</t>
    </rPh>
    <rPh sb="2" eb="5">
      <t>ジギョウヒ</t>
    </rPh>
    <phoneticPr fontId="4"/>
  </si>
  <si>
    <t>差引事業費
（Ａ-Ｂ=Ｃ）</t>
    <rPh sb="0" eb="1">
      <t>サ</t>
    </rPh>
    <rPh sb="1" eb="2">
      <t>ヒ</t>
    </rPh>
    <rPh sb="2" eb="5">
      <t>ジギョウヒ</t>
    </rPh>
    <phoneticPr fontId="4"/>
  </si>
  <si>
    <t>（添付書類）</t>
    <rPh sb="1" eb="3">
      <t>テンプ</t>
    </rPh>
    <rPh sb="3" eb="5">
      <t>ショルイ</t>
    </rPh>
    <phoneticPr fontId="4"/>
  </si>
  <si>
    <t>採択事業名</t>
    <rPh sb="0" eb="2">
      <t>サイタク</t>
    </rPh>
    <rPh sb="2" eb="4">
      <t>ジギョウ</t>
    </rPh>
    <rPh sb="4" eb="5">
      <t>メイ</t>
    </rPh>
    <phoneticPr fontId="4"/>
  </si>
  <si>
    <t>（Ａ） 総事業費 （ａ）＋（ｂ）</t>
    <rPh sb="4" eb="8">
      <t>ソウジギョウヒ</t>
    </rPh>
    <phoneticPr fontId="4"/>
  </si>
  <si>
    <t>寄付金その他の収入
（Ｂ）</t>
    <rPh sb="0" eb="3">
      <t>キフキン</t>
    </rPh>
    <rPh sb="5" eb="6">
      <t>タ</t>
    </rPh>
    <rPh sb="7" eb="9">
      <t>シュウニュウ</t>
    </rPh>
    <phoneticPr fontId="4"/>
  </si>
  <si>
    <t>決定額
（Ｅ）</t>
    <rPh sb="0" eb="2">
      <t>ケッテイ</t>
    </rPh>
    <rPh sb="2" eb="3">
      <t>ガク</t>
    </rPh>
    <phoneticPr fontId="4"/>
  </si>
  <si>
    <t>精算額
(ＤとＥを比較して少ない方の額）（Ｆ）</t>
    <rPh sb="0" eb="3">
      <t>セイサンガク</t>
    </rPh>
    <rPh sb="9" eb="11">
      <t>ヒカク</t>
    </rPh>
    <rPh sb="13" eb="14">
      <t>スク</t>
    </rPh>
    <rPh sb="16" eb="17">
      <t>ホウ</t>
    </rPh>
    <rPh sb="18" eb="19">
      <t>ガク</t>
    </rPh>
    <phoneticPr fontId="4"/>
  </si>
  <si>
    <t>返還額
（Ｅ-Ｆ）　</t>
    <rPh sb="0" eb="3">
      <t>ヘンカンガク</t>
    </rPh>
    <phoneticPr fontId="4"/>
  </si>
  <si>
    <t>返還額
（Ｅ-Ｆ）</t>
    <rPh sb="0" eb="3">
      <t>ヘンカンガク</t>
    </rPh>
    <phoneticPr fontId="4"/>
  </si>
  <si>
    <t>11.委託費　※</t>
    <rPh sb="3" eb="5">
      <t>イタク</t>
    </rPh>
    <rPh sb="5" eb="6">
      <t>ヒ</t>
    </rPh>
    <phoneticPr fontId="4"/>
  </si>
  <si>
    <t>精算額
（ＤとＥを比較して
少ない方の額）(Ｆ)</t>
    <rPh sb="2" eb="3">
      <t>ガク</t>
    </rPh>
    <rPh sb="9" eb="11">
      <t>ヒカク</t>
    </rPh>
    <rPh sb="14" eb="15">
      <t>スク</t>
    </rPh>
    <rPh sb="17" eb="18">
      <t>ホウ</t>
    </rPh>
    <rPh sb="19" eb="20">
      <t>ガク</t>
    </rPh>
    <phoneticPr fontId="4"/>
  </si>
  <si>
    <t>差引事業費から
千円未満の端数を
切り捨てた額 （Ｄ）</t>
    <rPh sb="0" eb="1">
      <t>サ</t>
    </rPh>
    <rPh sb="1" eb="2">
      <t>ヒ</t>
    </rPh>
    <rPh sb="2" eb="5">
      <t>ジギョウヒ</t>
    </rPh>
    <rPh sb="8" eb="9">
      <t>セン</t>
    </rPh>
    <rPh sb="9" eb="10">
      <t>エン</t>
    </rPh>
    <rPh sb="10" eb="12">
      <t>ミマン</t>
    </rPh>
    <rPh sb="13" eb="15">
      <t>ハスウ</t>
    </rPh>
    <rPh sb="17" eb="18">
      <t>キ</t>
    </rPh>
    <rPh sb="19" eb="20">
      <t>ス</t>
    </rPh>
    <rPh sb="22" eb="23">
      <t>ガク</t>
    </rPh>
    <phoneticPr fontId="4"/>
  </si>
  <si>
    <t>差引事業費から
千円未満の端数を
切り捨てた額 （Ｄ）</t>
    <rPh sb="0" eb="2">
      <t>サシヒキ</t>
    </rPh>
    <rPh sb="2" eb="5">
      <t>ジギョウヒ</t>
    </rPh>
    <rPh sb="8" eb="9">
      <t>セン</t>
    </rPh>
    <rPh sb="9" eb="10">
      <t>エン</t>
    </rPh>
    <rPh sb="10" eb="12">
      <t>ミマン</t>
    </rPh>
    <rPh sb="13" eb="15">
      <t>ハスウ</t>
    </rPh>
    <rPh sb="17" eb="18">
      <t>キ</t>
    </rPh>
    <rPh sb="19" eb="20">
      <t>ス</t>
    </rPh>
    <rPh sb="22" eb="23">
      <t>ガク</t>
    </rPh>
    <phoneticPr fontId="4"/>
  </si>
  <si>
    <t>日付設定</t>
    <rPh sb="0" eb="2">
      <t>ヒヅケ</t>
    </rPh>
    <rPh sb="2" eb="4">
      <t>セッテイ</t>
    </rPh>
    <phoneticPr fontId="4"/>
  </si>
  <si>
    <t>完了時－要望時
（差額）</t>
    <rPh sb="0" eb="2">
      <t>カンリョウ</t>
    </rPh>
    <rPh sb="2" eb="3">
      <t>ジ</t>
    </rPh>
    <rPh sb="4" eb="6">
      <t>ヨウボウ</t>
    </rPh>
    <rPh sb="6" eb="7">
      <t>ジ</t>
    </rPh>
    <rPh sb="9" eb="11">
      <t>サガク</t>
    </rPh>
    <phoneticPr fontId="4"/>
  </si>
  <si>
    <t>完了時－要望時
（差額）</t>
    <rPh sb="0" eb="2">
      <t>カンリョウ</t>
    </rPh>
    <rPh sb="2" eb="3">
      <t>ジ</t>
    </rPh>
    <rPh sb="4" eb="6">
      <t>ヨウボウ</t>
    </rPh>
    <rPh sb="6" eb="7">
      <t>トキ</t>
    </rPh>
    <rPh sb="9" eb="11">
      <t>サガク</t>
    </rPh>
    <phoneticPr fontId="4"/>
  </si>
  <si>
    <t xml:space="preserve">（Ｂ） 寄付金その他の収入　※ </t>
    <rPh sb="4" eb="7">
      <t>キフキン</t>
    </rPh>
    <rPh sb="9" eb="10">
      <t>タ</t>
    </rPh>
    <rPh sb="11" eb="13">
      <t>シュウニュウ</t>
    </rPh>
    <phoneticPr fontId="4"/>
  </si>
  <si>
    <r>
      <rPr>
        <b/>
        <sz val="14"/>
        <color theme="1"/>
        <rFont val="ＭＳ Ｐゴシック"/>
        <family val="3"/>
        <charset val="128"/>
      </rPr>
      <t>　 領収書
    番号</t>
    </r>
    <r>
      <rPr>
        <b/>
        <sz val="12"/>
        <color theme="1"/>
        <rFont val="ＭＳ Ｐゴシック"/>
        <family val="3"/>
        <charset val="128"/>
      </rPr>
      <t xml:space="preserve">
</t>
    </r>
    <r>
      <rPr>
        <sz val="12"/>
        <color theme="1"/>
        <rFont val="ＭＳ Ｐゴシック"/>
        <family val="3"/>
        <charset val="128"/>
      </rPr>
      <t>領収書に付す番号です。</t>
    </r>
    <rPh sb="2" eb="5">
      <t>リョウシュウショ</t>
    </rPh>
    <rPh sb="10" eb="12">
      <t>バンゴウ</t>
    </rPh>
    <phoneticPr fontId="5"/>
  </si>
  <si>
    <t>（様式３-２）</t>
    <rPh sb="1" eb="3">
      <t>ヨウシキ</t>
    </rPh>
    <phoneticPr fontId="4"/>
  </si>
  <si>
    <r>
      <t>※（Ａ）総事業費に対する</t>
    </r>
    <r>
      <rPr>
        <b/>
        <sz val="8"/>
        <color rgb="FFFF0000"/>
        <rFont val="ＭＳ Ｐゴシック"/>
        <family val="3"/>
        <charset val="128"/>
      </rPr>
      <t>11.委託費</t>
    </r>
    <r>
      <rPr>
        <b/>
        <sz val="8"/>
        <color theme="1"/>
        <rFont val="ＭＳ Ｐゴシック"/>
        <family val="3"/>
        <charset val="128"/>
      </rPr>
      <t>の割合が</t>
    </r>
    <r>
      <rPr>
        <b/>
        <sz val="8"/>
        <color rgb="FFFF0000"/>
        <rFont val="ＭＳ Ｐゴシック"/>
        <family val="3"/>
        <charset val="128"/>
      </rPr>
      <t>５０％以上</t>
    </r>
    <r>
      <rPr>
        <b/>
        <sz val="8"/>
        <color theme="1"/>
        <rFont val="ＭＳ Ｐゴシック"/>
        <family val="3"/>
        <charset val="128"/>
      </rPr>
      <t>の場合、支援事業の</t>
    </r>
    <r>
      <rPr>
        <b/>
        <sz val="8"/>
        <color rgb="FFFF0000"/>
        <rFont val="ＭＳ Ｐゴシック"/>
        <family val="3"/>
        <charset val="128"/>
      </rPr>
      <t>対象外</t>
    </r>
    <r>
      <rPr>
        <b/>
        <sz val="8"/>
        <color theme="1"/>
        <rFont val="ＭＳ Ｐゴシック"/>
        <family val="3"/>
        <charset val="128"/>
      </rPr>
      <t>となります。</t>
    </r>
    <phoneticPr fontId="4"/>
  </si>
  <si>
    <t>旅費の場合のみ</t>
    <rPh sb="0" eb="2">
      <t>リョヒ</t>
    </rPh>
    <rPh sb="3" eb="5">
      <t>バアイ</t>
    </rPh>
    <phoneticPr fontId="4"/>
  </si>
  <si>
    <t>謝金</t>
    <rPh sb="0" eb="2">
      <t>シャキン</t>
    </rPh>
    <phoneticPr fontId="4"/>
  </si>
  <si>
    <t>旅費</t>
    <rPh sb="0" eb="2">
      <t>リョヒ</t>
    </rPh>
    <phoneticPr fontId="4"/>
  </si>
  <si>
    <t>所費</t>
    <rPh sb="0" eb="1">
      <t>トコロ</t>
    </rPh>
    <rPh sb="1" eb="2">
      <t>ヒ</t>
    </rPh>
    <phoneticPr fontId="4"/>
  </si>
  <si>
    <t>01.</t>
    <phoneticPr fontId="4"/>
  </si>
  <si>
    <t>02.</t>
    <phoneticPr fontId="4"/>
  </si>
  <si>
    <t>03.</t>
    <phoneticPr fontId="4"/>
  </si>
  <si>
    <t>04.</t>
    <phoneticPr fontId="4"/>
  </si>
  <si>
    <t>その他</t>
    <phoneticPr fontId="4"/>
  </si>
  <si>
    <t>謝金合計</t>
    <rPh sb="0" eb="2">
      <t>シャキン</t>
    </rPh>
    <rPh sb="2" eb="4">
      <t>ゴウケイ</t>
    </rPh>
    <phoneticPr fontId="4"/>
  </si>
  <si>
    <t>旅費合計</t>
    <rPh sb="0" eb="2">
      <t>リョヒ</t>
    </rPh>
    <rPh sb="2" eb="4">
      <t>ゴウケイ</t>
    </rPh>
    <phoneticPr fontId="4"/>
  </si>
  <si>
    <t>所費合計</t>
    <rPh sb="0" eb="1">
      <t>ショ</t>
    </rPh>
    <rPh sb="1" eb="2">
      <t>ヒ</t>
    </rPh>
    <rPh sb="2" eb="4">
      <t>ゴウケイ</t>
    </rPh>
    <phoneticPr fontId="4"/>
  </si>
  <si>
    <t>その他合計</t>
    <rPh sb="2" eb="3">
      <t>タ</t>
    </rPh>
    <rPh sb="3" eb="5">
      <t>ゴウケイ</t>
    </rPh>
    <phoneticPr fontId="4"/>
  </si>
  <si>
    <t>変更にあたり相談が必要となるか</t>
    <rPh sb="0" eb="2">
      <t>ヘンコウ</t>
    </rPh>
    <rPh sb="6" eb="8">
      <t>ソウダン</t>
    </rPh>
    <rPh sb="9" eb="11">
      <t>ヒツヨウ</t>
    </rPh>
    <phoneticPr fontId="4"/>
  </si>
  <si>
    <t>大費目の最小値</t>
    <rPh sb="0" eb="1">
      <t>ダイ</t>
    </rPh>
    <rPh sb="1" eb="3">
      <t>ヒモク</t>
    </rPh>
    <rPh sb="4" eb="7">
      <t>サイショウチ</t>
    </rPh>
    <phoneticPr fontId="4"/>
  </si>
  <si>
    <t>完了時－変更時
（差額）</t>
    <rPh sb="0" eb="2">
      <t>カンリョウ</t>
    </rPh>
    <rPh sb="2" eb="3">
      <t>ジ</t>
    </rPh>
    <rPh sb="4" eb="6">
      <t>ヘンコウ</t>
    </rPh>
    <rPh sb="6" eb="7">
      <t>ドキ</t>
    </rPh>
    <rPh sb="7" eb="8">
      <t>ヨウジ</t>
    </rPh>
    <rPh sb="9" eb="11">
      <t>サガク</t>
    </rPh>
    <phoneticPr fontId="4"/>
  </si>
  <si>
    <t>⇒</t>
    <phoneticPr fontId="4"/>
  </si>
  <si>
    <t>変更後</t>
    <rPh sb="0" eb="2">
      <t>ヘンコウ</t>
    </rPh>
    <rPh sb="2" eb="3">
      <t>ゴ</t>
    </rPh>
    <phoneticPr fontId="4"/>
  </si>
  <si>
    <t>大費目の20％</t>
    <rPh sb="0" eb="3">
      <t>ダイヒモク</t>
    </rPh>
    <phoneticPr fontId="4"/>
  </si>
  <si>
    <t>決定時と変更時の差額</t>
    <rPh sb="0" eb="2">
      <t>ケッテイ</t>
    </rPh>
    <rPh sb="2" eb="3">
      <t>ジ</t>
    </rPh>
    <rPh sb="4" eb="6">
      <t>ヘンコウ</t>
    </rPh>
    <rPh sb="6" eb="7">
      <t>ジ</t>
    </rPh>
    <rPh sb="8" eb="10">
      <t>サガク</t>
    </rPh>
    <phoneticPr fontId="4"/>
  </si>
  <si>
    <t>20％を超えているか</t>
    <rPh sb="4" eb="5">
      <t>コ</t>
    </rPh>
    <phoneticPr fontId="4"/>
  </si>
  <si>
    <t>20万円超であるか</t>
    <rPh sb="2" eb="4">
      <t>マンエン</t>
    </rPh>
    <rPh sb="4" eb="5">
      <t>チョウ</t>
    </rPh>
    <phoneticPr fontId="4"/>
  </si>
  <si>
    <t>（ｂ） 対象外経費</t>
    <rPh sb="4" eb="7">
      <t>タイショウガイ</t>
    </rPh>
    <rPh sb="7" eb="9">
      <t>ケイヒ</t>
    </rPh>
    <phoneticPr fontId="4"/>
  </si>
  <si>
    <t>⇒</t>
  </si>
  <si>
    <t>⇒</t>
    <phoneticPr fontId="4"/>
  </si>
  <si>
    <t>国または地方公共団体及び民間からの
補助金・助成金等</t>
    <rPh sb="0" eb="1">
      <t>クニ</t>
    </rPh>
    <rPh sb="4" eb="6">
      <t>チホウ</t>
    </rPh>
    <rPh sb="6" eb="8">
      <t>コウキョウ</t>
    </rPh>
    <rPh sb="8" eb="10">
      <t>ダンタイ</t>
    </rPh>
    <rPh sb="10" eb="11">
      <t>オヨ</t>
    </rPh>
    <rPh sb="12" eb="14">
      <t>ミンカン</t>
    </rPh>
    <rPh sb="18" eb="21">
      <t>ホジョキン</t>
    </rPh>
    <rPh sb="22" eb="25">
      <t>ジョセイキン</t>
    </rPh>
    <rPh sb="25" eb="26">
      <t>トウ</t>
    </rPh>
    <phoneticPr fontId="4"/>
  </si>
  <si>
    <t>国または地方公共団体及び民間からの補助金・助成金等</t>
    <phoneticPr fontId="4"/>
  </si>
  <si>
    <t>予算変更の確認</t>
    <rPh sb="0" eb="2">
      <t>ヨサン</t>
    </rPh>
    <rPh sb="2" eb="4">
      <t>ヘンコウ</t>
    </rPh>
    <rPh sb="5" eb="7">
      <t>カクニン</t>
    </rPh>
    <phoneticPr fontId="29"/>
  </si>
  <si>
    <t>予算の消化状況を確認する表です。</t>
    <rPh sb="0" eb="2">
      <t>ヨサン</t>
    </rPh>
    <rPh sb="3" eb="5">
      <t>ショウカ</t>
    </rPh>
    <rPh sb="5" eb="7">
      <t>ジョウキョウ</t>
    </rPh>
    <rPh sb="8" eb="10">
      <t>カクニン</t>
    </rPh>
    <rPh sb="12" eb="13">
      <t>ヒョウ</t>
    </rPh>
    <phoneticPr fontId="29"/>
  </si>
  <si>
    <t>採択年度 （和暦）　　　　　令和</t>
    <rPh sb="0" eb="2">
      <t>サイタク</t>
    </rPh>
    <rPh sb="2" eb="4">
      <t>ネンド</t>
    </rPh>
    <rPh sb="6" eb="8">
      <t>ワレキ</t>
    </rPh>
    <rPh sb="14" eb="16">
      <t>レイワ</t>
    </rPh>
    <phoneticPr fontId="4"/>
  </si>
  <si>
    <t>受付番号 （11桁の数字）</t>
    <rPh sb="0" eb="1">
      <t>ウ</t>
    </rPh>
    <rPh sb="1" eb="2">
      <t>ツ</t>
    </rPh>
    <rPh sb="2" eb="4">
      <t>バンゴウ</t>
    </rPh>
    <rPh sb="8" eb="9">
      <t>ケタ</t>
    </rPh>
    <rPh sb="10" eb="12">
      <t>スウジ</t>
    </rPh>
    <phoneticPr fontId="4"/>
  </si>
  <si>
    <t>千円</t>
    <rPh sb="0" eb="2">
      <t>センエン</t>
    </rPh>
    <phoneticPr fontId="4"/>
  </si>
  <si>
    <t>年度</t>
    <rPh sb="0" eb="2">
      <t>ネンド</t>
    </rPh>
    <phoneticPr fontId="4"/>
  </si>
  <si>
    <r>
      <t xml:space="preserve">決定額 </t>
    </r>
    <r>
      <rPr>
        <b/>
        <sz val="16"/>
        <color theme="1"/>
        <rFont val="ＭＳ Ｐゴシック"/>
        <family val="3"/>
        <charset val="128"/>
      </rPr>
      <t>（千円単位）</t>
    </r>
    <rPh sb="0" eb="2">
      <t>ケッテイ</t>
    </rPh>
    <rPh sb="2" eb="3">
      <t>ガク</t>
    </rPh>
    <rPh sb="5" eb="7">
      <t>センエン</t>
    </rPh>
    <rPh sb="7" eb="9">
      <t>タンイ</t>
    </rPh>
    <phoneticPr fontId="4"/>
  </si>
  <si>
    <t>柱立て１ （取り組み１）</t>
    <rPh sb="0" eb="1">
      <t>ハシラ</t>
    </rPh>
    <rPh sb="1" eb="2">
      <t>ダ</t>
    </rPh>
    <rPh sb="6" eb="7">
      <t>ト</t>
    </rPh>
    <rPh sb="8" eb="9">
      <t>ク</t>
    </rPh>
    <phoneticPr fontId="4"/>
  </si>
  <si>
    <t>柱立て２ （取り組み２）</t>
    <rPh sb="0" eb="1">
      <t>ハシラ</t>
    </rPh>
    <rPh sb="1" eb="2">
      <t>ダ</t>
    </rPh>
    <rPh sb="6" eb="7">
      <t>ト</t>
    </rPh>
    <rPh sb="8" eb="9">
      <t>ク</t>
    </rPh>
    <phoneticPr fontId="4"/>
  </si>
  <si>
    <t>柱立て３ （取り組み３）</t>
    <rPh sb="0" eb="1">
      <t>ハシラ</t>
    </rPh>
    <rPh sb="1" eb="2">
      <t>ダ</t>
    </rPh>
    <rPh sb="6" eb="7">
      <t>ト</t>
    </rPh>
    <rPh sb="8" eb="9">
      <t>ク</t>
    </rPh>
    <phoneticPr fontId="4"/>
  </si>
  <si>
    <t>柱立て４ （取り組み４）</t>
    <rPh sb="0" eb="1">
      <t>ハシラ</t>
    </rPh>
    <rPh sb="1" eb="2">
      <t>ダ</t>
    </rPh>
    <rPh sb="6" eb="7">
      <t>ト</t>
    </rPh>
    <rPh sb="8" eb="9">
      <t>ク</t>
    </rPh>
    <phoneticPr fontId="4"/>
  </si>
  <si>
    <t>柱立て５ （取り組み５）</t>
    <rPh sb="0" eb="1">
      <t>ハシラ</t>
    </rPh>
    <rPh sb="1" eb="2">
      <t>ダ</t>
    </rPh>
    <rPh sb="6" eb="7">
      <t>ト</t>
    </rPh>
    <rPh sb="8" eb="9">
      <t>ク</t>
    </rPh>
    <phoneticPr fontId="4"/>
  </si>
  <si>
    <t>柱立て６ （取り組み６）</t>
    <rPh sb="0" eb="1">
      <t>ハシラ</t>
    </rPh>
    <rPh sb="1" eb="2">
      <t>ダ</t>
    </rPh>
    <rPh sb="6" eb="7">
      <t>ト</t>
    </rPh>
    <rPh sb="8" eb="9">
      <t>ク</t>
    </rPh>
    <phoneticPr fontId="4"/>
  </si>
  <si>
    <t>柱立て７ （取り組み７）</t>
    <rPh sb="0" eb="1">
      <t>ハシラ</t>
    </rPh>
    <rPh sb="1" eb="2">
      <t>ダ</t>
    </rPh>
    <rPh sb="6" eb="7">
      <t>ト</t>
    </rPh>
    <rPh sb="8" eb="9">
      <t>ク</t>
    </rPh>
    <phoneticPr fontId="4"/>
  </si>
  <si>
    <t>柱立て８ （取り組み８）</t>
    <rPh sb="0" eb="1">
      <t>ハシラ</t>
    </rPh>
    <rPh sb="1" eb="2">
      <t>ダ</t>
    </rPh>
    <rPh sb="6" eb="7">
      <t>ト</t>
    </rPh>
    <rPh sb="8" eb="9">
      <t>ク</t>
    </rPh>
    <phoneticPr fontId="4"/>
  </si>
  <si>
    <t>柱立て９ （取り組み９）</t>
    <rPh sb="0" eb="1">
      <t>ハシラ</t>
    </rPh>
    <rPh sb="1" eb="2">
      <t>ダ</t>
    </rPh>
    <rPh sb="6" eb="7">
      <t>ト</t>
    </rPh>
    <rPh sb="8" eb="9">
      <t>ク</t>
    </rPh>
    <phoneticPr fontId="4"/>
  </si>
  <si>
    <t>柱立て10 （取り組み10）</t>
    <rPh sb="0" eb="1">
      <t>ハシラ</t>
    </rPh>
    <rPh sb="1" eb="2">
      <t>ダ</t>
    </rPh>
    <rPh sb="7" eb="8">
      <t>ト</t>
    </rPh>
    <rPh sb="9" eb="10">
      <t>ク</t>
    </rPh>
    <phoneticPr fontId="4"/>
  </si>
  <si>
    <t>柱立て番号 ↓</t>
    <rPh sb="0" eb="1">
      <t>ハシラ</t>
    </rPh>
    <rPh sb="1" eb="2">
      <t>ダ</t>
    </rPh>
    <rPh sb="3" eb="5">
      <t>バンゴウ</t>
    </rPh>
    <phoneticPr fontId="4"/>
  </si>
  <si>
    <r>
      <rPr>
        <b/>
        <sz val="14"/>
        <color theme="1"/>
        <rFont val="ＭＳ Ｐゴシック"/>
        <family val="3"/>
        <charset val="128"/>
      </rPr>
      <t>　　　科目</t>
    </r>
    <r>
      <rPr>
        <b/>
        <sz val="12"/>
        <color theme="1"/>
        <rFont val="ＭＳ Ｐゴシック"/>
        <family val="3"/>
        <charset val="128"/>
      </rPr>
      <t xml:space="preserve">
</t>
    </r>
    <r>
      <rPr>
        <b/>
        <sz val="12"/>
        <color rgb="FFFF0000"/>
        <rFont val="ＭＳ Ｐゴシック"/>
        <family val="3"/>
        <charset val="128"/>
      </rPr>
      <t>プルダウン</t>
    </r>
    <r>
      <rPr>
        <sz val="12"/>
        <color theme="1"/>
        <rFont val="ＭＳ Ｐゴシック"/>
        <family val="3"/>
        <charset val="128"/>
      </rPr>
      <t>で
ご選択ください。</t>
    </r>
    <rPh sb="3" eb="5">
      <t>カモク</t>
    </rPh>
    <phoneticPr fontId="4"/>
  </si>
  <si>
    <r>
      <t xml:space="preserve">大費目
</t>
    </r>
    <r>
      <rPr>
        <sz val="14"/>
        <color theme="1"/>
        <rFont val="ＭＳ Ｐゴシック"/>
        <family val="3"/>
        <charset val="128"/>
      </rPr>
      <t>（項目）</t>
    </r>
    <rPh sb="0" eb="3">
      <t>ダイヒモク</t>
    </rPh>
    <rPh sb="5" eb="7">
      <t>コウモク</t>
    </rPh>
    <phoneticPr fontId="5"/>
  </si>
  <si>
    <t>収入入力表</t>
    <rPh sb="0" eb="2">
      <t>シュウニュウ</t>
    </rPh>
    <rPh sb="2" eb="4">
      <t>ニュウリョク</t>
    </rPh>
    <rPh sb="4" eb="5">
      <t>ヒョウ</t>
    </rPh>
    <phoneticPr fontId="4"/>
  </si>
  <si>
    <r>
      <t>支援事業による</t>
    </r>
    <r>
      <rPr>
        <b/>
        <sz val="11"/>
        <color rgb="FFFF0000"/>
        <rFont val="ＭＳ Ｐゴシック"/>
        <family val="3"/>
        <charset val="128"/>
      </rPr>
      <t>【 収入 】</t>
    </r>
    <r>
      <rPr>
        <sz val="11"/>
        <color theme="1"/>
        <rFont val="ＭＳ Ｐゴシック"/>
        <family val="3"/>
        <charset val="128"/>
      </rPr>
      <t>を入力する表です。</t>
    </r>
    <rPh sb="0" eb="2">
      <t>シエン</t>
    </rPh>
    <rPh sb="2" eb="4">
      <t>ジギョウ</t>
    </rPh>
    <rPh sb="9" eb="11">
      <t>シュウニュウ</t>
    </rPh>
    <rPh sb="14" eb="16">
      <t>ニュウリョク</t>
    </rPh>
    <rPh sb="18" eb="19">
      <t>ヒョウ</t>
    </rPh>
    <phoneticPr fontId="29"/>
  </si>
  <si>
    <r>
      <t>支援事業にかかった</t>
    </r>
    <r>
      <rPr>
        <b/>
        <sz val="11"/>
        <color rgb="FFFF0000"/>
        <rFont val="ＭＳ Ｐゴシック"/>
        <family val="3"/>
        <charset val="128"/>
      </rPr>
      <t>【 支出 】</t>
    </r>
    <r>
      <rPr>
        <sz val="11"/>
        <color theme="1"/>
        <rFont val="ＭＳ Ｐゴシック"/>
        <family val="3"/>
        <charset val="128"/>
      </rPr>
      <t>を入力する表です。</t>
    </r>
    <rPh sb="0" eb="2">
      <t>シエン</t>
    </rPh>
    <rPh sb="2" eb="4">
      <t>ジギョウ</t>
    </rPh>
    <rPh sb="11" eb="13">
      <t>シシュツ</t>
    </rPh>
    <rPh sb="16" eb="18">
      <t>ニュウリョク</t>
    </rPh>
    <rPh sb="20" eb="21">
      <t>ヒョウ</t>
    </rPh>
    <phoneticPr fontId="29"/>
  </si>
  <si>
    <r>
      <rPr>
        <b/>
        <sz val="14"/>
        <color theme="1"/>
        <rFont val="ＭＳ Ｐゴシック"/>
        <family val="3"/>
        <charset val="128"/>
      </rPr>
      <t>　　収入の相手方</t>
    </r>
    <r>
      <rPr>
        <b/>
        <sz val="11"/>
        <color theme="1"/>
        <rFont val="ＭＳ Ｐゴシック"/>
        <family val="3"/>
        <charset val="128"/>
      </rPr>
      <t xml:space="preserve">
</t>
    </r>
    <r>
      <rPr>
        <sz val="11"/>
        <color theme="1"/>
        <rFont val="ＭＳ Ｐゴシック"/>
        <family val="3"/>
        <charset val="128"/>
      </rPr>
      <t xml:space="preserve">
収入の相手方の名前をご入力ください。</t>
    </r>
    <rPh sb="2" eb="4">
      <t>シュウニュウ</t>
    </rPh>
    <rPh sb="5" eb="7">
      <t>アイテ</t>
    </rPh>
    <rPh sb="7" eb="8">
      <t>カタ</t>
    </rPh>
    <rPh sb="10" eb="12">
      <t>シュウニュウ</t>
    </rPh>
    <rPh sb="21" eb="23">
      <t>ニュウリョク</t>
    </rPh>
    <phoneticPr fontId="4"/>
  </si>
  <si>
    <r>
      <rPr>
        <b/>
        <sz val="14"/>
        <color theme="1"/>
        <rFont val="ＭＳ Ｐゴシック"/>
        <family val="3"/>
        <charset val="128"/>
      </rPr>
      <t>収入金額</t>
    </r>
    <r>
      <rPr>
        <b/>
        <sz val="11"/>
        <color theme="1"/>
        <rFont val="ＭＳ Ｐゴシック"/>
        <family val="3"/>
        <charset val="128"/>
      </rPr>
      <t xml:space="preserve">
</t>
    </r>
    <r>
      <rPr>
        <sz val="11"/>
        <color theme="1"/>
        <rFont val="ＭＳ Ｐゴシック"/>
        <family val="3"/>
        <charset val="128"/>
      </rPr>
      <t>支援事業で受け取った
金額をご入力ください。</t>
    </r>
    <rPh sb="0" eb="2">
      <t>シュウニュウ</t>
    </rPh>
    <rPh sb="2" eb="4">
      <t>キンガク</t>
    </rPh>
    <rPh sb="6" eb="8">
      <t>シエン</t>
    </rPh>
    <rPh sb="8" eb="10">
      <t>ジギョウ</t>
    </rPh>
    <rPh sb="11" eb="12">
      <t>ウ</t>
    </rPh>
    <rPh sb="13" eb="14">
      <t>ト</t>
    </rPh>
    <rPh sb="17" eb="19">
      <t>キンガク</t>
    </rPh>
    <rPh sb="21" eb="23">
      <t>ニュウリョク</t>
    </rPh>
    <phoneticPr fontId="4"/>
  </si>
  <si>
    <r>
      <t xml:space="preserve"> 支出年月日</t>
    </r>
    <r>
      <rPr>
        <sz val="12"/>
        <color theme="1"/>
        <rFont val="ＭＳ Ｐゴシック"/>
        <family val="3"/>
        <charset val="128"/>
      </rPr>
      <t xml:space="preserve">
</t>
    </r>
    <r>
      <rPr>
        <b/>
        <sz val="12"/>
        <color rgb="FFFF0000"/>
        <rFont val="ＭＳ Ｐゴシック"/>
        <family val="3"/>
        <charset val="128"/>
      </rPr>
      <t xml:space="preserve">　R5/4/30
</t>
    </r>
    <r>
      <rPr>
        <sz val="12"/>
        <rFont val="ＭＳ Ｐゴシック"/>
        <family val="3"/>
        <charset val="128"/>
      </rPr>
      <t xml:space="preserve">　　まで入力可
</t>
    </r>
    <r>
      <rPr>
        <sz val="12"/>
        <color theme="1"/>
        <rFont val="ＭＳ Ｐゴシック"/>
        <family val="3"/>
        <charset val="128"/>
      </rPr>
      <t xml:space="preserve">
入力形式は西暦(ex. 2022/4/1)
でも可
</t>
    </r>
    <r>
      <rPr>
        <b/>
        <sz val="12"/>
        <color rgb="FFFF0000"/>
        <rFont val="ＭＳ Ｐゴシック"/>
        <family val="3"/>
        <charset val="128"/>
      </rPr>
      <t>領収書の日付</t>
    </r>
    <r>
      <rPr>
        <sz val="12"/>
        <color theme="1"/>
        <rFont val="ＭＳ Ｐゴシック"/>
        <family val="3"/>
        <charset val="128"/>
      </rPr>
      <t>をご入力ください。</t>
    </r>
    <rPh sb="1" eb="3">
      <t>シシュツ</t>
    </rPh>
    <rPh sb="3" eb="6">
      <t>ネンガッピ</t>
    </rPh>
    <rPh sb="21" eb="23">
      <t>セイサン</t>
    </rPh>
    <rPh sb="24" eb="25">
      <t>ビ</t>
    </rPh>
    <rPh sb="25" eb="27">
      <t>ニュウリョク</t>
    </rPh>
    <rPh sb="28" eb="29">
      <t>ニシ</t>
    </rPh>
    <rPh sb="47" eb="48">
      <t>カ</t>
    </rPh>
    <rPh sb="49" eb="50">
      <t>カ</t>
    </rPh>
    <rPh sb="52" eb="55">
      <t>リョウシュウショ</t>
    </rPh>
    <rPh sb="53" eb="55">
      <t>ヒヅケ</t>
    </rPh>
    <rPh sb="57" eb="59">
      <t>ニュウリョク</t>
    </rPh>
    <phoneticPr fontId="5"/>
  </si>
  <si>
    <r>
      <t>※完了時は、</t>
    </r>
    <r>
      <rPr>
        <b/>
        <sz val="10"/>
        <color rgb="FFFF0000"/>
        <rFont val="ＭＳ Ｐゴシック"/>
        <family val="3"/>
        <charset val="128"/>
      </rPr>
      <t>（Ｂ）寄付金その他の収入 ≧ （ｂ）対象外経費</t>
    </r>
    <r>
      <rPr>
        <b/>
        <sz val="10"/>
        <color theme="1"/>
        <rFont val="ＭＳ Ｐゴシック"/>
        <family val="3"/>
        <charset val="128"/>
      </rPr>
      <t>としてください。</t>
    </r>
    <rPh sb="1" eb="3">
      <t>カンリョウ</t>
    </rPh>
    <rPh sb="3" eb="4">
      <t>ジ</t>
    </rPh>
    <rPh sb="9" eb="12">
      <t>キフキン</t>
    </rPh>
    <rPh sb="14" eb="15">
      <t>タ</t>
    </rPh>
    <rPh sb="16" eb="18">
      <t>シュウニュウ</t>
    </rPh>
    <rPh sb="24" eb="27">
      <t>タイショウガイ</t>
    </rPh>
    <rPh sb="27" eb="29">
      <t>ケイヒ</t>
    </rPh>
    <phoneticPr fontId="4"/>
  </si>
  <si>
    <t>　　　　　　　総事業費の支出額内訳</t>
    <phoneticPr fontId="4"/>
  </si>
  <si>
    <t>柱立て
（取り組み内容）</t>
    <rPh sb="0" eb="1">
      <t>ハシラ</t>
    </rPh>
    <rPh sb="1" eb="2">
      <t>ダ</t>
    </rPh>
    <rPh sb="5" eb="6">
      <t>ト</t>
    </rPh>
    <rPh sb="7" eb="8">
      <t>ク</t>
    </rPh>
    <rPh sb="9" eb="11">
      <t>ナイヨウ</t>
    </rPh>
    <phoneticPr fontId="4"/>
  </si>
  <si>
    <t>メニュー画面へ</t>
    <rPh sb="4" eb="6">
      <t>ガメン</t>
    </rPh>
    <phoneticPr fontId="4"/>
  </si>
  <si>
    <t>予算を変更しようとする際に、手続きを要するか確認するための表です。</t>
    <rPh sb="0" eb="2">
      <t>ヨサン</t>
    </rPh>
    <rPh sb="3" eb="5">
      <t>ヨサン</t>
    </rPh>
    <rPh sb="11" eb="12">
      <t>サイ</t>
    </rPh>
    <rPh sb="14" eb="16">
      <t>テツヅ</t>
    </rPh>
    <rPh sb="18" eb="19">
      <t>ヨウ</t>
    </rPh>
    <rPh sb="22" eb="23">
      <t>サイ</t>
    </rPh>
    <rPh sb="29" eb="30">
      <t>タメ</t>
    </rPh>
    <rPh sb="31" eb="32">
      <t>ヒョウ</t>
    </rPh>
    <phoneticPr fontId="29"/>
  </si>
  <si>
    <t>① 支援事業を実施するための対象経費</t>
    <rPh sb="4" eb="6">
      <t>ジギョウ</t>
    </rPh>
    <rPh sb="7" eb="9">
      <t>ジッシ</t>
    </rPh>
    <rPh sb="14" eb="16">
      <t>タイショウ</t>
    </rPh>
    <rPh sb="16" eb="18">
      <t>ケイヒ</t>
    </rPh>
    <phoneticPr fontId="4"/>
  </si>
  <si>
    <t>② 支援事業にかかる収入</t>
    <rPh sb="4" eb="6">
      <t>ジギョウ</t>
    </rPh>
    <rPh sb="10" eb="12">
      <t>シュウニュウ</t>
    </rPh>
    <phoneticPr fontId="4"/>
  </si>
  <si>
    <t>一般会計繰入金（＝団体による投入資金）</t>
    <rPh sb="0" eb="2">
      <t>イッパン</t>
    </rPh>
    <rPh sb="2" eb="4">
      <t>カイケイ</t>
    </rPh>
    <rPh sb="4" eb="5">
      <t>ク</t>
    </rPh>
    <rPh sb="5" eb="6">
      <t>イ</t>
    </rPh>
    <rPh sb="6" eb="7">
      <t>キン</t>
    </rPh>
    <rPh sb="9" eb="11">
      <t>ダンタイ</t>
    </rPh>
    <rPh sb="14" eb="16">
      <t>トウニュウ</t>
    </rPh>
    <rPh sb="16" eb="18">
      <t>シキン</t>
    </rPh>
    <phoneticPr fontId="4"/>
  </si>
  <si>
    <t>支援事業による収入（参加費・利用料等）</t>
    <phoneticPr fontId="4"/>
  </si>
  <si>
    <t>柱立て１：小計</t>
    <rPh sb="0" eb="1">
      <t>ハシラ</t>
    </rPh>
    <rPh sb="1" eb="2">
      <t>ダ</t>
    </rPh>
    <phoneticPr fontId="4"/>
  </si>
  <si>
    <t>柱立て２：小計</t>
    <rPh sb="0" eb="1">
      <t>ハシラ</t>
    </rPh>
    <rPh sb="1" eb="2">
      <t>ダ</t>
    </rPh>
    <rPh sb="5" eb="7">
      <t>ショウケイ</t>
    </rPh>
    <phoneticPr fontId="4"/>
  </si>
  <si>
    <t>柱立て３：小計</t>
    <rPh sb="5" eb="7">
      <t>ショウケイ</t>
    </rPh>
    <phoneticPr fontId="4"/>
  </si>
  <si>
    <t>柱立て４：小計</t>
    <rPh sb="5" eb="7">
      <t>ショウケイ</t>
    </rPh>
    <phoneticPr fontId="4"/>
  </si>
  <si>
    <t>柱立て５：小計</t>
    <rPh sb="5" eb="7">
      <t>ショウケイ</t>
    </rPh>
    <phoneticPr fontId="4"/>
  </si>
  <si>
    <t>柱立て６：小計</t>
    <rPh sb="5" eb="7">
      <t>ショウケイ</t>
    </rPh>
    <phoneticPr fontId="4"/>
  </si>
  <si>
    <t>柱立て７：小計</t>
    <rPh sb="5" eb="7">
      <t>ショウケイ</t>
    </rPh>
    <phoneticPr fontId="4"/>
  </si>
  <si>
    <t>柱立て：８小計</t>
    <rPh sb="5" eb="7">
      <t>ショウケイ</t>
    </rPh>
    <phoneticPr fontId="4"/>
  </si>
  <si>
    <t>柱立て９：小計</t>
    <rPh sb="5" eb="7">
      <t>ショウケイ</t>
    </rPh>
    <phoneticPr fontId="4"/>
  </si>
  <si>
    <t>柱立て10：小計</t>
    <rPh sb="6" eb="8">
      <t>ショウケイ</t>
    </rPh>
    <phoneticPr fontId="4"/>
  </si>
  <si>
    <r>
      <rPr>
        <sz val="14"/>
        <rFont val="ＭＳ Ｐゴシック"/>
        <family val="3"/>
        <charset val="128"/>
      </rPr>
      <t>　　</t>
    </r>
    <r>
      <rPr>
        <b/>
        <sz val="14"/>
        <rFont val="ＭＳ Ｐゴシック"/>
        <family val="3"/>
        <charset val="128"/>
      </rPr>
      <t>金額</t>
    </r>
    <r>
      <rPr>
        <u val="double"/>
        <sz val="12"/>
        <rFont val="ＭＳ Ｐゴシック"/>
        <family val="3"/>
        <charset val="128"/>
      </rPr>
      <t xml:space="preserve">
</t>
    </r>
    <r>
      <rPr>
        <sz val="12"/>
        <rFont val="ＭＳ Ｐゴシック"/>
        <family val="3"/>
        <charset val="128"/>
      </rPr>
      <t>支援事業にかかった金額をご入力ください。</t>
    </r>
    <rPh sb="2" eb="4">
      <t>キンガク</t>
    </rPh>
    <rPh sb="6" eb="8">
      <t>シエン</t>
    </rPh>
    <rPh sb="8" eb="10">
      <t>ジギョウ</t>
    </rPh>
    <phoneticPr fontId="5"/>
  </si>
  <si>
    <r>
      <rPr>
        <b/>
        <sz val="14"/>
        <color theme="1"/>
        <rFont val="ＭＳ Ｐゴシック"/>
        <family val="3"/>
        <charset val="128"/>
      </rPr>
      <t>　　　　　柱立て
　　</t>
    </r>
    <r>
      <rPr>
        <sz val="14"/>
        <color theme="1"/>
        <rFont val="ＭＳ Ｐゴシック"/>
        <family val="3"/>
        <charset val="128"/>
      </rPr>
      <t>（取り組み内容）
左列に</t>
    </r>
    <r>
      <rPr>
        <b/>
        <sz val="14"/>
        <color rgb="FFFF0000"/>
        <rFont val="ＭＳ Ｐゴシック"/>
        <family val="3"/>
        <charset val="128"/>
      </rPr>
      <t>柱立て番号</t>
    </r>
    <r>
      <rPr>
        <sz val="14"/>
        <color theme="1"/>
        <rFont val="ＭＳ Ｐゴシック"/>
        <family val="3"/>
        <charset val="128"/>
      </rPr>
      <t xml:space="preserve">を
</t>
    </r>
    <r>
      <rPr>
        <b/>
        <sz val="14"/>
        <color rgb="FFFF0000"/>
        <rFont val="ＭＳ Ｐゴシック"/>
        <family val="3"/>
        <charset val="128"/>
      </rPr>
      <t>数字</t>
    </r>
    <r>
      <rPr>
        <sz val="14"/>
        <color theme="1"/>
        <rFont val="ＭＳ Ｐゴシック"/>
        <family val="3"/>
        <charset val="128"/>
      </rPr>
      <t>でご入力ください。</t>
    </r>
    <rPh sb="5" eb="6">
      <t>ハシラ</t>
    </rPh>
    <rPh sb="6" eb="7">
      <t>ダ</t>
    </rPh>
    <rPh sb="12" eb="13">
      <t>ト</t>
    </rPh>
    <rPh sb="14" eb="15">
      <t>ク</t>
    </rPh>
    <rPh sb="16" eb="18">
      <t>ナイヨウ</t>
    </rPh>
    <rPh sb="21" eb="22">
      <t>ヒダリ</t>
    </rPh>
    <rPh sb="22" eb="23">
      <t>レツ</t>
    </rPh>
    <rPh sb="24" eb="25">
      <t>ハシラ</t>
    </rPh>
    <rPh sb="25" eb="26">
      <t>ダ</t>
    </rPh>
    <rPh sb="27" eb="29">
      <t>バンゴウ</t>
    </rPh>
    <phoneticPr fontId="4"/>
  </si>
  <si>
    <r>
      <rPr>
        <b/>
        <sz val="14"/>
        <color theme="1"/>
        <rFont val="ＭＳ Ｐゴシック"/>
        <family val="3"/>
        <charset val="128"/>
      </rPr>
      <t>摘要</t>
    </r>
    <r>
      <rPr>
        <sz val="12"/>
        <color theme="1"/>
        <rFont val="ＭＳ Ｐゴシック"/>
        <family val="3"/>
        <charset val="128"/>
      </rPr>
      <t xml:space="preserve">
支払いの具体的な内容</t>
    </r>
    <rPh sb="0" eb="2">
      <t>テキヨウ</t>
    </rPh>
    <rPh sb="4" eb="6">
      <t>シハラ</t>
    </rPh>
    <phoneticPr fontId="4"/>
  </si>
  <si>
    <r>
      <t xml:space="preserve">最初にこちらを入力してください。ご入力が終わりましたら、
</t>
    </r>
    <r>
      <rPr>
        <u/>
        <sz val="11"/>
        <color theme="1"/>
        <rFont val="ＭＳ Ｐゴシック"/>
        <family val="3"/>
        <charset val="128"/>
      </rPr>
      <t>「精算額計算書：要望時」に予算を入力しましょう。</t>
    </r>
    <rPh sb="0" eb="2">
      <t>サイショ</t>
    </rPh>
    <rPh sb="7" eb="9">
      <t>ニュウリョクジギョウ</t>
    </rPh>
    <rPh sb="17" eb="19">
      <t>ニュウリョク</t>
    </rPh>
    <rPh sb="20" eb="21">
      <t>オ</t>
    </rPh>
    <rPh sb="30" eb="33">
      <t>セイサンガク</t>
    </rPh>
    <rPh sb="33" eb="36">
      <t>ケイサンショ</t>
    </rPh>
    <rPh sb="37" eb="39">
      <t>ヨウボウ</t>
    </rPh>
    <rPh sb="39" eb="40">
      <t>ジ</t>
    </rPh>
    <rPh sb="42" eb="44">
      <t>ヨサン</t>
    </rPh>
    <rPh sb="45" eb="47">
      <t>ニュウリョク</t>
    </rPh>
    <phoneticPr fontId="29"/>
  </si>
  <si>
    <r>
      <rPr>
        <b/>
        <sz val="14"/>
        <color theme="1"/>
        <rFont val="ＭＳ Ｐゴシック"/>
        <family val="3"/>
        <charset val="128"/>
      </rPr>
      <t xml:space="preserve"> 入金年月日</t>
    </r>
    <r>
      <rPr>
        <b/>
        <sz val="11"/>
        <color theme="1"/>
        <rFont val="ＭＳ Ｐゴシック"/>
        <family val="3"/>
        <charset val="128"/>
      </rPr>
      <t xml:space="preserve">
</t>
    </r>
    <r>
      <rPr>
        <sz val="11"/>
        <color theme="1"/>
        <rFont val="ＭＳ Ｐゴシック"/>
        <family val="3"/>
        <charset val="128"/>
      </rPr>
      <t>　</t>
    </r>
    <r>
      <rPr>
        <b/>
        <sz val="11"/>
        <color rgb="FFFF0000"/>
        <rFont val="ＭＳ Ｐゴシック"/>
        <family val="3"/>
        <charset val="128"/>
      </rPr>
      <t>R5/4/30
　　</t>
    </r>
    <r>
      <rPr>
        <sz val="11"/>
        <color theme="1"/>
        <rFont val="ＭＳ Ｐゴシック"/>
        <family val="3"/>
        <charset val="128"/>
      </rPr>
      <t xml:space="preserve">まで入力可
</t>
    </r>
    <r>
      <rPr>
        <b/>
        <sz val="11"/>
        <color theme="1"/>
        <rFont val="ＭＳ Ｐゴシック"/>
        <family val="3"/>
        <charset val="128"/>
      </rPr>
      <t xml:space="preserve">
</t>
    </r>
    <r>
      <rPr>
        <sz val="11"/>
        <color theme="1"/>
        <rFont val="ＭＳ Ｐゴシック"/>
        <family val="3"/>
        <charset val="128"/>
      </rPr>
      <t>入力形式は西暦(ex. 2022/4/1)
でも可</t>
    </r>
    <rPh sb="1" eb="3">
      <t>ニュウキン</t>
    </rPh>
    <rPh sb="3" eb="6">
      <t>ネンガッピ</t>
    </rPh>
    <rPh sb="25" eb="27">
      <t>ニュウリョク</t>
    </rPh>
    <rPh sb="27" eb="29">
      <t>ケイシキ</t>
    </rPh>
    <phoneticPr fontId="4"/>
  </si>
  <si>
    <r>
      <rPr>
        <b/>
        <sz val="14"/>
        <color theme="1"/>
        <rFont val="ＭＳ Ｐゴシック"/>
        <family val="3"/>
        <charset val="128"/>
      </rPr>
      <t>摘要</t>
    </r>
    <r>
      <rPr>
        <b/>
        <sz val="11"/>
        <color theme="1"/>
        <rFont val="ＭＳ Ｐゴシック"/>
        <family val="3"/>
        <charset val="128"/>
      </rPr>
      <t xml:space="preserve">
</t>
    </r>
    <r>
      <rPr>
        <sz val="11"/>
        <color theme="1"/>
        <rFont val="ＭＳ Ｐゴシック"/>
        <family val="3"/>
        <charset val="128"/>
      </rPr>
      <t>受け取った
収入の具体的な内容</t>
    </r>
    <rPh sb="0" eb="2">
      <t>テキヨウ</t>
    </rPh>
    <rPh sb="4" eb="5">
      <t>ウ</t>
    </rPh>
    <rPh sb="6" eb="7">
      <t>ト</t>
    </rPh>
    <phoneticPr fontId="4"/>
  </si>
  <si>
    <r>
      <rPr>
        <b/>
        <sz val="14"/>
        <color theme="1"/>
        <rFont val="ＭＳ Ｐゴシック"/>
        <family val="3"/>
        <charset val="128"/>
      </rPr>
      <t>収入の区分</t>
    </r>
    <r>
      <rPr>
        <sz val="11"/>
        <color theme="1"/>
        <rFont val="ＭＳ Ｐゴシック"/>
        <family val="3"/>
        <charset val="128"/>
      </rPr>
      <t xml:space="preserve">
</t>
    </r>
    <r>
      <rPr>
        <b/>
        <sz val="11"/>
        <color rgb="FFFF0000"/>
        <rFont val="ＭＳ Ｐゴシック"/>
        <family val="3"/>
        <charset val="128"/>
      </rPr>
      <t>プルダウン</t>
    </r>
    <r>
      <rPr>
        <sz val="11"/>
        <color theme="1"/>
        <rFont val="ＭＳ Ｐゴシック"/>
        <family val="3"/>
        <charset val="128"/>
      </rPr>
      <t>でご選択ください。
未来応援ネットワーク事業の
支援金額は入力しないでください。</t>
    </r>
    <rPh sb="0" eb="2">
      <t>シュウニュウ</t>
    </rPh>
    <rPh sb="23" eb="27">
      <t>ミライオウエン</t>
    </rPh>
    <rPh sb="33" eb="35">
      <t>ジギョウ</t>
    </rPh>
    <rPh sb="37" eb="39">
      <t>シエン</t>
    </rPh>
    <rPh sb="39" eb="41">
      <t>キンガク</t>
    </rPh>
    <rPh sb="42" eb="44">
      <t>ニュウリョク</t>
    </rPh>
    <phoneticPr fontId="4"/>
  </si>
  <si>
    <r>
      <rPr>
        <b/>
        <sz val="11"/>
        <color rgb="FFFF0000"/>
        <rFont val="ＭＳ Ｐゴシック"/>
        <family val="3"/>
        <charset val="128"/>
      </rPr>
      <t>事業完了時にご提出いただく書類</t>
    </r>
    <r>
      <rPr>
        <sz val="11"/>
        <color theme="1"/>
        <rFont val="ＭＳ Ｐゴシック"/>
        <family val="3"/>
        <charset val="128"/>
      </rPr>
      <t>で、
事業完了時から１か月以内または令和５年４月末日の
いずれか早い日までに、押印・郵送いただきます。</t>
    </r>
    <rPh sb="0" eb="2">
      <t>ジギョウ</t>
    </rPh>
    <rPh sb="2" eb="4">
      <t>カンリョウ</t>
    </rPh>
    <rPh sb="4" eb="5">
      <t>ジ</t>
    </rPh>
    <rPh sb="7" eb="9">
      <t>テイシュツ</t>
    </rPh>
    <rPh sb="13" eb="15">
      <t>ショルイ</t>
    </rPh>
    <rPh sb="18" eb="20">
      <t>ジギョウ</t>
    </rPh>
    <rPh sb="20" eb="22">
      <t>カンリョウ</t>
    </rPh>
    <rPh sb="22" eb="23">
      <t>ジ</t>
    </rPh>
    <rPh sb="27" eb="28">
      <t>ゲツ</t>
    </rPh>
    <rPh sb="28" eb="30">
      <t>イナイ</t>
    </rPh>
    <rPh sb="33" eb="35">
      <t>レイワ</t>
    </rPh>
    <rPh sb="36" eb="37">
      <t>ネン</t>
    </rPh>
    <rPh sb="38" eb="39">
      <t>ガツ</t>
    </rPh>
    <rPh sb="39" eb="41">
      <t>マツジツ</t>
    </rPh>
    <rPh sb="47" eb="48">
      <t>ハヤ</t>
    </rPh>
    <rPh sb="49" eb="50">
      <t>ヒ</t>
    </rPh>
    <rPh sb="54" eb="56">
      <t>オウイン</t>
    </rPh>
    <rPh sb="57" eb="59">
      <t>ユウソウ</t>
    </rPh>
    <phoneticPr fontId="29"/>
  </si>
  <si>
    <t>各柱立ての経費の使用状況を確認する表です。</t>
    <rPh sb="0" eb="2">
      <t>カクハシラ</t>
    </rPh>
    <rPh sb="2" eb="3">
      <t>ダ</t>
    </rPh>
    <rPh sb="5" eb="7">
      <t>ケイヒ</t>
    </rPh>
    <rPh sb="8" eb="10">
      <t>シヨウ</t>
    </rPh>
    <rPh sb="10" eb="12">
      <t>ジョウキョウ</t>
    </rPh>
    <rPh sb="13" eb="15">
      <t>カクニン</t>
    </rPh>
    <rPh sb="17" eb="18">
      <t>ヒョウ</t>
    </rPh>
    <phoneticPr fontId="29"/>
  </si>
  <si>
    <r>
      <rPr>
        <b/>
        <sz val="14"/>
        <color theme="1"/>
        <rFont val="ＭＳ Ｐゴシック"/>
        <family val="3"/>
        <charset val="128"/>
      </rPr>
      <t>旅行区間：</t>
    </r>
    <r>
      <rPr>
        <b/>
        <sz val="14"/>
        <color rgb="FFFF0000"/>
        <rFont val="ＭＳ Ｐゴシック"/>
        <family val="3"/>
        <charset val="128"/>
      </rPr>
      <t>必須入力</t>
    </r>
    <r>
      <rPr>
        <b/>
        <sz val="12"/>
        <color theme="1"/>
        <rFont val="ＭＳ Ｐゴシック"/>
        <family val="3"/>
        <charset val="128"/>
      </rPr>
      <t xml:space="preserve">
宿泊地：宿泊した場合のみ</t>
    </r>
    <r>
      <rPr>
        <sz val="14"/>
        <color theme="1"/>
        <rFont val="ＭＳ Ｐゴシック"/>
        <family val="3"/>
        <charset val="128"/>
      </rPr>
      <t xml:space="preserve">
</t>
    </r>
    <r>
      <rPr>
        <sz val="12"/>
        <color theme="1"/>
        <rFont val="ＭＳ Ｐゴシック"/>
        <family val="3"/>
        <charset val="128"/>
      </rPr>
      <t xml:space="preserve">
区間と宿泊地をご入力ください。例：東京～大阪（宿泊：虎ノ門）</t>
    </r>
    <rPh sb="0" eb="2">
      <t>リョコウ</t>
    </rPh>
    <rPh sb="2" eb="4">
      <t>クカン</t>
    </rPh>
    <rPh sb="5" eb="7">
      <t>ヒッス</t>
    </rPh>
    <rPh sb="7" eb="9">
      <t>ニュウリョク</t>
    </rPh>
    <rPh sb="11" eb="14">
      <t>シュクハクチ</t>
    </rPh>
    <rPh sb="15" eb="17">
      <t>シュクハク</t>
    </rPh>
    <rPh sb="19" eb="21">
      <t>バアイ</t>
    </rPh>
    <rPh sb="25" eb="27">
      <t>クカン</t>
    </rPh>
    <rPh sb="28" eb="31">
      <t>シュクハクチ</t>
    </rPh>
    <rPh sb="33" eb="35">
      <t>ニュウリョク</t>
    </rPh>
    <rPh sb="40" eb="41">
      <t>レイ</t>
    </rPh>
    <rPh sb="42" eb="44">
      <t>トウキョウ</t>
    </rPh>
    <rPh sb="45" eb="47">
      <t>オオサカ</t>
    </rPh>
    <rPh sb="48" eb="50">
      <t>シュクハク</t>
    </rPh>
    <rPh sb="51" eb="52">
      <t>トラ</t>
    </rPh>
    <rPh sb="53" eb="54">
      <t>モン</t>
    </rPh>
    <phoneticPr fontId="4"/>
  </si>
  <si>
    <t>総合計</t>
    <rPh sb="0" eb="1">
      <t>ソウ</t>
    </rPh>
    <rPh sb="1" eb="3">
      <t>ゴウケイ</t>
    </rPh>
    <phoneticPr fontId="4"/>
  </si>
  <si>
    <t>謝金</t>
    <rPh sb="0" eb="2">
      <t>シャキン</t>
    </rPh>
    <phoneticPr fontId="4"/>
  </si>
  <si>
    <t>旅費</t>
    <rPh sb="0" eb="2">
      <t>リョヒ</t>
    </rPh>
    <phoneticPr fontId="4"/>
  </si>
  <si>
    <t>所費</t>
    <rPh sb="0" eb="1">
      <t>ショ</t>
    </rPh>
    <rPh sb="1" eb="2">
      <t>ヒ</t>
    </rPh>
    <phoneticPr fontId="4"/>
  </si>
  <si>
    <t>※総合計と精算額計算書が合わない場合は、N列に未入力のセルが含まれている場合があります→</t>
    <rPh sb="1" eb="2">
      <t>ソウ</t>
    </rPh>
    <rPh sb="2" eb="4">
      <t>ゴウケイ</t>
    </rPh>
    <rPh sb="5" eb="8">
      <t>セイサンガク</t>
    </rPh>
    <rPh sb="8" eb="11">
      <t>ケイサンショ</t>
    </rPh>
    <rPh sb="12" eb="13">
      <t>ア</t>
    </rPh>
    <rPh sb="16" eb="18">
      <t>バアイ</t>
    </rPh>
    <rPh sb="21" eb="22">
      <t>レツ</t>
    </rPh>
    <rPh sb="23" eb="26">
      <t>ミニュウリョク</t>
    </rPh>
    <rPh sb="30" eb="31">
      <t>フク</t>
    </rPh>
    <rPh sb="36" eb="38">
      <t>バアイ</t>
    </rPh>
    <phoneticPr fontId="4"/>
  </si>
  <si>
    <t>対象外経費</t>
    <rPh sb="2" eb="3">
      <t>ガイ</t>
    </rPh>
    <phoneticPr fontId="4"/>
  </si>
  <si>
    <r>
      <rPr>
        <b/>
        <sz val="14"/>
        <color theme="1"/>
        <rFont val="ＭＳ Ｐゴシック"/>
        <family val="3"/>
        <charset val="128"/>
      </rPr>
      <t xml:space="preserve"> 　支払いの相手方</t>
    </r>
    <r>
      <rPr>
        <b/>
        <sz val="12"/>
        <color theme="1"/>
        <rFont val="ＭＳ Ｐゴシック"/>
        <family val="3"/>
        <charset val="128"/>
      </rPr>
      <t xml:space="preserve">
</t>
    </r>
    <r>
      <rPr>
        <sz val="12"/>
        <color theme="1"/>
        <rFont val="ＭＳ Ｐゴシック"/>
        <family val="3"/>
        <charset val="128"/>
      </rPr>
      <t xml:space="preserve">
</t>
    </r>
    <r>
      <rPr>
        <b/>
        <sz val="12"/>
        <color rgb="FFFF0000"/>
        <rFont val="ＭＳ Ｐゴシック"/>
        <family val="3"/>
        <charset val="128"/>
      </rPr>
      <t>支払った相手方</t>
    </r>
    <r>
      <rPr>
        <sz val="12"/>
        <color theme="1"/>
        <rFont val="ＭＳ Ｐゴシック"/>
        <family val="3"/>
        <charset val="128"/>
      </rPr>
      <t xml:space="preserve">の
名前をご入力ください。
</t>
    </r>
    <r>
      <rPr>
        <b/>
        <sz val="12"/>
        <color theme="1"/>
        <rFont val="ＭＳ Ｐゴシック"/>
        <family val="3"/>
        <charset val="128"/>
      </rPr>
      <t xml:space="preserve">
</t>
    </r>
    <r>
      <rPr>
        <sz val="12"/>
        <color theme="1"/>
        <rFont val="ＭＳ Ｐゴシック"/>
        <family val="3"/>
        <charset val="128"/>
      </rPr>
      <t>※立替払いの場合は、立替者ではなく実際の支払い相手（役務者）をご入力ください。</t>
    </r>
    <rPh sb="2" eb="4">
      <t>シハラ</t>
    </rPh>
    <rPh sb="6" eb="8">
      <t>アイテ</t>
    </rPh>
    <rPh sb="8" eb="9">
      <t>カタ</t>
    </rPh>
    <rPh sb="24" eb="26">
      <t>ニュウリョク</t>
    </rPh>
    <rPh sb="34" eb="36">
      <t>タテカエ</t>
    </rPh>
    <rPh sb="36" eb="37">
      <t>バラ</t>
    </rPh>
    <rPh sb="39" eb="41">
      <t>バアイ</t>
    </rPh>
    <rPh sb="43" eb="45">
      <t>タテカエ</t>
    </rPh>
    <rPh sb="45" eb="46">
      <t>シャ</t>
    </rPh>
    <rPh sb="50" eb="52">
      <t>ジッサイ</t>
    </rPh>
    <rPh sb="53" eb="55">
      <t>シハラ</t>
    </rPh>
    <rPh sb="56" eb="58">
      <t>アイテ</t>
    </rPh>
    <rPh sb="59" eb="60">
      <t>ヤク</t>
    </rPh>
    <rPh sb="61" eb="62">
      <t>シャ</t>
    </rPh>
    <rPh sb="65" eb="67">
      <t>ニュウリョク</t>
    </rPh>
    <phoneticPr fontId="4"/>
  </si>
  <si>
    <r>
      <rPr>
        <b/>
        <sz val="14"/>
        <color theme="1"/>
        <rFont val="ＭＳ Ｐゴシック"/>
        <family val="3"/>
        <charset val="128"/>
      </rPr>
      <t xml:space="preserve">
</t>
    </r>
    <r>
      <rPr>
        <b/>
        <u/>
        <sz val="14"/>
        <color rgb="FFFF0000"/>
        <rFont val="ＭＳ Ｐゴシック"/>
        <family val="3"/>
        <charset val="128"/>
      </rPr>
      <t xml:space="preserve">対象外
</t>
    </r>
    <r>
      <rPr>
        <b/>
        <sz val="14"/>
        <color theme="1"/>
        <rFont val="ＭＳ Ｐゴシック"/>
        <family val="3"/>
        <charset val="128"/>
      </rPr>
      <t>経費</t>
    </r>
    <r>
      <rPr>
        <b/>
        <sz val="12"/>
        <color theme="1"/>
        <rFont val="ＭＳ Ｐゴシック"/>
        <family val="3"/>
        <charset val="128"/>
      </rPr>
      <t xml:space="preserve">
</t>
    </r>
    <rPh sb="1" eb="3">
      <t>タイショウ</t>
    </rPh>
    <rPh sb="3" eb="4">
      <t>ガイ</t>
    </rPh>
    <rPh sb="5" eb="7">
      <t>ケイヒ</t>
    </rPh>
    <phoneticPr fontId="4"/>
  </si>
  <si>
    <r>
      <rPr>
        <b/>
        <u/>
        <sz val="14"/>
        <color rgb="FFFF0000"/>
        <rFont val="ＭＳ Ｐゴシック"/>
        <family val="3"/>
        <charset val="128"/>
      </rPr>
      <t xml:space="preserve">対象
</t>
    </r>
    <r>
      <rPr>
        <b/>
        <sz val="14"/>
        <rFont val="ＭＳ Ｐゴシック"/>
        <family val="3"/>
        <charset val="128"/>
      </rPr>
      <t xml:space="preserve">経費
</t>
    </r>
    <r>
      <rPr>
        <sz val="12"/>
        <rFont val="ＭＳ Ｐゴシック"/>
        <family val="3"/>
        <charset val="128"/>
      </rPr>
      <t xml:space="preserve">
左列「金額」
</t>
    </r>
    <r>
      <rPr>
        <sz val="10"/>
        <color theme="1"/>
        <rFont val="ＭＳ Ｐゴシック"/>
        <family val="3"/>
        <charset val="128"/>
      </rPr>
      <t xml:space="preserve">のうち
</t>
    </r>
    <r>
      <rPr>
        <b/>
        <u/>
        <sz val="12"/>
        <color rgb="FFFF0000"/>
        <rFont val="ＭＳ Ｐゴシック"/>
        <family val="3"/>
        <charset val="128"/>
      </rPr>
      <t>対象</t>
    </r>
    <r>
      <rPr>
        <sz val="12"/>
        <rFont val="ＭＳ Ｐゴシック"/>
        <family val="3"/>
        <charset val="128"/>
      </rPr>
      <t>経費</t>
    </r>
    <rPh sb="7" eb="8">
      <t>ヒダリ</t>
    </rPh>
    <rPh sb="8" eb="9">
      <t>レツ</t>
    </rPh>
    <rPh sb="10" eb="12">
      <t>キンガク</t>
    </rPh>
    <phoneticPr fontId="4"/>
  </si>
  <si>
    <r>
      <rPr>
        <b/>
        <u/>
        <sz val="11"/>
        <color rgb="FFFF0000"/>
        <rFont val="ＭＳ ゴシック"/>
        <family val="3"/>
        <charset val="128"/>
      </rPr>
      <t>対象</t>
    </r>
    <r>
      <rPr>
        <b/>
        <sz val="11"/>
        <color theme="1"/>
        <rFont val="ＭＳ ゴシック"/>
        <family val="3"/>
        <charset val="128"/>
      </rPr>
      <t>経費</t>
    </r>
    <rPh sb="0" eb="2">
      <t>タイショウ</t>
    </rPh>
    <rPh sb="2" eb="4">
      <t>ケイヒ</t>
    </rPh>
    <phoneticPr fontId="4"/>
  </si>
  <si>
    <r>
      <rPr>
        <b/>
        <u/>
        <sz val="11"/>
        <color rgb="FFFF0000"/>
        <rFont val="ＭＳ ゴシック"/>
        <family val="3"/>
        <charset val="128"/>
      </rPr>
      <t>対象外</t>
    </r>
    <r>
      <rPr>
        <b/>
        <sz val="11"/>
        <color theme="1"/>
        <rFont val="ＭＳ ゴシック"/>
        <family val="3"/>
        <charset val="128"/>
      </rPr>
      <t>経費</t>
    </r>
    <rPh sb="0" eb="3">
      <t>タイショウガイ</t>
    </rPh>
    <rPh sb="3" eb="5">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</si>
</sst>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
    <numFmt numFmtId="177" formatCode="0_);\(0\)"/>
    <numFmt numFmtId="178" formatCode="[$-411]ge\.m\.d;@"/>
    <numFmt numFmtId="179" formatCode="0.0%"/>
  </numFmts>
  <fonts count="6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ＭＳ Ｐゴシック"/>
      <family val="3"/>
      <charset val="128"/>
    </font>
    <font>
      <sz val="6"/>
      <name val="游ゴシック"/>
      <family val="2"/>
      <charset val="128"/>
      <scheme val="minor"/>
    </font>
    <font>
      <sz val="6"/>
      <name val="游ゴシック"/>
      <family val="3"/>
      <charset val="128"/>
      <scheme val="minor"/>
    </font>
    <font>
      <sz val="14"/>
      <name val="ＭＳ Ｐゴシック"/>
      <family val="3"/>
      <charset val="128"/>
    </font>
    <font>
      <sz val="12"/>
      <color theme="1"/>
      <name val="ＭＳ Ｐゴシック"/>
      <family val="3"/>
      <charset val="128"/>
    </font>
    <font>
      <sz val="11"/>
      <color indexed="8"/>
      <name val="ＭＳ Ｐゴシック"/>
      <family val="3"/>
      <charset val="128"/>
    </font>
    <font>
      <sz val="11"/>
      <color theme="1"/>
      <name val="ＭＳ Ｐゴシック"/>
      <family val="3"/>
      <charset val="128"/>
    </font>
    <font>
      <b/>
      <sz val="12"/>
      <color theme="1"/>
      <name val="ＭＳ Ｐゴシック"/>
      <family val="3"/>
      <charset val="128"/>
    </font>
    <font>
      <b/>
      <sz val="11"/>
      <color theme="1"/>
      <name val="ＭＳ Ｐゴシック"/>
      <family val="3"/>
      <charset val="128"/>
    </font>
    <font>
      <b/>
      <sz val="8"/>
      <color theme="1"/>
      <name val="ＭＳ Ｐゴシック"/>
      <family val="3"/>
      <charset val="128"/>
    </font>
    <font>
      <u/>
      <sz val="9"/>
      <color theme="1"/>
      <name val="ＭＳ Ｐゴシック"/>
      <family val="3"/>
      <charset val="128"/>
    </font>
    <font>
      <b/>
      <sz val="14"/>
      <color theme="1"/>
      <name val="ＭＳ Ｐゴシック"/>
      <family val="3"/>
      <charset val="128"/>
    </font>
    <font>
      <b/>
      <sz val="9"/>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sz val="9"/>
      <color theme="1"/>
      <name val="ＭＳ Ｐ明朝"/>
      <family val="1"/>
      <charset val="128"/>
    </font>
    <font>
      <sz val="11"/>
      <name val="ＭＳ Ｐ明朝"/>
      <family val="1"/>
      <charset val="128"/>
    </font>
    <font>
      <sz val="11"/>
      <name val="ＭＳ Ｐゴシック"/>
      <family val="3"/>
      <charset val="128"/>
    </font>
    <font>
      <sz val="16"/>
      <color theme="1"/>
      <name val="ＭＳ Ｐゴシック"/>
      <family val="3"/>
      <charset val="128"/>
    </font>
    <font>
      <u/>
      <sz val="9.35"/>
      <color indexed="12"/>
      <name val="ＭＳ Ｐゴシック"/>
      <family val="3"/>
      <charset val="128"/>
    </font>
    <font>
      <sz val="6"/>
      <name val="ＭＳ Ｐゴシック"/>
      <family val="3"/>
      <charset val="128"/>
    </font>
    <font>
      <b/>
      <sz val="18"/>
      <color theme="1"/>
      <name val="ＭＳ Ｐゴシック"/>
      <family val="3"/>
      <charset val="128"/>
    </font>
    <font>
      <sz val="11"/>
      <color theme="0"/>
      <name val="ＭＳ Ｐ明朝"/>
      <family val="1"/>
      <charset val="128"/>
    </font>
    <font>
      <b/>
      <sz val="11"/>
      <name val="ＭＳ Ｐゴシック"/>
      <family val="3"/>
      <charset val="128"/>
    </font>
    <font>
      <sz val="12"/>
      <name val="ＭＳ Ｐゴシック"/>
      <family val="3"/>
      <charset val="128"/>
    </font>
    <font>
      <sz val="11"/>
      <color theme="0"/>
      <name val="游ゴシック"/>
      <family val="2"/>
      <charset val="128"/>
      <scheme val="minor"/>
    </font>
    <font>
      <b/>
      <u/>
      <sz val="14"/>
      <color indexed="12"/>
      <name val="ＭＳ Ｐゴシック"/>
      <family val="3"/>
      <charset val="128"/>
    </font>
    <font>
      <b/>
      <sz val="11"/>
      <color rgb="FFFF0000"/>
      <name val="ＭＳ Ｐゴシック"/>
      <family val="3"/>
      <charset val="128"/>
    </font>
    <font>
      <b/>
      <sz val="16"/>
      <color theme="1"/>
      <name val="ＭＳ Ｐゴシック"/>
      <family val="3"/>
      <charset val="128"/>
    </font>
    <font>
      <sz val="24"/>
      <color theme="1"/>
      <name val="ＭＳ Ｐゴシック"/>
      <family val="3"/>
      <charset val="128"/>
    </font>
    <font>
      <b/>
      <u/>
      <sz val="9"/>
      <color rgb="FFFF0000"/>
      <name val="ＭＳ Ｐゴシック"/>
      <family val="3"/>
      <charset val="128"/>
    </font>
    <font>
      <b/>
      <sz val="12"/>
      <color rgb="FFFF0000"/>
      <name val="ＭＳ Ｐゴシック"/>
      <family val="3"/>
      <charset val="128"/>
    </font>
    <font>
      <sz val="11"/>
      <color theme="0"/>
      <name val="ＭＳ Ｐゴシック"/>
      <family val="3"/>
      <charset val="128"/>
    </font>
    <font>
      <b/>
      <u/>
      <sz val="12"/>
      <color rgb="FFFF0000"/>
      <name val="ＭＳ Ｐゴシック"/>
      <family val="3"/>
      <charset val="128"/>
    </font>
    <font>
      <b/>
      <u/>
      <sz val="14"/>
      <color rgb="FFFF0000"/>
      <name val="ＭＳ Ｐゴシック"/>
      <family val="3"/>
      <charset val="128"/>
    </font>
    <font>
      <b/>
      <sz val="11"/>
      <color theme="1"/>
      <name val="ＭＳ ゴシック"/>
      <family val="3"/>
      <charset val="128"/>
    </font>
    <font>
      <b/>
      <u/>
      <sz val="11"/>
      <color rgb="FFFF0000"/>
      <name val="ＭＳ ゴシック"/>
      <family val="3"/>
      <charset val="128"/>
    </font>
    <font>
      <b/>
      <u/>
      <sz val="10"/>
      <color rgb="FFFF0000"/>
      <name val="ＭＳ Ｐゴシック"/>
      <family val="3"/>
      <charset val="128"/>
    </font>
    <font>
      <b/>
      <u/>
      <sz val="22"/>
      <color indexed="12"/>
      <name val="ＭＳ Ｐゴシック"/>
      <family val="3"/>
      <charset val="128"/>
    </font>
    <font>
      <b/>
      <sz val="11"/>
      <color indexed="12"/>
      <name val="ＭＳ Ｐゴシック"/>
      <family val="3"/>
      <charset val="128"/>
    </font>
    <font>
      <sz val="24"/>
      <name val="ＭＳ Ｐゴシック"/>
      <family val="3"/>
      <charset val="128"/>
    </font>
    <font>
      <b/>
      <sz val="14"/>
      <color rgb="FFFF0000"/>
      <name val="ＭＳ Ｐゴシック"/>
      <family val="3"/>
      <charset val="128"/>
    </font>
    <font>
      <b/>
      <sz val="10"/>
      <color rgb="FFFF0000"/>
      <name val="ＭＳ Ｐゴシック"/>
      <family val="3"/>
      <charset val="128"/>
    </font>
    <font>
      <b/>
      <sz val="8"/>
      <color rgb="FFFF0000"/>
      <name val="ＭＳ Ｐゴシック"/>
      <family val="3"/>
      <charset val="128"/>
    </font>
    <font>
      <sz val="24"/>
      <color theme="1"/>
      <name val="游ゴシック"/>
      <family val="3"/>
      <charset val="128"/>
      <scheme val="minor"/>
    </font>
    <font>
      <u val="double"/>
      <sz val="12"/>
      <name val="ＭＳ Ｐゴシック"/>
      <family val="3"/>
      <charset val="128"/>
    </font>
    <font>
      <b/>
      <sz val="16"/>
      <color theme="1"/>
      <name val="游ゴシック"/>
      <family val="3"/>
      <charset val="128"/>
      <scheme val="minor"/>
    </font>
    <font>
      <sz val="8"/>
      <color theme="1"/>
      <name val="游ゴシック"/>
      <family val="2"/>
      <charset val="128"/>
      <scheme val="minor"/>
    </font>
    <font>
      <sz val="16"/>
      <color theme="1"/>
      <name val="游ゴシック"/>
      <family val="3"/>
      <charset val="128"/>
      <scheme val="minor"/>
    </font>
    <font>
      <sz val="14"/>
      <color theme="1"/>
      <name val="游ゴシック"/>
      <family val="2"/>
      <charset val="128"/>
      <scheme val="minor"/>
    </font>
    <font>
      <b/>
      <sz val="22"/>
      <color rgb="FFFF0000"/>
      <name val="ＭＳ Ｐゴシック"/>
      <family val="3"/>
      <charset val="128"/>
    </font>
    <font>
      <b/>
      <sz val="14"/>
      <name val="ＭＳ Ｐゴシック"/>
      <family val="3"/>
      <charset val="128"/>
    </font>
    <font>
      <b/>
      <sz val="14"/>
      <color theme="1"/>
      <name val="ＭＳ ゴシック"/>
      <family val="3"/>
      <charset val="128"/>
    </font>
    <font>
      <sz val="14"/>
      <color theme="1"/>
      <name val="ＭＳ ゴシック"/>
      <family val="3"/>
      <charset val="128"/>
    </font>
  </fonts>
  <fills count="9">
    <fill>
      <patternFill patternType="none"/>
    </fill>
    <fill>
      <patternFill patternType="gray125"/>
    </fill>
    <fill>
      <patternFill patternType="solid">
        <fgColor rgb="FF00B0F0"/>
        <bgColor indexed="64"/>
      </patternFill>
    </fill>
    <fill>
      <patternFill patternType="solid">
        <fgColor rgb="FF99FF99"/>
        <bgColor indexed="64"/>
      </patternFill>
    </fill>
    <fill>
      <patternFill patternType="solid">
        <fgColor rgb="FF99FFCC"/>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CCECFF"/>
        <bgColor indexed="64"/>
      </patternFill>
    </fill>
  </fills>
  <borders count="126">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auto="1"/>
      </left>
      <right/>
      <top/>
      <bottom/>
      <diagonal/>
    </border>
    <border>
      <left style="hair">
        <color auto="1"/>
      </left>
      <right style="medium">
        <color auto="1"/>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indexed="64"/>
      </top>
      <bottom style="thin">
        <color indexed="64"/>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auto="1"/>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auto="1"/>
      </left>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auto="1"/>
      </bottom>
      <diagonal/>
    </border>
    <border>
      <left/>
      <right/>
      <top style="double">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double">
        <color auto="1"/>
      </top>
      <bottom style="thin">
        <color auto="1"/>
      </bottom>
      <diagonal/>
    </border>
    <border>
      <left style="hair">
        <color auto="1"/>
      </left>
      <right style="medium">
        <color auto="1"/>
      </right>
      <top style="double">
        <color auto="1"/>
      </top>
      <bottom style="thin">
        <color auto="1"/>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double">
        <color indexed="64"/>
      </top>
      <bottom style="medium">
        <color indexed="64"/>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hair">
        <color indexed="64"/>
      </right>
      <top style="double">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hair">
        <color indexed="64"/>
      </right>
      <top style="double">
        <color indexed="64"/>
      </top>
      <bottom style="thin">
        <color indexed="64"/>
      </bottom>
      <diagonal/>
    </border>
    <border>
      <left/>
      <right style="medium">
        <color indexed="64"/>
      </right>
      <top style="hair">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auto="1"/>
      </right>
      <top/>
      <bottom style="medium">
        <color indexed="64"/>
      </bottom>
      <diagonal/>
    </border>
    <border>
      <left style="hair">
        <color auto="1"/>
      </left>
      <right/>
      <top/>
      <bottom style="medium">
        <color auto="1"/>
      </bottom>
      <diagonal/>
    </border>
    <border>
      <left style="thin">
        <color indexed="64"/>
      </left>
      <right style="hair">
        <color auto="1"/>
      </right>
      <top style="medium">
        <color indexed="64"/>
      </top>
      <bottom style="medium">
        <color indexed="64"/>
      </bottom>
      <diagonal/>
    </border>
    <border>
      <left style="hair">
        <color auto="1"/>
      </left>
      <right style="thin">
        <color indexed="64"/>
      </right>
      <top style="medium">
        <color indexed="64"/>
      </top>
      <bottom style="medium">
        <color auto="1"/>
      </bottom>
      <diagonal/>
    </border>
    <border>
      <left style="thin">
        <color indexed="64"/>
      </left>
      <right style="thin">
        <color indexed="64"/>
      </right>
      <top style="medium">
        <color indexed="64"/>
      </top>
      <bottom style="medium">
        <color auto="1"/>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auto="1"/>
      </left>
      <right style="hair">
        <color auto="1"/>
      </right>
      <top style="thin">
        <color auto="1"/>
      </top>
      <bottom style="double">
        <color auto="1"/>
      </bottom>
      <diagonal/>
    </border>
    <border>
      <left style="hair">
        <color auto="1"/>
      </left>
      <right style="medium">
        <color auto="1"/>
      </right>
      <top style="thin">
        <color auto="1"/>
      </top>
      <bottom style="double">
        <color auto="1"/>
      </bottom>
      <diagonal/>
    </border>
    <border>
      <left style="medium">
        <color auto="1"/>
      </left>
      <right style="hair">
        <color auto="1"/>
      </right>
      <top style="double">
        <color auto="1"/>
      </top>
      <bottom style="medium">
        <color auto="1"/>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double">
        <color auto="1"/>
      </top>
      <bottom style="thin">
        <color indexed="64"/>
      </bottom>
      <diagonal/>
    </border>
    <border>
      <left style="hair">
        <color indexed="64"/>
      </left>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8"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500">
    <xf numFmtId="0" fontId="0" fillId="0" borderId="0" xfId="0">
      <alignment vertical="center"/>
    </xf>
    <xf numFmtId="0" fontId="9" fillId="0" borderId="0" xfId="0" applyFont="1">
      <alignment vertical="center"/>
    </xf>
    <xf numFmtId="0" fontId="0" fillId="0" borderId="0" xfId="0" applyBorder="1">
      <alignment vertical="center"/>
    </xf>
    <xf numFmtId="0" fontId="0" fillId="0" borderId="0" xfId="0" applyFill="1">
      <alignment vertical="center"/>
    </xf>
    <xf numFmtId="0" fontId="28" fillId="0" borderId="0" xfId="4" applyAlignment="1" applyProtection="1">
      <alignment vertical="center"/>
    </xf>
    <xf numFmtId="0" fontId="21" fillId="0" borderId="0" xfId="0" applyFont="1" applyProtection="1">
      <alignment vertical="center"/>
      <protection locked="0"/>
    </xf>
    <xf numFmtId="0" fontId="21" fillId="0" borderId="0" xfId="0" applyFont="1" applyFill="1" applyProtection="1">
      <alignment vertical="center"/>
    </xf>
    <xf numFmtId="0" fontId="22" fillId="0" borderId="0" xfId="0" applyFont="1" applyFill="1" applyProtection="1">
      <alignment vertical="center"/>
    </xf>
    <xf numFmtId="0" fontId="19" fillId="0" borderId="21" xfId="0" applyFont="1" applyBorder="1" applyProtection="1">
      <alignment vertical="center"/>
    </xf>
    <xf numFmtId="0" fontId="0" fillId="0" borderId="0" xfId="0" applyProtection="1">
      <alignment vertical="center"/>
    </xf>
    <xf numFmtId="0" fontId="0" fillId="0" borderId="21" xfId="0" applyBorder="1" applyProtection="1">
      <alignment vertical="center"/>
    </xf>
    <xf numFmtId="0" fontId="0" fillId="0" borderId="21" xfId="0" applyBorder="1">
      <alignment vertical="center"/>
    </xf>
    <xf numFmtId="0" fontId="21" fillId="0" borderId="0" xfId="0" applyFont="1" applyProtection="1">
      <alignment vertical="center"/>
    </xf>
    <xf numFmtId="0" fontId="9" fillId="0" borderId="0" xfId="0" applyFont="1" applyProtection="1">
      <alignment vertical="center"/>
    </xf>
    <xf numFmtId="0" fontId="20" fillId="0" borderId="0" xfId="0" applyFont="1" applyAlignment="1" applyProtection="1">
      <alignment horizontal="left" vertical="center"/>
    </xf>
    <xf numFmtId="0" fontId="9" fillId="0" borderId="0" xfId="0" applyFont="1" applyBorder="1" applyAlignment="1" applyProtection="1">
      <alignment horizontal="center" vertical="center"/>
    </xf>
    <xf numFmtId="0" fontId="21" fillId="0" borderId="0" xfId="0" applyFont="1" applyAlignment="1" applyProtection="1">
      <alignment horizontal="right" vertical="center"/>
    </xf>
    <xf numFmtId="0" fontId="21" fillId="0" borderId="0" xfId="0" applyFont="1" applyAlignment="1" applyProtection="1">
      <alignment horizontal="center" vertical="center"/>
    </xf>
    <xf numFmtId="0" fontId="21" fillId="0" borderId="0" xfId="0" applyFont="1" applyAlignment="1" applyProtection="1">
      <alignment vertical="center"/>
    </xf>
    <xf numFmtId="0" fontId="21" fillId="0" borderId="0" xfId="0" applyFont="1" applyFill="1" applyAlignment="1" applyProtection="1">
      <alignment vertical="center"/>
    </xf>
    <xf numFmtId="0" fontId="31" fillId="0" borderId="0" xfId="0" applyFont="1" applyAlignment="1" applyProtection="1">
      <alignment horizontal="right" vertical="center"/>
    </xf>
    <xf numFmtId="176" fontId="24" fillId="0" borderId="20" xfId="0" applyNumberFormat="1" applyFont="1" applyBorder="1" applyAlignment="1" applyProtection="1">
      <alignment vertical="center"/>
    </xf>
    <xf numFmtId="0" fontId="24" fillId="0" borderId="20" xfId="0" applyFont="1" applyBorder="1" applyAlignment="1" applyProtection="1">
      <alignment vertical="center"/>
    </xf>
    <xf numFmtId="0" fontId="24" fillId="0" borderId="22" xfId="0" applyFont="1" applyBorder="1" applyAlignment="1" applyProtection="1">
      <alignment vertical="center"/>
    </xf>
    <xf numFmtId="0" fontId="21" fillId="0" borderId="23" xfId="0" applyFont="1" applyBorder="1" applyProtection="1">
      <alignment vertical="center"/>
    </xf>
    <xf numFmtId="177" fontId="21" fillId="0" borderId="0" xfId="0" applyNumberFormat="1" applyFont="1" applyProtection="1">
      <alignment vertical="center"/>
    </xf>
    <xf numFmtId="177" fontId="25" fillId="0" borderId="0" xfId="0" applyNumberFormat="1" applyFont="1" applyProtection="1">
      <alignment vertical="center"/>
    </xf>
    <xf numFmtId="0" fontId="0" fillId="0" borderId="0" xfId="0" applyBorder="1" applyProtection="1">
      <alignment vertical="center"/>
    </xf>
    <xf numFmtId="0" fontId="13" fillId="0" borderId="0" xfId="0" applyFont="1" applyAlignment="1" applyProtection="1">
      <alignment horizontal="left" vertical="center"/>
    </xf>
    <xf numFmtId="0" fontId="12" fillId="0" borderId="0" xfId="0" applyFont="1" applyBorder="1" applyAlignment="1" applyProtection="1">
      <alignment vertical="center"/>
    </xf>
    <xf numFmtId="0" fontId="9" fillId="0" borderId="8" xfId="0" applyFont="1" applyBorder="1" applyProtection="1">
      <alignment vertical="center"/>
    </xf>
    <xf numFmtId="0" fontId="9" fillId="0" borderId="0" xfId="0" applyFont="1" applyBorder="1" applyProtection="1">
      <alignment vertical="center"/>
    </xf>
    <xf numFmtId="0" fontId="9" fillId="0" borderId="29" xfId="0" applyFont="1" applyBorder="1" applyProtection="1">
      <alignment vertical="center"/>
    </xf>
    <xf numFmtId="0" fontId="9" fillId="0" borderId="10" xfId="0" applyFont="1" applyBorder="1" applyProtection="1">
      <alignment vertical="center"/>
    </xf>
    <xf numFmtId="0" fontId="18" fillId="0" borderId="65" xfId="0" applyFont="1" applyBorder="1" applyAlignment="1" applyProtection="1">
      <alignment horizontal="right" vertical="center"/>
    </xf>
    <xf numFmtId="0" fontId="19" fillId="0" borderId="17" xfId="0" applyFont="1" applyBorder="1" applyAlignment="1" applyProtection="1">
      <alignment horizontal="right" vertical="center"/>
    </xf>
    <xf numFmtId="0" fontId="19" fillId="0" borderId="31" xfId="0" applyFont="1" applyBorder="1" applyAlignment="1" applyProtection="1">
      <alignment horizontal="right" vertical="center"/>
    </xf>
    <xf numFmtId="0" fontId="0" fillId="0" borderId="0" xfId="0" applyFill="1" applyBorder="1" applyProtection="1">
      <alignment vertical="center"/>
    </xf>
    <xf numFmtId="0" fontId="35" fillId="3" borderId="68" xfId="4" applyNumberFormat="1" applyFont="1" applyFill="1" applyBorder="1" applyAlignment="1" applyProtection="1">
      <alignment horizontal="left" vertical="center"/>
    </xf>
    <xf numFmtId="0" fontId="35" fillId="3" borderId="70" xfId="4" applyFont="1" applyFill="1" applyBorder="1" applyAlignment="1" applyProtection="1">
      <alignment vertical="center"/>
    </xf>
    <xf numFmtId="0" fontId="37" fillId="0" borderId="0" xfId="0" applyFont="1" applyProtection="1">
      <alignment vertical="center"/>
    </xf>
    <xf numFmtId="0" fontId="9" fillId="3" borderId="69" xfId="0" applyNumberFormat="1" applyFont="1" applyFill="1" applyBorder="1" applyAlignment="1" applyProtection="1">
      <alignment horizontal="left" vertical="center" wrapText="1"/>
    </xf>
    <xf numFmtId="0" fontId="9" fillId="3" borderId="71" xfId="0" applyNumberFormat="1" applyFont="1" applyFill="1" applyBorder="1" applyAlignment="1" applyProtection="1">
      <alignment horizontal="left" vertical="center" wrapText="1"/>
    </xf>
    <xf numFmtId="0" fontId="11" fillId="0" borderId="0" xfId="0" applyFont="1" applyProtection="1">
      <alignment vertical="center"/>
    </xf>
    <xf numFmtId="0" fontId="9" fillId="0" borderId="13" xfId="0" applyFont="1" applyBorder="1" applyProtection="1">
      <alignment vertical="center"/>
    </xf>
    <xf numFmtId="0" fontId="9" fillId="0" borderId="17" xfId="0" applyFont="1" applyBorder="1" applyProtection="1">
      <alignment vertical="center"/>
    </xf>
    <xf numFmtId="177" fontId="25" fillId="0" borderId="0" xfId="0" applyNumberFormat="1" applyFont="1" applyAlignment="1" applyProtection="1">
      <alignment vertical="center"/>
    </xf>
    <xf numFmtId="0" fontId="16"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9" fillId="0" borderId="0" xfId="0" applyFont="1" applyBorder="1" applyAlignment="1" applyProtection="1">
      <alignment horizontal="right" vertical="center"/>
    </xf>
    <xf numFmtId="178" fontId="41" fillId="0" borderId="0" xfId="0" applyNumberFormat="1" applyFont="1" applyAlignment="1" applyProtection="1">
      <alignment horizontal="left" vertical="center" wrapText="1"/>
    </xf>
    <xf numFmtId="0" fontId="11" fillId="0" borderId="0" xfId="0" applyFont="1" applyBorder="1" applyAlignment="1" applyProtection="1">
      <alignment horizontal="center" vertical="center"/>
    </xf>
    <xf numFmtId="3" fontId="9" fillId="0" borderId="0" xfId="0" applyNumberFormat="1" applyFont="1" applyBorder="1" applyAlignment="1" applyProtection="1">
      <alignment horizontal="right" vertical="center"/>
    </xf>
    <xf numFmtId="0" fontId="11" fillId="0" borderId="25" xfId="0" applyFont="1" applyBorder="1" applyAlignment="1" applyProtection="1">
      <alignment horizontal="right" vertical="center"/>
    </xf>
    <xf numFmtId="0" fontId="9" fillId="0" borderId="23" xfId="0" applyFont="1" applyBorder="1" applyProtection="1">
      <alignment vertical="center"/>
    </xf>
    <xf numFmtId="0" fontId="0" fillId="0" borderId="38" xfId="0" applyFill="1" applyBorder="1" applyProtection="1">
      <alignment vertical="center"/>
    </xf>
    <xf numFmtId="0" fontId="0" fillId="0" borderId="38" xfId="0" applyBorder="1" applyProtection="1">
      <alignment vertical="center"/>
    </xf>
    <xf numFmtId="0" fontId="0" fillId="0" borderId="0" xfId="0" applyFill="1" applyProtection="1">
      <alignment vertical="center"/>
    </xf>
    <xf numFmtId="0" fontId="17" fillId="0" borderId="0" xfId="0" applyFont="1" applyBorder="1" applyAlignment="1" applyProtection="1">
      <alignment vertical="top" wrapText="1"/>
    </xf>
    <xf numFmtId="178" fontId="34" fillId="0" borderId="0" xfId="0" applyNumberFormat="1" applyFont="1" applyProtection="1">
      <alignment vertical="center"/>
    </xf>
    <xf numFmtId="0" fontId="9" fillId="0" borderId="5" xfId="0" applyFont="1" applyBorder="1" applyAlignment="1" applyProtection="1">
      <alignment horizontal="center" vertical="center"/>
      <protection locked="0"/>
    </xf>
    <xf numFmtId="0" fontId="9" fillId="0" borderId="5" xfId="0" applyFont="1" applyBorder="1" applyAlignment="1" applyProtection="1">
      <alignment horizontal="left" vertical="center"/>
      <protection locked="0"/>
    </xf>
    <xf numFmtId="0" fontId="10" fillId="0" borderId="65" xfId="0" applyFont="1" applyBorder="1" applyAlignment="1" applyProtection="1">
      <alignment horizontal="right" vertical="center"/>
    </xf>
    <xf numFmtId="0" fontId="21" fillId="0" borderId="0" xfId="0" applyFont="1" applyFill="1" applyAlignment="1" applyProtection="1">
      <alignment vertical="center" wrapText="1"/>
    </xf>
    <xf numFmtId="0" fontId="27" fillId="0" borderId="0" xfId="0" applyFont="1" applyAlignment="1" applyProtection="1">
      <alignment vertical="center"/>
    </xf>
    <xf numFmtId="0" fontId="37" fillId="0" borderId="0" xfId="0" applyFont="1" applyFill="1" applyAlignment="1" applyProtection="1">
      <alignment horizontal="left" vertical="center"/>
    </xf>
    <xf numFmtId="0" fontId="9" fillId="0" borderId="0" xfId="0" applyFont="1" applyFill="1" applyProtection="1">
      <alignment vertical="center"/>
    </xf>
    <xf numFmtId="0" fontId="11" fillId="0" borderId="0" xfId="0" applyFont="1" applyFill="1" applyProtection="1">
      <alignment vertical="center"/>
    </xf>
    <xf numFmtId="0" fontId="23" fillId="0" borderId="0" xfId="0" applyFont="1" applyAlignment="1" applyProtection="1">
      <alignment vertical="center"/>
    </xf>
    <xf numFmtId="3" fontId="39" fillId="0" borderId="0" xfId="0" applyNumberFormat="1" applyFont="1" applyBorder="1" applyAlignment="1" applyProtection="1">
      <alignment vertical="center"/>
    </xf>
    <xf numFmtId="0" fontId="23" fillId="0" borderId="0" xfId="0" applyFont="1" applyAlignment="1" applyProtection="1">
      <alignment horizontal="center" vertical="center"/>
    </xf>
    <xf numFmtId="3" fontId="9" fillId="0" borderId="5" xfId="1" applyNumberFormat="1" applyFont="1" applyBorder="1" applyAlignment="1" applyProtection="1">
      <alignment horizontal="right" vertical="center"/>
      <protection locked="0"/>
    </xf>
    <xf numFmtId="0" fontId="30" fillId="0" borderId="0" xfId="0" applyFont="1" applyBorder="1" applyAlignment="1" applyProtection="1">
      <alignment horizontal="left" vertical="top"/>
    </xf>
    <xf numFmtId="0" fontId="47" fillId="0" borderId="10" xfId="4" applyFont="1" applyFill="1" applyBorder="1" applyAlignment="1" applyProtection="1">
      <protection locked="0"/>
    </xf>
    <xf numFmtId="178" fontId="9" fillId="0" borderId="76" xfId="0" applyNumberFormat="1" applyFont="1" applyBorder="1" applyAlignment="1" applyProtection="1">
      <alignment horizontal="center" vertical="center"/>
      <protection locked="0"/>
    </xf>
    <xf numFmtId="0" fontId="9" fillId="0" borderId="77" xfId="0" applyFont="1" applyBorder="1" applyAlignment="1" applyProtection="1">
      <alignment horizontal="center" vertical="center"/>
      <protection locked="0"/>
    </xf>
    <xf numFmtId="0" fontId="9" fillId="0" borderId="77" xfId="0" applyFont="1" applyBorder="1" applyAlignment="1" applyProtection="1">
      <alignment horizontal="left" vertical="center"/>
      <protection locked="0"/>
    </xf>
    <xf numFmtId="0" fontId="10" fillId="0" borderId="78" xfId="2" applyFont="1" applyBorder="1" applyAlignment="1" applyProtection="1">
      <alignment horizontal="right" vertical="center"/>
      <protection locked="0"/>
    </xf>
    <xf numFmtId="38" fontId="9" fillId="0" borderId="4" xfId="1" applyFont="1" applyBorder="1" applyAlignment="1" applyProtection="1">
      <alignment horizontal="right" vertical="center"/>
      <protection locked="0"/>
    </xf>
    <xf numFmtId="0" fontId="47" fillId="0" borderId="0" xfId="4" applyFont="1" applyFill="1" applyAlignment="1" applyProtection="1">
      <protection locked="0"/>
    </xf>
    <xf numFmtId="3" fontId="9" fillId="0" borderId="6" xfId="0" applyNumberFormat="1" applyFont="1" applyBorder="1" applyAlignment="1" applyProtection="1">
      <alignment horizontal="right" vertical="center"/>
      <protection locked="0"/>
    </xf>
    <xf numFmtId="178" fontId="7" fillId="0" borderId="76" xfId="2" applyNumberFormat="1" applyFont="1" applyBorder="1" applyAlignment="1" applyProtection="1">
      <alignment horizontal="center" vertical="center"/>
      <protection locked="0"/>
    </xf>
    <xf numFmtId="3" fontId="9" fillId="0" borderId="80" xfId="0" applyNumberFormat="1" applyFont="1" applyBorder="1" applyAlignment="1" applyProtection="1">
      <alignment horizontal="right" vertical="center"/>
      <protection locked="0"/>
    </xf>
    <xf numFmtId="0" fontId="11" fillId="5" borderId="1"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9" fillId="0" borderId="5" xfId="0" applyFont="1" applyBorder="1" applyAlignment="1" applyProtection="1">
      <alignment horizontal="left" vertical="center"/>
    </xf>
    <xf numFmtId="0" fontId="9" fillId="0" borderId="83" xfId="0" applyFont="1" applyBorder="1" applyAlignment="1" applyProtection="1">
      <alignment horizontal="left" vertical="center"/>
    </xf>
    <xf numFmtId="0" fontId="9" fillId="0" borderId="87" xfId="0" applyFont="1" applyFill="1" applyBorder="1" applyAlignment="1" applyProtection="1">
      <alignment horizontal="left" vertical="center"/>
      <protection locked="0"/>
    </xf>
    <xf numFmtId="0" fontId="9" fillId="0" borderId="88" xfId="0" applyFont="1" applyFill="1" applyBorder="1" applyAlignment="1" applyProtection="1">
      <alignment horizontal="left" vertical="center"/>
      <protection locked="0"/>
    </xf>
    <xf numFmtId="0" fontId="11" fillId="4" borderId="52" xfId="0" applyFont="1" applyFill="1" applyBorder="1" applyAlignment="1" applyProtection="1">
      <alignment horizontal="center" vertical="center"/>
    </xf>
    <xf numFmtId="0" fontId="11" fillId="4" borderId="45" xfId="0" applyFont="1" applyFill="1" applyBorder="1" applyAlignment="1" applyProtection="1">
      <alignment horizontal="center" vertical="center"/>
    </xf>
    <xf numFmtId="0" fontId="11" fillId="4" borderId="75" xfId="0" applyFont="1" applyFill="1" applyBorder="1" applyAlignment="1" applyProtection="1">
      <alignment horizontal="center" vertical="center"/>
    </xf>
    <xf numFmtId="49" fontId="18" fillId="0" borderId="77" xfId="0" applyNumberFormat="1" applyFont="1" applyBorder="1" applyAlignment="1" applyProtection="1">
      <alignment horizontal="right" vertical="center"/>
    </xf>
    <xf numFmtId="0" fontId="9" fillId="0" borderId="77" xfId="0" applyFont="1" applyBorder="1" applyAlignment="1" applyProtection="1">
      <alignment horizontal="left" vertical="center"/>
    </xf>
    <xf numFmtId="0" fontId="18" fillId="0" borderId="77" xfId="0" applyFont="1" applyBorder="1" applyAlignment="1" applyProtection="1">
      <alignment horizontal="center" vertical="center"/>
    </xf>
    <xf numFmtId="49" fontId="18" fillId="0" borderId="5" xfId="0" applyNumberFormat="1" applyFont="1" applyFill="1" applyBorder="1" applyAlignment="1" applyProtection="1">
      <alignment horizontal="right" vertical="center"/>
    </xf>
    <xf numFmtId="0" fontId="9" fillId="0" borderId="5" xfId="0" applyFont="1" applyFill="1" applyBorder="1" applyAlignment="1" applyProtection="1">
      <alignment horizontal="left" vertical="center"/>
    </xf>
    <xf numFmtId="0" fontId="18" fillId="0" borderId="5" xfId="0" applyFont="1" applyFill="1" applyBorder="1" applyAlignment="1" applyProtection="1">
      <alignment horizontal="center" vertical="center"/>
    </xf>
    <xf numFmtId="49" fontId="18" fillId="0" borderId="83" xfId="0" applyNumberFormat="1" applyFont="1" applyFill="1" applyBorder="1" applyAlignment="1" applyProtection="1">
      <alignment horizontal="right" vertical="center"/>
    </xf>
    <xf numFmtId="0" fontId="9" fillId="0" borderId="83" xfId="0" applyFont="1" applyFill="1" applyBorder="1" applyAlignment="1" applyProtection="1">
      <alignment horizontal="left" vertical="center"/>
    </xf>
    <xf numFmtId="0" fontId="18" fillId="0" borderId="83" xfId="0" applyFont="1" applyFill="1" applyBorder="1" applyAlignment="1" applyProtection="1">
      <alignment horizontal="center" vertical="center"/>
    </xf>
    <xf numFmtId="49" fontId="18" fillId="0" borderId="77" xfId="0" applyNumberFormat="1" applyFont="1" applyFill="1" applyBorder="1" applyAlignment="1" applyProtection="1">
      <alignment horizontal="right" vertical="center"/>
    </xf>
    <xf numFmtId="0" fontId="9" fillId="0" borderId="77" xfId="0" applyFont="1" applyFill="1" applyBorder="1" applyAlignment="1" applyProtection="1">
      <alignment horizontal="left" vertical="center"/>
    </xf>
    <xf numFmtId="0" fontId="18" fillId="0" borderId="77" xfId="0" applyFont="1" applyFill="1" applyBorder="1" applyAlignment="1" applyProtection="1">
      <alignment horizontal="center" vertical="center"/>
    </xf>
    <xf numFmtId="49" fontId="18" fillId="0" borderId="5" xfId="0" applyNumberFormat="1" applyFont="1" applyBorder="1" applyAlignment="1" applyProtection="1">
      <alignment horizontal="right" vertical="center"/>
    </xf>
    <xf numFmtId="0" fontId="18" fillId="0" borderId="5" xfId="0" applyFont="1" applyBorder="1" applyAlignment="1" applyProtection="1">
      <alignment horizontal="center" vertical="center"/>
    </xf>
    <xf numFmtId="49" fontId="18" fillId="0" borderId="83" xfId="0" applyNumberFormat="1" applyFont="1" applyBorder="1" applyAlignment="1" applyProtection="1">
      <alignment horizontal="right" vertical="center"/>
    </xf>
    <xf numFmtId="0" fontId="18" fillId="0" borderId="83" xfId="0" applyFont="1" applyBorder="1" applyAlignment="1" applyProtection="1">
      <alignment horizontal="center" vertical="center"/>
    </xf>
    <xf numFmtId="0" fontId="18" fillId="5" borderId="85" xfId="0" applyFont="1" applyFill="1" applyBorder="1" applyAlignment="1" applyProtection="1">
      <alignment horizontal="center" vertical="center"/>
    </xf>
    <xf numFmtId="38" fontId="18" fillId="5" borderId="85" xfId="1" applyFont="1" applyFill="1" applyBorder="1" applyAlignment="1" applyProtection="1">
      <alignment horizontal="right" vertical="center"/>
    </xf>
    <xf numFmtId="0" fontId="17" fillId="0" borderId="27" xfId="0" applyFont="1" applyBorder="1" applyAlignment="1" applyProtection="1">
      <alignment horizontal="left" vertical="center"/>
    </xf>
    <xf numFmtId="178" fontId="0" fillId="5" borderId="0" xfId="0" applyNumberFormat="1" applyFill="1" applyProtection="1">
      <alignment vertical="center"/>
    </xf>
    <xf numFmtId="0" fontId="26" fillId="3" borderId="72" xfId="0" applyFont="1" applyFill="1" applyBorder="1" applyAlignment="1" applyProtection="1">
      <alignment horizontal="left" vertical="center"/>
    </xf>
    <xf numFmtId="38" fontId="18" fillId="3" borderId="95" xfId="1" applyFont="1" applyFill="1" applyBorder="1" applyAlignment="1" applyProtection="1">
      <alignment horizontal="right" vertical="center"/>
    </xf>
    <xf numFmtId="0" fontId="18" fillId="3" borderId="95" xfId="0" applyFont="1" applyFill="1" applyBorder="1" applyAlignment="1" applyProtection="1">
      <alignment horizontal="center" vertical="center"/>
    </xf>
    <xf numFmtId="0" fontId="26" fillId="3" borderId="92" xfId="0" applyFont="1" applyFill="1" applyBorder="1" applyAlignment="1" applyProtection="1">
      <alignment horizontal="left" vertical="center"/>
    </xf>
    <xf numFmtId="38" fontId="18" fillId="3" borderId="93" xfId="1" applyFont="1" applyFill="1" applyBorder="1" applyAlignment="1" applyProtection="1">
      <alignment horizontal="right" vertical="center"/>
    </xf>
    <xf numFmtId="0" fontId="18" fillId="3" borderId="93" xfId="0" applyFont="1" applyFill="1" applyBorder="1" applyAlignment="1" applyProtection="1">
      <alignment horizontal="center" vertical="center"/>
    </xf>
    <xf numFmtId="0" fontId="9" fillId="0" borderId="86" xfId="0" applyFont="1" applyFill="1" applyBorder="1" applyAlignment="1" applyProtection="1">
      <alignment horizontal="left" vertical="center" wrapText="1"/>
      <protection locked="0"/>
    </xf>
    <xf numFmtId="0" fontId="9" fillId="0" borderId="87" xfId="0" applyFont="1" applyFill="1" applyBorder="1" applyAlignment="1" applyProtection="1">
      <alignment horizontal="left" vertical="center" wrapText="1"/>
      <protection locked="0"/>
    </xf>
    <xf numFmtId="0" fontId="9" fillId="0" borderId="88"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35" fillId="0" borderId="0" xfId="4" applyFont="1" applyAlignment="1" applyProtection="1">
      <alignment horizontal="center" vertical="center"/>
      <protection locked="0"/>
    </xf>
    <xf numFmtId="0" fontId="53" fillId="3" borderId="11"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47" fillId="0" borderId="10" xfId="4" applyFont="1" applyFill="1" applyBorder="1" applyAlignment="1" applyProtection="1">
      <alignment horizontal="center"/>
      <protection locked="0"/>
    </xf>
    <xf numFmtId="0" fontId="7" fillId="0" borderId="79" xfId="2" applyFont="1" applyFill="1" applyBorder="1" applyAlignment="1" applyProtection="1">
      <alignment horizontal="center" vertical="center" shrinkToFit="1"/>
    </xf>
    <xf numFmtId="0" fontId="54" fillId="2" borderId="103" xfId="2" applyFont="1" applyFill="1" applyBorder="1" applyAlignment="1" applyProtection="1">
      <alignment horizontal="left" vertical="center" wrapText="1"/>
    </xf>
    <xf numFmtId="0" fontId="0" fillId="0" borderId="10" xfId="0" applyFill="1" applyBorder="1" applyProtection="1">
      <alignment vertical="center"/>
    </xf>
    <xf numFmtId="0" fontId="14" fillId="0" borderId="105" xfId="2" applyFont="1" applyFill="1" applyBorder="1" applyAlignment="1" applyProtection="1">
      <alignment horizontal="center" vertical="center" wrapText="1"/>
    </xf>
    <xf numFmtId="0" fontId="14" fillId="5" borderId="7" xfId="2" applyFont="1" applyFill="1" applyBorder="1" applyAlignment="1" applyProtection="1">
      <alignment horizontal="left" vertical="center" wrapText="1"/>
    </xf>
    <xf numFmtId="0" fontId="3" fillId="0" borderId="106" xfId="2" applyFont="1" applyFill="1" applyBorder="1" applyAlignment="1" applyProtection="1">
      <alignment vertical="center" wrapText="1"/>
    </xf>
    <xf numFmtId="0" fontId="10" fillId="5" borderId="107" xfId="2" applyFont="1" applyFill="1" applyBorder="1" applyAlignment="1" applyProtection="1">
      <alignment horizontal="left" vertical="center" wrapText="1"/>
    </xf>
    <xf numFmtId="0" fontId="10" fillId="5" borderId="107" xfId="2" applyFont="1" applyFill="1" applyBorder="1" applyAlignment="1" applyProtection="1">
      <alignment horizontal="center" vertical="center" wrapText="1"/>
    </xf>
    <xf numFmtId="0" fontId="10" fillId="5" borderId="17" xfId="2" applyFont="1" applyFill="1" applyBorder="1" applyAlignment="1" applyProtection="1">
      <alignment horizontal="left" vertical="center" wrapText="1"/>
    </xf>
    <xf numFmtId="0" fontId="7" fillId="3" borderId="107" xfId="2" applyFont="1" applyFill="1" applyBorder="1" applyAlignment="1" applyProtection="1">
      <alignment horizontal="center" vertical="center" wrapText="1"/>
    </xf>
    <xf numFmtId="0" fontId="55" fillId="0" borderId="0" xfId="0" applyFont="1" applyAlignment="1" applyProtection="1">
      <alignment horizontal="right" vertical="center"/>
    </xf>
    <xf numFmtId="49" fontId="56" fillId="0" borderId="0" xfId="0" applyNumberFormat="1" applyFont="1" applyFill="1" applyProtection="1">
      <alignment vertical="center"/>
    </xf>
    <xf numFmtId="0" fontId="17" fillId="0" borderId="27" xfId="0" applyFont="1" applyBorder="1" applyAlignment="1" applyProtection="1">
      <alignment horizontal="left" vertical="center"/>
    </xf>
    <xf numFmtId="3" fontId="9" fillId="0" borderId="0" xfId="0" applyNumberFormat="1" applyFont="1" applyBorder="1" applyAlignment="1" applyProtection="1">
      <alignment horizontal="right" vertical="center"/>
    </xf>
    <xf numFmtId="3" fontId="9" fillId="0" borderId="51" xfId="0" applyNumberFormat="1" applyFont="1" applyBorder="1" applyAlignment="1" applyProtection="1">
      <alignment horizontal="right" vertical="center"/>
    </xf>
    <xf numFmtId="0" fontId="12" fillId="0" borderId="0" xfId="0" applyFont="1" applyBorder="1" applyAlignment="1" applyProtection="1">
      <alignment horizontal="right" vertical="center"/>
    </xf>
    <xf numFmtId="0" fontId="9" fillId="7" borderId="78" xfId="0" applyFont="1" applyFill="1" applyBorder="1" applyAlignment="1" applyProtection="1">
      <alignment horizontal="left" vertical="center"/>
      <protection locked="0"/>
    </xf>
    <xf numFmtId="0" fontId="9" fillId="7" borderId="14" xfId="0" applyFont="1" applyFill="1" applyBorder="1" applyAlignment="1" applyProtection="1">
      <alignment horizontal="left" vertical="center"/>
      <protection locked="0"/>
    </xf>
    <xf numFmtId="179" fontId="17" fillId="0" borderId="44" xfId="5" applyNumberFormat="1" applyFont="1" applyBorder="1" applyAlignment="1" applyProtection="1">
      <alignment horizontal="right" vertical="center"/>
    </xf>
    <xf numFmtId="0" fontId="0" fillId="0" borderId="0" xfId="0" applyBorder="1" applyAlignment="1" applyProtection="1">
      <alignment horizontal="center" vertical="center"/>
    </xf>
    <xf numFmtId="3" fontId="0" fillId="0" borderId="0" xfId="0" applyNumberFormat="1" applyProtection="1">
      <alignment vertical="center"/>
    </xf>
    <xf numFmtId="38" fontId="0" fillId="0" borderId="0" xfId="1" applyFont="1" applyProtection="1">
      <alignment vertical="center"/>
    </xf>
    <xf numFmtId="0" fontId="18" fillId="0" borderId="80" xfId="0" applyFont="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84" xfId="0" applyFont="1" applyFill="1" applyBorder="1" applyAlignment="1" applyProtection="1">
      <alignment horizontal="center" vertical="center"/>
    </xf>
    <xf numFmtId="0" fontId="18" fillId="3" borderId="73" xfId="0" applyFont="1" applyFill="1" applyBorder="1" applyAlignment="1" applyProtection="1">
      <alignment horizontal="center" vertical="center"/>
    </xf>
    <xf numFmtId="0" fontId="18" fillId="0" borderId="80" xfId="0" applyFont="1" applyFill="1" applyBorder="1" applyAlignment="1" applyProtection="1">
      <alignment horizontal="center" vertical="center"/>
    </xf>
    <xf numFmtId="0" fontId="18" fillId="0" borderId="6" xfId="0" applyFont="1" applyBorder="1" applyAlignment="1" applyProtection="1">
      <alignment horizontal="center" vertical="center"/>
    </xf>
    <xf numFmtId="0" fontId="18" fillId="0" borderId="84" xfId="0" applyFont="1" applyBorder="1" applyAlignment="1" applyProtection="1">
      <alignment horizontal="center" vertical="center"/>
    </xf>
    <xf numFmtId="0" fontId="18" fillId="3" borderId="94" xfId="0" applyFont="1" applyFill="1" applyBorder="1" applyAlignment="1" applyProtection="1">
      <alignment horizontal="center" vertical="center"/>
    </xf>
    <xf numFmtId="0" fontId="18" fillId="5" borderId="81" xfId="0" applyFont="1" applyFill="1" applyBorder="1" applyAlignment="1" applyProtection="1">
      <alignment horizontal="center" vertical="center"/>
    </xf>
    <xf numFmtId="0" fontId="14" fillId="0" borderId="0" xfId="0" applyFont="1" applyAlignment="1" applyProtection="1">
      <alignment vertical="center"/>
    </xf>
    <xf numFmtId="0" fontId="0" fillId="0" borderId="0" xfId="0" applyAlignment="1" applyProtection="1">
      <alignment vertical="top"/>
    </xf>
    <xf numFmtId="3" fontId="39" fillId="0" borderId="0" xfId="0" applyNumberFormat="1" applyFont="1" applyBorder="1" applyAlignment="1" applyProtection="1">
      <alignment vertical="top"/>
    </xf>
    <xf numFmtId="0" fontId="0" fillId="0" borderId="0" xfId="0" applyBorder="1" applyAlignment="1" applyProtection="1">
      <alignment vertical="top"/>
    </xf>
    <xf numFmtId="0" fontId="0" fillId="0" borderId="0" xfId="0" applyAlignment="1">
      <alignment vertical="top"/>
    </xf>
    <xf numFmtId="0" fontId="35" fillId="6" borderId="116" xfId="4" applyNumberFormat="1" applyFont="1" applyFill="1" applyBorder="1" applyAlignment="1" applyProtection="1">
      <alignment horizontal="left" vertical="center"/>
    </xf>
    <xf numFmtId="0" fontId="26" fillId="6" borderId="81" xfId="0" applyNumberFormat="1" applyFont="1" applyFill="1" applyBorder="1" applyAlignment="1" applyProtection="1">
      <alignment horizontal="left" vertical="center" wrapText="1"/>
    </xf>
    <xf numFmtId="0" fontId="35" fillId="8" borderId="72" xfId="4" applyNumberFormat="1" applyFont="1" applyFill="1" applyBorder="1" applyAlignment="1" applyProtection="1">
      <alignment horizontal="left" vertical="center"/>
    </xf>
    <xf numFmtId="0" fontId="9" fillId="8" borderId="73" xfId="0" applyNumberFormat="1" applyFont="1" applyFill="1" applyBorder="1" applyAlignment="1" applyProtection="1">
      <alignment horizontal="left" vertical="center" wrapText="1"/>
    </xf>
    <xf numFmtId="0" fontId="35" fillId="8" borderId="70" xfId="4" applyNumberFormat="1" applyFont="1" applyFill="1" applyBorder="1" applyAlignment="1" applyProtection="1">
      <alignment horizontal="left" vertical="center"/>
    </xf>
    <xf numFmtId="0" fontId="9" fillId="8" borderId="71" xfId="0" applyNumberFormat="1" applyFont="1" applyFill="1" applyBorder="1" applyAlignment="1" applyProtection="1">
      <alignment horizontal="left" vertical="center" wrapText="1"/>
    </xf>
    <xf numFmtId="0" fontId="35" fillId="8" borderId="114" xfId="4" applyNumberFormat="1" applyFont="1" applyFill="1" applyBorder="1" applyAlignment="1" applyProtection="1">
      <alignment horizontal="left" vertical="center"/>
    </xf>
    <xf numFmtId="0" fontId="9" fillId="8" borderId="115" xfId="0" applyNumberFormat="1" applyFont="1" applyFill="1" applyBorder="1" applyAlignment="1" applyProtection="1">
      <alignment horizontal="left" vertical="center" wrapText="1"/>
    </xf>
    <xf numFmtId="0" fontId="14" fillId="0" borderId="10" xfId="0" applyFont="1" applyBorder="1" applyAlignment="1" applyProtection="1"/>
    <xf numFmtId="3" fontId="46" fillId="0" borderId="0" xfId="0" applyNumberFormat="1" applyFont="1" applyBorder="1" applyAlignment="1" applyProtection="1">
      <alignment vertical="top"/>
    </xf>
    <xf numFmtId="0" fontId="9" fillId="0" borderId="0" xfId="0" applyFont="1" applyBorder="1" applyAlignment="1" applyProtection="1">
      <alignment horizontal="left" vertical="center"/>
      <protection locked="0"/>
    </xf>
    <xf numFmtId="0" fontId="12" fillId="0" borderId="0" xfId="0" applyFont="1" applyBorder="1" applyAlignment="1" applyProtection="1">
      <alignment horizontal="right" vertical="top"/>
    </xf>
    <xf numFmtId="3" fontId="9" fillId="0" borderId="0" xfId="0" applyNumberFormat="1" applyFont="1" applyBorder="1" applyAlignment="1" applyProtection="1">
      <alignment horizontal="right" vertical="center"/>
    </xf>
    <xf numFmtId="0" fontId="26" fillId="0" borderId="11" xfId="0" applyFont="1" applyFill="1" applyBorder="1" applyAlignment="1" applyProtection="1">
      <alignment horizontal="left" vertical="center"/>
      <protection locked="0"/>
    </xf>
    <xf numFmtId="0" fontId="16" fillId="0" borderId="0" xfId="0" applyFont="1" applyBorder="1" applyAlignment="1" applyProtection="1">
      <alignment horizontal="right" vertical="top"/>
    </xf>
    <xf numFmtId="3" fontId="9" fillId="0" borderId="51" xfId="0" applyNumberFormat="1" applyFont="1" applyBorder="1" applyAlignment="1" applyProtection="1">
      <alignment horizontal="center" vertical="center"/>
    </xf>
    <xf numFmtId="0" fontId="35"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9" fillId="0" borderId="11" xfId="0" applyFont="1" applyFill="1" applyBorder="1" applyAlignment="1" applyProtection="1">
      <alignment horizontal="center" vertical="center"/>
    </xf>
    <xf numFmtId="3" fontId="9" fillId="0" borderId="91" xfId="0" applyNumberFormat="1" applyFont="1" applyFill="1" applyBorder="1" applyAlignment="1" applyProtection="1">
      <alignment horizontal="center" vertical="center"/>
      <protection locked="0"/>
    </xf>
    <xf numFmtId="0" fontId="11" fillId="4" borderId="118" xfId="0" applyFont="1" applyFill="1" applyBorder="1" applyProtection="1">
      <alignment vertical="center"/>
    </xf>
    <xf numFmtId="0" fontId="11" fillId="4" borderId="6" xfId="0" applyFont="1" applyFill="1" applyBorder="1" applyProtection="1">
      <alignment vertical="center"/>
    </xf>
    <xf numFmtId="0" fontId="11" fillId="4" borderId="119" xfId="0" applyFont="1" applyFill="1" applyBorder="1" applyProtection="1">
      <alignment vertical="center"/>
    </xf>
    <xf numFmtId="0" fontId="14" fillId="5" borderId="66" xfId="2" applyFont="1" applyFill="1" applyBorder="1" applyAlignment="1" applyProtection="1">
      <alignment horizontal="center" vertical="center" textRotation="255" wrapText="1"/>
    </xf>
    <xf numFmtId="0" fontId="33" fillId="2" borderId="104" xfId="2" applyFont="1" applyFill="1" applyBorder="1" applyAlignment="1" applyProtection="1">
      <alignment horizontal="center" vertical="center" wrapText="1"/>
    </xf>
    <xf numFmtId="0" fontId="10" fillId="5" borderId="106" xfId="2" applyFont="1" applyFill="1" applyBorder="1" applyAlignment="1" applyProtection="1">
      <alignment horizontal="left" vertical="center" wrapText="1"/>
    </xf>
    <xf numFmtId="0" fontId="9" fillId="0" borderId="2" xfId="0" applyFont="1" applyFill="1" applyBorder="1" applyAlignment="1" applyProtection="1">
      <alignment horizontal="center" vertical="center" wrapText="1"/>
    </xf>
    <xf numFmtId="178" fontId="9" fillId="0" borderId="121" xfId="0" applyNumberFormat="1" applyFont="1" applyBorder="1" applyAlignment="1" applyProtection="1">
      <alignment horizontal="center" vertical="center"/>
      <protection locked="0"/>
    </xf>
    <xf numFmtId="0" fontId="9" fillId="0" borderId="122" xfId="0" applyFont="1" applyBorder="1" applyAlignment="1" applyProtection="1">
      <alignment horizontal="center" vertical="center"/>
      <protection locked="0"/>
    </xf>
    <xf numFmtId="0" fontId="9" fillId="0" borderId="122" xfId="0" applyFont="1" applyBorder="1" applyAlignment="1" applyProtection="1">
      <alignment horizontal="left" vertical="center"/>
      <protection locked="0"/>
    </xf>
    <xf numFmtId="0" fontId="9" fillId="7" borderId="90" xfId="0" applyFont="1" applyFill="1" applyBorder="1" applyAlignment="1" applyProtection="1">
      <alignment horizontal="left" vertical="center"/>
      <protection locked="0"/>
    </xf>
    <xf numFmtId="0" fontId="10" fillId="0" borderId="90" xfId="2" applyFont="1" applyBorder="1" applyAlignment="1" applyProtection="1">
      <alignment horizontal="right" vertical="center"/>
      <protection locked="0"/>
    </xf>
    <xf numFmtId="38" fontId="9" fillId="0" borderId="121" xfId="1" applyFont="1" applyBorder="1" applyAlignment="1" applyProtection="1">
      <alignment horizontal="right" vertical="center"/>
      <protection locked="0"/>
    </xf>
    <xf numFmtId="3" fontId="9" fillId="0" borderId="122" xfId="1" applyNumberFormat="1" applyFont="1" applyBorder="1" applyAlignment="1" applyProtection="1">
      <alignment horizontal="right" vertical="center"/>
      <protection locked="0"/>
    </xf>
    <xf numFmtId="3" fontId="57" fillId="0" borderId="98" xfId="0" applyNumberFormat="1" applyFont="1" applyBorder="1" applyAlignment="1" applyProtection="1">
      <alignment horizontal="right" vertical="center"/>
    </xf>
    <xf numFmtId="0" fontId="44" fillId="5" borderId="1" xfId="0" applyFont="1" applyFill="1" applyBorder="1" applyAlignment="1" applyProtection="1">
      <alignment horizontal="center" vertical="center" wrapText="1"/>
    </xf>
    <xf numFmtId="0" fontId="58" fillId="0" borderId="0" xfId="0" applyFont="1" applyProtection="1">
      <alignment vertical="center"/>
    </xf>
    <xf numFmtId="0" fontId="35" fillId="0" borderId="0" xfId="4" applyFont="1" applyAlignment="1" applyProtection="1">
      <alignment vertical="center"/>
    </xf>
    <xf numFmtId="0" fontId="10" fillId="0" borderId="9" xfId="0" applyFont="1" applyFill="1" applyBorder="1" applyAlignment="1" applyProtection="1">
      <alignment horizontal="center" vertical="center" wrapText="1"/>
    </xf>
    <xf numFmtId="0" fontId="9" fillId="0" borderId="0" xfId="0" applyFont="1" applyFill="1" applyBorder="1" applyProtection="1">
      <alignment vertical="center"/>
    </xf>
    <xf numFmtId="0" fontId="38" fillId="0" borderId="0" xfId="0" applyFont="1" applyFill="1" applyBorder="1" applyAlignment="1" applyProtection="1">
      <alignment horizontal="center" vertical="center"/>
    </xf>
    <xf numFmtId="0" fontId="61" fillId="0" borderId="0" xfId="0" applyFont="1" applyAlignment="1" applyProtection="1">
      <alignment horizontal="center" vertical="center"/>
    </xf>
    <xf numFmtId="3" fontId="62" fillId="0" borderId="120" xfId="0" applyNumberFormat="1" applyFont="1" applyBorder="1" applyProtection="1">
      <alignment vertical="center"/>
    </xf>
    <xf numFmtId="3" fontId="62" fillId="0" borderId="120" xfId="0" applyNumberFormat="1" applyFont="1" applyFill="1" applyBorder="1" applyAlignment="1" applyProtection="1">
      <alignment horizontal="right" vertical="center"/>
    </xf>
    <xf numFmtId="3" fontId="62" fillId="0" borderId="21" xfId="0" applyNumberFormat="1" applyFont="1" applyBorder="1" applyProtection="1">
      <alignment vertical="center"/>
    </xf>
    <xf numFmtId="3" fontId="62" fillId="0" borderId="21" xfId="0" applyNumberFormat="1" applyFont="1" applyFill="1" applyBorder="1" applyAlignment="1" applyProtection="1">
      <alignment horizontal="right" vertical="center"/>
    </xf>
    <xf numFmtId="0" fontId="9" fillId="0" borderId="0" xfId="2" applyFont="1" applyFill="1" applyBorder="1" applyAlignment="1" applyProtection="1">
      <alignment horizontal="left" vertical="center" shrinkToFit="1"/>
    </xf>
    <xf numFmtId="0" fontId="7" fillId="0" borderId="0" xfId="2" applyFont="1" applyFill="1" applyBorder="1" applyAlignment="1" applyProtection="1">
      <alignment horizontal="center" vertical="center" shrinkToFit="1"/>
    </xf>
    <xf numFmtId="0" fontId="7" fillId="0" borderId="122" xfId="2" applyFont="1" applyFill="1" applyBorder="1" applyAlignment="1" applyProtection="1">
      <alignment horizontal="center" vertical="center" shrinkToFit="1"/>
    </xf>
    <xf numFmtId="0" fontId="35" fillId="0" borderId="0" xfId="4" applyFont="1" applyBorder="1" applyAlignment="1" applyProtection="1">
      <alignment horizontal="left" vertical="center"/>
    </xf>
    <xf numFmtId="0" fontId="37" fillId="0" borderId="0" xfId="0" applyFont="1" applyAlignment="1" applyProtection="1">
      <alignment horizontal="left" vertical="center"/>
    </xf>
    <xf numFmtId="0" fontId="11" fillId="4" borderId="45" xfId="0" applyFont="1" applyFill="1" applyBorder="1" applyAlignment="1" applyProtection="1">
      <alignment vertical="center"/>
    </xf>
    <xf numFmtId="0" fontId="0" fillId="0" borderId="46" xfId="0" applyFont="1" applyBorder="1" applyAlignment="1" applyProtection="1">
      <alignment vertical="center"/>
    </xf>
    <xf numFmtId="0" fontId="11" fillId="4" borderId="75" xfId="0" applyFont="1" applyFill="1" applyBorder="1" applyAlignment="1" applyProtection="1">
      <alignment vertical="center"/>
    </xf>
    <xf numFmtId="0" fontId="0" fillId="0" borderId="74" xfId="0" applyFont="1" applyBorder="1" applyAlignment="1" applyProtection="1">
      <alignment vertical="center"/>
    </xf>
    <xf numFmtId="0" fontId="11" fillId="4" borderId="30" xfId="0" applyFont="1" applyFill="1" applyBorder="1" applyAlignment="1" applyProtection="1">
      <alignment horizontal="left" vertical="center"/>
    </xf>
    <xf numFmtId="0" fontId="0" fillId="0" borderId="13" xfId="0" applyFont="1" applyBorder="1" applyAlignment="1" applyProtection="1">
      <alignment horizontal="left" vertical="center"/>
    </xf>
    <xf numFmtId="0" fontId="11" fillId="4" borderId="7" xfId="4" applyFont="1" applyFill="1" applyBorder="1" applyAlignment="1" applyProtection="1">
      <alignment horizontal="left" vertical="center"/>
    </xf>
    <xf numFmtId="0" fontId="48" fillId="4" borderId="31" xfId="4" applyFont="1" applyFill="1" applyBorder="1" applyAlignment="1" applyProtection="1">
      <alignment horizontal="left" vertical="center"/>
    </xf>
    <xf numFmtId="0" fontId="11" fillId="4" borderId="7" xfId="0" applyFont="1" applyFill="1" applyBorder="1" applyAlignment="1" applyProtection="1">
      <alignment vertical="center"/>
    </xf>
    <xf numFmtId="0" fontId="0" fillId="0" borderId="17" xfId="0" applyFont="1" applyBorder="1" applyAlignment="1" applyProtection="1">
      <alignment vertical="center"/>
    </xf>
    <xf numFmtId="0" fontId="11" fillId="4" borderId="30" xfId="0" applyFont="1" applyFill="1" applyBorder="1" applyAlignment="1" applyProtection="1">
      <alignment vertical="center"/>
    </xf>
    <xf numFmtId="0" fontId="0" fillId="0" borderId="32" xfId="0" applyFont="1" applyBorder="1" applyAlignment="1" applyProtection="1">
      <alignment vertical="center"/>
    </xf>
    <xf numFmtId="0" fontId="11" fillId="4" borderId="52" xfId="0" applyFont="1" applyFill="1" applyBorder="1" applyAlignment="1" applyProtection="1">
      <alignment vertical="center"/>
    </xf>
    <xf numFmtId="0" fontId="0" fillId="0" borderId="89" xfId="0" applyFont="1" applyBorder="1" applyAlignment="1" applyProtection="1">
      <alignment vertical="center"/>
    </xf>
    <xf numFmtId="0" fontId="14" fillId="0" borderId="17" xfId="2"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xf>
    <xf numFmtId="0" fontId="55" fillId="0" borderId="98" xfId="0" applyFont="1" applyBorder="1" applyAlignment="1" applyProtection="1">
      <alignment horizontal="right" vertical="center"/>
    </xf>
    <xf numFmtId="0" fontId="0" fillId="0" borderId="0" xfId="0" applyAlignment="1" applyProtection="1">
      <alignment horizontal="center" vertical="center"/>
    </xf>
    <xf numFmtId="0" fontId="0" fillId="0" borderId="0" xfId="0" applyBorder="1" applyAlignment="1" applyProtection="1">
      <alignment horizontal="center" vertical="center"/>
    </xf>
    <xf numFmtId="0" fontId="14" fillId="0" borderId="10" xfId="0" applyFont="1" applyBorder="1" applyAlignment="1" applyProtection="1">
      <alignment horizontal="left"/>
    </xf>
    <xf numFmtId="3" fontId="9" fillId="0" borderId="45" xfId="0" applyNumberFormat="1" applyFont="1" applyBorder="1" applyAlignment="1" applyProtection="1">
      <alignment vertical="center"/>
      <protection locked="0"/>
    </xf>
    <xf numFmtId="3" fontId="9" fillId="0" borderId="44" xfId="0" applyNumberFormat="1" applyFont="1" applyBorder="1" applyAlignment="1" applyProtection="1">
      <alignment vertical="center"/>
      <protection locked="0"/>
    </xf>
    <xf numFmtId="3" fontId="9" fillId="0" borderId="46" xfId="0" applyNumberFormat="1" applyFont="1" applyBorder="1" applyAlignment="1" applyProtection="1">
      <alignment vertical="center"/>
      <protection locked="0"/>
    </xf>
    <xf numFmtId="0" fontId="17" fillId="0" borderId="47" xfId="0" applyFont="1" applyBorder="1" applyAlignment="1" applyProtection="1">
      <alignment horizontal="left" vertical="center"/>
    </xf>
    <xf numFmtId="0" fontId="17" fillId="0" borderId="48" xfId="0" applyFont="1" applyBorder="1" applyAlignment="1" applyProtection="1">
      <alignment horizontal="left" vertical="center"/>
    </xf>
    <xf numFmtId="3" fontId="9" fillId="0" borderId="57" xfId="0" applyNumberFormat="1" applyFont="1" applyBorder="1" applyAlignment="1" applyProtection="1">
      <alignment vertical="center"/>
      <protection locked="0"/>
    </xf>
    <xf numFmtId="3" fontId="9" fillId="0" borderId="58" xfId="0" applyNumberFormat="1" applyFont="1" applyBorder="1" applyAlignment="1" applyProtection="1">
      <alignment vertical="center"/>
      <protection locked="0"/>
    </xf>
    <xf numFmtId="3" fontId="9" fillId="0" borderId="59" xfId="0" applyNumberFormat="1" applyFont="1" applyBorder="1" applyAlignment="1" applyProtection="1">
      <alignment vertical="center"/>
      <protection locked="0"/>
    </xf>
    <xf numFmtId="0" fontId="46" fillId="0" borderId="0" xfId="0" applyFont="1" applyFill="1" applyBorder="1" applyAlignment="1" applyProtection="1">
      <alignment horizontal="left" vertical="top" wrapText="1"/>
    </xf>
    <xf numFmtId="0" fontId="17" fillId="0" borderId="45" xfId="0" applyFont="1" applyBorder="1" applyAlignment="1" applyProtection="1">
      <alignment horizontal="left" vertical="center"/>
    </xf>
    <xf numFmtId="0" fontId="17" fillId="0" borderId="44" xfId="0" applyFont="1" applyBorder="1" applyAlignment="1" applyProtection="1">
      <alignment horizontal="left" vertical="center"/>
    </xf>
    <xf numFmtId="0" fontId="17" fillId="0" borderId="46" xfId="0" applyFont="1" applyBorder="1" applyAlignment="1" applyProtection="1">
      <alignment horizontal="left" vertical="center"/>
    </xf>
    <xf numFmtId="0" fontId="16" fillId="0" borderId="13" xfId="0" applyFont="1" applyBorder="1" applyAlignment="1" applyProtection="1">
      <alignment horizontal="right" vertical="top"/>
    </xf>
    <xf numFmtId="0" fontId="10" fillId="0" borderId="60" xfId="0" applyFont="1" applyBorder="1" applyAlignment="1" applyProtection="1">
      <alignment horizontal="left" vertical="center"/>
    </xf>
    <xf numFmtId="0" fontId="10" fillId="0" borderId="51" xfId="0" applyFont="1" applyBorder="1" applyAlignment="1" applyProtection="1">
      <alignment horizontal="left" vertical="center"/>
    </xf>
    <xf numFmtId="3" fontId="9" fillId="0" borderId="60" xfId="0" applyNumberFormat="1" applyFont="1" applyBorder="1" applyAlignment="1" applyProtection="1">
      <alignment horizontal="right" vertical="center"/>
    </xf>
    <xf numFmtId="3" fontId="9" fillId="0" borderId="51" xfId="0" applyNumberFormat="1" applyFont="1" applyBorder="1" applyAlignment="1" applyProtection="1">
      <alignment horizontal="right" vertical="center"/>
    </xf>
    <xf numFmtId="3" fontId="9" fillId="0" borderId="61" xfId="0" applyNumberFormat="1" applyFont="1" applyBorder="1" applyAlignment="1" applyProtection="1">
      <alignment horizontal="right" vertical="center"/>
    </xf>
    <xf numFmtId="0" fontId="11" fillId="0" borderId="91" xfId="0" applyFont="1" applyBorder="1" applyAlignment="1" applyProtection="1">
      <alignment horizontal="center" vertical="center"/>
    </xf>
    <xf numFmtId="0" fontId="11" fillId="0" borderId="108" xfId="0" applyFont="1" applyBorder="1" applyAlignment="1" applyProtection="1">
      <alignment horizontal="center" vertical="center"/>
    </xf>
    <xf numFmtId="0" fontId="11" fillId="0" borderId="117" xfId="0" applyFont="1" applyBorder="1" applyAlignment="1" applyProtection="1">
      <alignment horizontal="center" vertical="center"/>
    </xf>
    <xf numFmtId="3" fontId="9" fillId="0" borderId="45" xfId="0" applyNumberFormat="1" applyFont="1" applyBorder="1" applyAlignment="1" applyProtection="1">
      <alignment horizontal="right" vertical="center"/>
    </xf>
    <xf numFmtId="3" fontId="9" fillId="0" borderId="44" xfId="0" applyNumberFormat="1" applyFont="1" applyBorder="1" applyAlignment="1" applyProtection="1">
      <alignment horizontal="right" vertical="center"/>
    </xf>
    <xf numFmtId="3" fontId="9" fillId="0" borderId="46" xfId="0" applyNumberFormat="1" applyFont="1" applyBorder="1" applyAlignment="1" applyProtection="1">
      <alignment horizontal="right" vertical="center"/>
    </xf>
    <xf numFmtId="0" fontId="17" fillId="0" borderId="45" xfId="0" applyFont="1" applyBorder="1" applyAlignment="1" applyProtection="1">
      <alignment horizontal="left" vertical="center" wrapText="1"/>
    </xf>
    <xf numFmtId="0" fontId="11" fillId="0" borderId="30"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0" xfId="0" applyFont="1" applyBorder="1" applyAlignment="1" applyProtection="1">
      <alignment horizontal="center" vertical="center" wrapText="1"/>
    </xf>
    <xf numFmtId="0" fontId="11" fillId="0" borderId="32" xfId="0" applyFont="1" applyBorder="1" applyAlignment="1" applyProtection="1">
      <alignment horizontal="center" vertical="center"/>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12" fillId="0" borderId="62"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6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30"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63" xfId="0" applyFont="1" applyBorder="1" applyAlignment="1" applyProtection="1">
      <alignment horizontal="center" vertical="center" wrapText="1"/>
    </xf>
    <xf numFmtId="0" fontId="12" fillId="0" borderId="64" xfId="0" applyFont="1" applyBorder="1" applyAlignment="1" applyProtection="1">
      <alignment horizontal="center" vertical="center" wrapText="1"/>
    </xf>
    <xf numFmtId="0" fontId="12" fillId="0" borderId="5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0" fillId="0" borderId="100" xfId="0" applyFont="1" applyBorder="1" applyAlignment="1" applyProtection="1">
      <alignment horizontal="left" vertical="center" wrapText="1"/>
    </xf>
    <xf numFmtId="0" fontId="18" fillId="0" borderId="101" xfId="0" applyFont="1" applyBorder="1" applyAlignment="1" applyProtection="1">
      <alignment horizontal="left" vertical="center"/>
    </xf>
    <xf numFmtId="3" fontId="9" fillId="0" borderId="100" xfId="0" applyNumberFormat="1" applyFont="1" applyBorder="1" applyAlignment="1" applyProtection="1">
      <alignment horizontal="right" vertical="center"/>
      <protection locked="0"/>
    </xf>
    <xf numFmtId="3" fontId="9" fillId="0" borderId="101" xfId="0" applyNumberFormat="1" applyFont="1" applyBorder="1" applyAlignment="1" applyProtection="1">
      <alignment horizontal="right" vertical="center"/>
      <protection locked="0"/>
    </xf>
    <xf numFmtId="3" fontId="9" fillId="0" borderId="102" xfId="0" applyNumberFormat="1" applyFont="1" applyBorder="1" applyAlignment="1" applyProtection="1">
      <alignment horizontal="right" vertical="center"/>
      <protection locked="0"/>
    </xf>
    <xf numFmtId="3" fontId="9" fillId="0" borderId="100" xfId="0" applyNumberFormat="1" applyFont="1" applyBorder="1" applyAlignment="1" applyProtection="1">
      <alignment horizontal="right" vertical="center"/>
    </xf>
    <xf numFmtId="3" fontId="9" fillId="0" borderId="101" xfId="0" applyNumberFormat="1" applyFont="1" applyBorder="1" applyAlignment="1" applyProtection="1">
      <alignment horizontal="right" vertical="center"/>
    </xf>
    <xf numFmtId="3" fontId="9" fillId="0" borderId="102" xfId="0" applyNumberFormat="1" applyFont="1" applyBorder="1" applyAlignment="1" applyProtection="1">
      <alignment horizontal="right" vertical="center"/>
    </xf>
    <xf numFmtId="0" fontId="12" fillId="0" borderId="0" xfId="0" applyFont="1" applyBorder="1" applyAlignment="1" applyProtection="1">
      <alignment horizontal="right" vertical="top"/>
    </xf>
    <xf numFmtId="0" fontId="17" fillId="0" borderId="52" xfId="0" applyFont="1" applyBorder="1" applyAlignment="1" applyProtection="1">
      <alignment horizontal="left" vertical="center"/>
    </xf>
    <xf numFmtId="0" fontId="17" fillId="0" borderId="53" xfId="0" applyFont="1" applyBorder="1" applyAlignment="1" applyProtection="1">
      <alignment horizontal="left" vertical="center"/>
    </xf>
    <xf numFmtId="3" fontId="9" fillId="0" borderId="8" xfId="0" applyNumberFormat="1" applyFont="1" applyBorder="1" applyAlignment="1" applyProtection="1">
      <alignment vertical="center"/>
      <protection locked="0"/>
    </xf>
    <xf numFmtId="3" fontId="9" fillId="0" borderId="0" xfId="0" applyNumberFormat="1" applyFont="1" applyBorder="1" applyAlignment="1" applyProtection="1">
      <alignment vertical="center"/>
      <protection locked="0"/>
    </xf>
    <xf numFmtId="3" fontId="9" fillId="0" borderId="38" xfId="0" applyNumberFormat="1" applyFont="1" applyBorder="1" applyAlignment="1" applyProtection="1">
      <alignment vertical="center"/>
      <protection locked="0"/>
    </xf>
    <xf numFmtId="3" fontId="9" fillId="0" borderId="110" xfId="0" applyNumberFormat="1" applyFont="1" applyBorder="1" applyAlignment="1" applyProtection="1">
      <alignment horizontal="center" vertical="center"/>
    </xf>
    <xf numFmtId="3" fontId="9" fillId="0" borderId="109" xfId="0" applyNumberFormat="1" applyFont="1" applyBorder="1" applyAlignment="1" applyProtection="1">
      <alignment horizontal="center" vertical="center"/>
    </xf>
    <xf numFmtId="0" fontId="17" fillId="0" borderId="49" xfId="0" applyFont="1" applyBorder="1" applyAlignment="1" applyProtection="1">
      <alignment horizontal="left" vertical="center"/>
    </xf>
    <xf numFmtId="3" fontId="26" fillId="0" borderId="45" xfId="0" applyNumberFormat="1" applyFont="1" applyBorder="1" applyAlignment="1" applyProtection="1">
      <alignment horizontal="right" vertical="center"/>
      <protection locked="0"/>
    </xf>
    <xf numFmtId="3" fontId="26" fillId="0" borderId="44" xfId="0" applyNumberFormat="1" applyFont="1" applyBorder="1" applyAlignment="1" applyProtection="1">
      <alignment horizontal="right" vertical="center"/>
      <protection locked="0"/>
    </xf>
    <xf numFmtId="3" fontId="26" fillId="0" borderId="46" xfId="0" applyNumberFormat="1" applyFont="1" applyBorder="1" applyAlignment="1" applyProtection="1">
      <alignment horizontal="right" vertical="center"/>
      <protection locked="0"/>
    </xf>
    <xf numFmtId="0" fontId="10" fillId="0" borderId="97" xfId="0" applyFont="1" applyBorder="1" applyAlignment="1" applyProtection="1">
      <alignment horizontal="left" vertical="center"/>
    </xf>
    <xf numFmtId="0" fontId="10" fillId="0" borderId="98" xfId="0" applyFont="1" applyBorder="1" applyAlignment="1" applyProtection="1">
      <alignment horizontal="left" vertical="center"/>
    </xf>
    <xf numFmtId="3" fontId="9" fillId="0" borderId="97" xfId="0" applyNumberFormat="1" applyFont="1" applyBorder="1" applyAlignment="1" applyProtection="1">
      <alignment horizontal="right" vertical="center"/>
    </xf>
    <xf numFmtId="3" fontId="9" fillId="0" borderId="98" xfId="0" applyNumberFormat="1" applyFont="1" applyBorder="1" applyAlignment="1" applyProtection="1">
      <alignment horizontal="right" vertical="center"/>
    </xf>
    <xf numFmtId="3" fontId="9" fillId="0" borderId="99" xfId="0" applyNumberFormat="1" applyFont="1" applyBorder="1" applyAlignment="1" applyProtection="1">
      <alignment horizontal="right" vertical="center"/>
    </xf>
    <xf numFmtId="0" fontId="17" fillId="0" borderId="96" xfId="0" applyFont="1" applyBorder="1" applyAlignment="1" applyProtection="1">
      <alignment horizontal="left" vertical="center"/>
    </xf>
    <xf numFmtId="3" fontId="26" fillId="0" borderId="47" xfId="0" applyNumberFormat="1" applyFont="1" applyBorder="1" applyAlignment="1" applyProtection="1">
      <alignment horizontal="right" vertical="center"/>
      <protection locked="0"/>
    </xf>
    <xf numFmtId="3" fontId="26" fillId="0" borderId="48" xfId="0" applyNumberFormat="1" applyFont="1" applyBorder="1" applyAlignment="1" applyProtection="1">
      <alignment horizontal="right" vertical="center"/>
      <protection locked="0"/>
    </xf>
    <xf numFmtId="3" fontId="26" fillId="0" borderId="96" xfId="0" applyNumberFormat="1" applyFont="1" applyBorder="1" applyAlignment="1" applyProtection="1">
      <alignment horizontal="right" vertical="center"/>
      <protection locked="0"/>
    </xf>
    <xf numFmtId="0" fontId="11" fillId="0" borderId="91" xfId="0" applyFont="1" applyBorder="1" applyAlignment="1" applyProtection="1">
      <alignment horizontal="center" vertical="center" wrapText="1"/>
    </xf>
    <xf numFmtId="0" fontId="11" fillId="0" borderId="108" xfId="0" applyFont="1" applyBorder="1" applyAlignment="1" applyProtection="1">
      <alignment horizontal="center" vertical="center" wrapText="1"/>
    </xf>
    <xf numFmtId="0" fontId="11" fillId="0" borderId="109" xfId="0" applyFont="1" applyBorder="1" applyAlignment="1" applyProtection="1">
      <alignment horizontal="center" vertical="center" wrapText="1"/>
    </xf>
    <xf numFmtId="0" fontId="17" fillId="0" borderId="43" xfId="0" applyFont="1" applyBorder="1" applyAlignment="1" applyProtection="1">
      <alignment horizontal="left" vertical="center"/>
    </xf>
    <xf numFmtId="179" fontId="10" fillId="0" borderId="44" xfId="5" applyNumberFormat="1" applyFont="1" applyBorder="1" applyAlignment="1" applyProtection="1">
      <alignment horizontal="left" vertical="center"/>
    </xf>
    <xf numFmtId="179" fontId="10" fillId="0" borderId="46" xfId="5" applyNumberFormat="1"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0" xfId="0" applyFont="1" applyBorder="1" applyAlignment="1" applyProtection="1">
      <alignment horizontal="left" vertical="center"/>
    </xf>
    <xf numFmtId="0" fontId="16" fillId="0" borderId="29" xfId="0" applyFont="1" applyBorder="1" applyAlignment="1" applyProtection="1">
      <alignment horizontal="left" vertical="center"/>
    </xf>
    <xf numFmtId="0" fontId="17" fillId="0" borderId="27" xfId="0" applyFont="1" applyBorder="1" applyAlignment="1" applyProtection="1">
      <alignment horizontal="left" vertical="center"/>
    </xf>
    <xf numFmtId="0" fontId="17" fillId="0" borderId="0" xfId="0" applyFont="1" applyBorder="1" applyAlignment="1" applyProtection="1">
      <alignment horizontal="left" vertical="center"/>
    </xf>
    <xf numFmtId="0" fontId="11" fillId="0" borderId="8" xfId="0"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29" xfId="0" applyFont="1" applyBorder="1" applyAlignment="1" applyProtection="1">
      <alignment horizontal="left" vertical="center"/>
    </xf>
    <xf numFmtId="0" fontId="17" fillId="0" borderId="39" xfId="0" applyFont="1" applyBorder="1" applyAlignment="1" applyProtection="1">
      <alignment horizontal="left" vertical="center"/>
    </xf>
    <xf numFmtId="0" fontId="17" fillId="0" borderId="40" xfId="0" applyFont="1" applyBorder="1" applyAlignment="1" applyProtection="1">
      <alignment horizontal="left" vertical="center"/>
    </xf>
    <xf numFmtId="3" fontId="26" fillId="0" borderId="41" xfId="0" applyNumberFormat="1" applyFont="1" applyBorder="1" applyAlignment="1" applyProtection="1">
      <alignment horizontal="right" vertical="center"/>
      <protection locked="0"/>
    </xf>
    <xf numFmtId="3" fontId="26" fillId="0" borderId="40" xfId="0" applyNumberFormat="1" applyFont="1" applyBorder="1" applyAlignment="1" applyProtection="1">
      <alignment horizontal="right" vertical="center"/>
      <protection locked="0"/>
    </xf>
    <xf numFmtId="3" fontId="26" fillId="0" borderId="42" xfId="0" applyNumberFormat="1" applyFont="1" applyBorder="1" applyAlignment="1" applyProtection="1">
      <alignment horizontal="right" vertical="center"/>
      <protection locked="0"/>
    </xf>
    <xf numFmtId="3" fontId="9" fillId="0" borderId="41" xfId="0" applyNumberFormat="1" applyFont="1" applyBorder="1" applyAlignment="1" applyProtection="1">
      <alignment horizontal="right" vertical="center"/>
    </xf>
    <xf numFmtId="3" fontId="9" fillId="0" borderId="40" xfId="0" applyNumberFormat="1" applyFont="1" applyBorder="1" applyAlignment="1" applyProtection="1">
      <alignment horizontal="right" vertical="center"/>
    </xf>
    <xf numFmtId="3" fontId="9" fillId="0" borderId="42" xfId="0" applyNumberFormat="1" applyFont="1" applyBorder="1" applyAlignment="1" applyProtection="1">
      <alignment horizontal="right" vertical="center"/>
    </xf>
    <xf numFmtId="0" fontId="35" fillId="0" borderId="0" xfId="4" applyFont="1" applyAlignment="1" applyProtection="1">
      <alignment horizontal="left" vertical="center"/>
    </xf>
    <xf numFmtId="0" fontId="11" fillId="0" borderId="25" xfId="0" applyFont="1" applyBorder="1" applyAlignment="1" applyProtection="1">
      <alignment horizontal="center" vertical="center"/>
    </xf>
    <xf numFmtId="0" fontId="11" fillId="0" borderId="25" xfId="0" applyFont="1" applyBorder="1" applyAlignment="1" applyProtection="1">
      <alignment horizontal="left" vertical="center"/>
    </xf>
    <xf numFmtId="0" fontId="37" fillId="0" borderId="0" xfId="0" applyFont="1" applyAlignment="1" applyProtection="1">
      <alignment horizontal="center" vertical="center"/>
    </xf>
    <xf numFmtId="3" fontId="9" fillId="0" borderId="37" xfId="0" applyNumberFormat="1" applyFont="1" applyBorder="1" applyAlignment="1" applyProtection="1">
      <alignment horizontal="right" vertical="center"/>
    </xf>
    <xf numFmtId="3" fontId="9" fillId="0" borderId="19" xfId="0" applyNumberFormat="1" applyFont="1" applyBorder="1" applyAlignment="1" applyProtection="1">
      <alignment horizontal="right" vertical="center"/>
    </xf>
    <xf numFmtId="3" fontId="9" fillId="0" borderId="16" xfId="0" applyNumberFormat="1" applyFont="1" applyBorder="1" applyAlignment="1" applyProtection="1">
      <alignment horizontal="right" vertical="center"/>
    </xf>
    <xf numFmtId="0" fontId="17" fillId="0" borderId="19" xfId="0" applyFont="1" applyBorder="1" applyAlignment="1" applyProtection="1">
      <alignment horizontal="right" vertical="center"/>
    </xf>
    <xf numFmtId="3" fontId="26" fillId="0" borderId="37" xfId="0" applyNumberFormat="1" applyFont="1" applyBorder="1" applyAlignment="1" applyProtection="1">
      <alignment horizontal="right" vertical="center"/>
    </xf>
    <xf numFmtId="3" fontId="26" fillId="0" borderId="19" xfId="0" applyNumberFormat="1" applyFont="1" applyBorder="1" applyAlignment="1" applyProtection="1">
      <alignment horizontal="right" vertical="center"/>
    </xf>
    <xf numFmtId="3" fontId="26" fillId="0" borderId="16" xfId="0" applyNumberFormat="1" applyFont="1" applyBorder="1" applyAlignment="1" applyProtection="1">
      <alignment horizontal="right" vertical="center"/>
    </xf>
    <xf numFmtId="0" fontId="11" fillId="0" borderId="37" xfId="0" applyFont="1" applyBorder="1" applyAlignment="1" applyProtection="1">
      <alignment horizontal="left" vertical="center"/>
    </xf>
    <xf numFmtId="0" fontId="11" fillId="0" borderId="19" xfId="0" applyFont="1" applyBorder="1" applyAlignment="1" applyProtection="1">
      <alignment horizontal="left" vertical="center"/>
    </xf>
    <xf numFmtId="3" fontId="26" fillId="0" borderId="34" xfId="0" applyNumberFormat="1" applyFont="1" applyBorder="1" applyAlignment="1" applyProtection="1">
      <alignment horizontal="right" vertical="center"/>
      <protection locked="0"/>
    </xf>
    <xf numFmtId="3" fontId="26" fillId="0" borderId="35" xfId="0" applyNumberFormat="1" applyFont="1" applyBorder="1" applyAlignment="1" applyProtection="1">
      <alignment horizontal="right" vertical="center"/>
      <protection locked="0"/>
    </xf>
    <xf numFmtId="3" fontId="26" fillId="0" borderId="36" xfId="0" applyNumberFormat="1" applyFont="1" applyBorder="1" applyAlignment="1" applyProtection="1">
      <alignment horizontal="right" vertical="center"/>
      <protection locked="0"/>
    </xf>
    <xf numFmtId="3" fontId="9" fillId="0" borderId="34" xfId="0" applyNumberFormat="1" applyFont="1" applyBorder="1" applyAlignment="1" applyProtection="1">
      <alignment horizontal="right" vertical="center"/>
    </xf>
    <xf numFmtId="3" fontId="9" fillId="0" borderId="35" xfId="0" applyNumberFormat="1" applyFont="1" applyBorder="1" applyAlignment="1" applyProtection="1">
      <alignment horizontal="right" vertical="center"/>
    </xf>
    <xf numFmtId="3" fontId="9" fillId="0" borderId="36" xfId="0" applyNumberFormat="1" applyFont="1" applyBorder="1" applyAlignment="1" applyProtection="1">
      <alignment horizontal="right" vertical="center"/>
    </xf>
    <xf numFmtId="3" fontId="26" fillId="0" borderId="67" xfId="0" applyNumberFormat="1" applyFont="1" applyBorder="1" applyAlignment="1" applyProtection="1">
      <alignment horizontal="right" vertical="center"/>
      <protection locked="0"/>
    </xf>
    <xf numFmtId="3" fontId="26" fillId="0" borderId="25" xfId="0" applyNumberFormat="1" applyFont="1" applyBorder="1" applyAlignment="1" applyProtection="1">
      <alignment horizontal="right" vertical="center"/>
      <protection locked="0"/>
    </xf>
    <xf numFmtId="3" fontId="26" fillId="0" borderId="15" xfId="0" applyNumberFormat="1" applyFont="1" applyBorder="1" applyAlignment="1" applyProtection="1">
      <alignment horizontal="right" vertical="center"/>
      <protection locked="0"/>
    </xf>
    <xf numFmtId="0" fontId="11" fillId="5" borderId="60" xfId="0" applyFont="1" applyFill="1" applyBorder="1" applyAlignment="1" applyProtection="1">
      <alignment horizontal="center" vertical="center"/>
    </xf>
    <xf numFmtId="0" fontId="11" fillId="5" borderId="51" xfId="0" applyFont="1" applyFill="1" applyBorder="1" applyAlignment="1" applyProtection="1">
      <alignment horizontal="center" vertical="center"/>
    </xf>
    <xf numFmtId="0" fontId="11" fillId="3" borderId="95" xfId="0" applyFont="1" applyFill="1" applyBorder="1" applyAlignment="1" applyProtection="1">
      <alignment horizontal="right" vertical="center"/>
    </xf>
    <xf numFmtId="49" fontId="11" fillId="3" borderId="93" xfId="0" applyNumberFormat="1" applyFont="1" applyFill="1" applyBorder="1" applyAlignment="1" applyProtection="1">
      <alignment horizontal="right" vertical="center"/>
    </xf>
    <xf numFmtId="0" fontId="32" fillId="3" borderId="125" xfId="0" applyFont="1" applyFill="1" applyBorder="1" applyAlignment="1" applyProtection="1">
      <alignment horizontal="right" vertical="center"/>
    </xf>
    <xf numFmtId="0" fontId="32" fillId="3" borderId="124" xfId="0" applyFont="1" applyFill="1" applyBorder="1" applyAlignment="1" applyProtection="1">
      <alignment horizontal="right" vertical="center"/>
    </xf>
    <xf numFmtId="0" fontId="44" fillId="5" borderId="2" xfId="0" applyFont="1" applyFill="1" applyBorder="1" applyAlignment="1" applyProtection="1">
      <alignment horizontal="center" vertical="center"/>
    </xf>
    <xf numFmtId="0" fontId="44" fillId="0" borderId="2" xfId="0" applyFont="1" applyBorder="1" applyAlignment="1" applyProtection="1">
      <alignment horizontal="center" vertical="center"/>
    </xf>
    <xf numFmtId="0" fontId="44" fillId="0" borderId="3" xfId="0" applyFont="1" applyBorder="1" applyAlignment="1" applyProtection="1">
      <alignment horizontal="center" vertical="center"/>
    </xf>
    <xf numFmtId="0" fontId="0" fillId="5" borderId="0" xfId="0" applyFill="1" applyAlignment="1" applyProtection="1">
      <alignment horizontal="center" vertical="center"/>
    </xf>
    <xf numFmtId="0" fontId="14" fillId="0" borderId="0" xfId="0" applyFont="1" applyBorder="1" applyAlignment="1" applyProtection="1">
      <alignment horizontal="center" vertical="center"/>
    </xf>
    <xf numFmtId="0" fontId="11" fillId="0" borderId="13" xfId="0" applyFont="1" applyBorder="1" applyAlignment="1" applyProtection="1">
      <alignment horizontal="center" vertical="center" wrapText="1"/>
    </xf>
    <xf numFmtId="0" fontId="11" fillId="0" borderId="32" xfId="0" applyFont="1" applyBorder="1" applyAlignment="1" applyProtection="1">
      <alignment horizontal="center" vertical="center" wrapText="1"/>
    </xf>
    <xf numFmtId="0" fontId="11" fillId="0" borderId="3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3" fontId="9" fillId="0" borderId="34" xfId="0" applyNumberFormat="1" applyFont="1" applyBorder="1" applyAlignment="1" applyProtection="1">
      <alignment horizontal="right" vertical="center"/>
      <protection locked="0"/>
    </xf>
    <xf numFmtId="3" fontId="9" fillId="0" borderId="35" xfId="0" applyNumberFormat="1" applyFont="1" applyBorder="1" applyAlignment="1" applyProtection="1">
      <alignment horizontal="right" vertical="center"/>
      <protection locked="0"/>
    </xf>
    <xf numFmtId="3" fontId="9" fillId="0" borderId="36" xfId="0" applyNumberFormat="1" applyFont="1" applyBorder="1" applyAlignment="1" applyProtection="1">
      <alignment horizontal="right" vertical="center"/>
      <protection locked="0"/>
    </xf>
    <xf numFmtId="3" fontId="26" fillId="0" borderId="37" xfId="0" applyNumberFormat="1" applyFont="1" applyBorder="1" applyAlignment="1" applyProtection="1">
      <alignment horizontal="right" vertical="center"/>
      <protection locked="0"/>
    </xf>
    <xf numFmtId="3" fontId="26" fillId="0" borderId="19" xfId="0" applyNumberFormat="1" applyFont="1" applyBorder="1" applyAlignment="1" applyProtection="1">
      <alignment horizontal="right" vertical="center"/>
      <protection locked="0"/>
    </xf>
    <xf numFmtId="3" fontId="26" fillId="0" borderId="16" xfId="0" applyNumberFormat="1" applyFont="1" applyBorder="1" applyAlignment="1" applyProtection="1">
      <alignment horizontal="right" vertical="center"/>
      <protection locked="0"/>
    </xf>
    <xf numFmtId="3" fontId="9" fillId="0" borderId="37" xfId="0" applyNumberFormat="1" applyFont="1" applyBorder="1" applyAlignment="1" applyProtection="1">
      <alignment horizontal="right" vertical="center"/>
      <protection locked="0"/>
    </xf>
    <xf numFmtId="3" fontId="9" fillId="0" borderId="19" xfId="0" applyNumberFormat="1" applyFont="1" applyBorder="1" applyAlignment="1" applyProtection="1">
      <alignment horizontal="right" vertical="center"/>
      <protection locked="0"/>
    </xf>
    <xf numFmtId="3" fontId="9" fillId="0" borderId="16" xfId="0" applyNumberFormat="1" applyFont="1" applyBorder="1" applyAlignment="1" applyProtection="1">
      <alignment horizontal="right" vertical="center"/>
      <protection locked="0"/>
    </xf>
    <xf numFmtId="3" fontId="9" fillId="0" borderId="41" xfId="0" applyNumberFormat="1" applyFont="1" applyBorder="1" applyAlignment="1" applyProtection="1">
      <alignment horizontal="right" vertical="center"/>
      <protection locked="0"/>
    </xf>
    <xf numFmtId="3" fontId="9" fillId="0" borderId="40" xfId="0" applyNumberFormat="1" applyFont="1" applyBorder="1" applyAlignment="1" applyProtection="1">
      <alignment horizontal="right" vertical="center"/>
      <protection locked="0"/>
    </xf>
    <xf numFmtId="3" fontId="9" fillId="0" borderId="42" xfId="0" applyNumberFormat="1" applyFont="1" applyBorder="1" applyAlignment="1" applyProtection="1">
      <alignment horizontal="right" vertical="center"/>
      <protection locked="0"/>
    </xf>
    <xf numFmtId="3" fontId="9" fillId="0" borderId="45" xfId="0" applyNumberFormat="1" applyFont="1" applyBorder="1" applyAlignment="1" applyProtection="1">
      <alignment horizontal="right" vertical="center"/>
      <protection locked="0"/>
    </xf>
    <xf numFmtId="3" fontId="9" fillId="0" borderId="44" xfId="0" applyNumberFormat="1" applyFont="1" applyBorder="1" applyAlignment="1" applyProtection="1">
      <alignment horizontal="right" vertical="center"/>
      <protection locked="0"/>
    </xf>
    <xf numFmtId="3" fontId="9" fillId="0" borderId="46" xfId="0" applyNumberFormat="1" applyFont="1" applyBorder="1" applyAlignment="1" applyProtection="1">
      <alignment horizontal="right" vertical="center"/>
      <protection locked="0"/>
    </xf>
    <xf numFmtId="179" fontId="7" fillId="0" borderId="44" xfId="5" applyNumberFormat="1" applyFont="1" applyBorder="1" applyAlignment="1" applyProtection="1">
      <alignment horizontal="left" vertical="center"/>
    </xf>
    <xf numFmtId="179" fontId="7" fillId="0" borderId="46" xfId="5" applyNumberFormat="1" applyFont="1" applyBorder="1" applyAlignment="1" applyProtection="1">
      <alignment horizontal="left" vertical="center"/>
    </xf>
    <xf numFmtId="3" fontId="9" fillId="0" borderId="111" xfId="0" applyNumberFormat="1" applyFont="1" applyBorder="1" applyAlignment="1" applyProtection="1">
      <alignment horizontal="right" vertical="center"/>
    </xf>
    <xf numFmtId="3" fontId="9" fillId="0" borderId="112" xfId="0" applyNumberFormat="1" applyFont="1" applyBorder="1" applyAlignment="1" applyProtection="1">
      <alignment horizontal="right" vertical="center"/>
    </xf>
    <xf numFmtId="3" fontId="9" fillId="0" borderId="113" xfId="0" applyNumberFormat="1" applyFont="1" applyBorder="1" applyAlignment="1" applyProtection="1">
      <alignment horizontal="right" vertical="center"/>
    </xf>
    <xf numFmtId="0" fontId="59" fillId="0" borderId="0" xfId="0" applyFont="1" applyBorder="1" applyAlignment="1" applyProtection="1">
      <alignment horizontal="center" vertical="center"/>
    </xf>
    <xf numFmtId="0" fontId="59" fillId="0" borderId="10" xfId="0" applyFont="1" applyBorder="1" applyAlignment="1" applyProtection="1">
      <alignment horizontal="center" vertical="center"/>
    </xf>
    <xf numFmtId="0" fontId="12" fillId="0" borderId="0" xfId="0" applyFont="1" applyBorder="1" applyAlignment="1" applyProtection="1">
      <alignment horizontal="right" vertical="center"/>
    </xf>
    <xf numFmtId="3" fontId="46" fillId="0" borderId="13" xfId="0" applyNumberFormat="1" applyFont="1" applyBorder="1" applyAlignment="1" applyProtection="1">
      <alignment horizontal="center" vertical="center"/>
    </xf>
    <xf numFmtId="0" fontId="21" fillId="0" borderId="0" xfId="0" applyFont="1" applyAlignment="1" applyProtection="1">
      <alignment horizontal="center" vertical="center"/>
    </xf>
    <xf numFmtId="0" fontId="21" fillId="0" borderId="0" xfId="0" applyFont="1" applyAlignment="1" applyProtection="1">
      <alignment horizontal="distributed" vertical="center"/>
    </xf>
    <xf numFmtId="0" fontId="24" fillId="0" borderId="21" xfId="0" applyFont="1" applyBorder="1" applyAlignment="1" applyProtection="1">
      <alignment horizontal="center" vertical="center" wrapText="1"/>
    </xf>
    <xf numFmtId="0" fontId="24" fillId="0" borderId="21" xfId="0" applyFont="1" applyBorder="1" applyAlignment="1" applyProtection="1">
      <alignment horizontal="center" vertical="center"/>
    </xf>
    <xf numFmtId="0" fontId="21" fillId="0" borderId="28"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6" xfId="0" applyFont="1" applyBorder="1" applyAlignment="1" applyProtection="1">
      <alignment horizontal="center" vertical="center"/>
    </xf>
    <xf numFmtId="0" fontId="21" fillId="0" borderId="18" xfId="0" applyFont="1" applyBorder="1" applyAlignment="1" applyProtection="1">
      <alignment horizontal="center" vertical="center"/>
    </xf>
    <xf numFmtId="0" fontId="21" fillId="0" borderId="20" xfId="0" applyFont="1" applyBorder="1" applyAlignment="1" applyProtection="1">
      <alignment horizontal="center" vertical="center"/>
    </xf>
    <xf numFmtId="0" fontId="21" fillId="0" borderId="21" xfId="0" applyFont="1" applyBorder="1" applyAlignment="1" applyProtection="1">
      <alignment horizontal="center" vertical="center"/>
      <protection locked="0"/>
    </xf>
    <xf numFmtId="0" fontId="22" fillId="0" borderId="21" xfId="0" applyFont="1" applyBorder="1" applyAlignment="1" applyProtection="1">
      <alignment horizontal="center" vertical="center" wrapText="1"/>
    </xf>
    <xf numFmtId="0" fontId="21" fillId="0" borderId="19" xfId="0" applyFont="1" applyBorder="1" applyAlignment="1" applyProtection="1">
      <alignment horizontal="center" vertical="center"/>
    </xf>
    <xf numFmtId="0" fontId="23" fillId="0" borderId="0" xfId="0" applyFont="1" applyAlignment="1" applyProtection="1">
      <alignment horizontal="right" vertical="center"/>
    </xf>
    <xf numFmtId="0" fontId="21" fillId="0" borderId="0" xfId="0" applyFont="1" applyAlignment="1" applyProtection="1">
      <alignment horizontal="left" vertical="center"/>
    </xf>
    <xf numFmtId="0" fontId="21" fillId="0" borderId="25" xfId="0" applyFont="1" applyBorder="1" applyAlignment="1" applyProtection="1">
      <alignment horizontal="left" vertical="center"/>
    </xf>
    <xf numFmtId="0" fontId="0" fillId="0" borderId="25" xfId="0" applyBorder="1" applyAlignment="1" applyProtection="1">
      <alignment horizontal="left" vertical="center"/>
    </xf>
    <xf numFmtId="0" fontId="24" fillId="0" borderId="28"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26" xfId="0" applyFont="1" applyBorder="1" applyAlignment="1" applyProtection="1">
      <alignment horizontal="center" vertical="center"/>
    </xf>
    <xf numFmtId="0" fontId="21" fillId="0" borderId="18" xfId="0" applyFont="1" applyBorder="1" applyAlignment="1" applyProtection="1">
      <alignment horizontal="left" vertical="center"/>
    </xf>
    <xf numFmtId="0" fontId="21" fillId="0" borderId="19" xfId="0" applyFont="1" applyBorder="1" applyAlignment="1" applyProtection="1">
      <alignment horizontal="left" vertical="center"/>
    </xf>
    <xf numFmtId="0" fontId="9" fillId="0" borderId="78" xfId="2" applyFont="1" applyFill="1" applyBorder="1" applyAlignment="1" applyProtection="1">
      <alignment horizontal="left" vertical="center" shrinkToFit="1"/>
      <protection hidden="1"/>
    </xf>
    <xf numFmtId="0" fontId="7" fillId="0" borderId="77" xfId="2" applyFont="1" applyFill="1" applyBorder="1" applyAlignment="1" applyProtection="1">
      <alignment horizontal="right" vertical="center" shrinkToFit="1"/>
      <protection hidden="1"/>
    </xf>
    <xf numFmtId="0" fontId="7" fillId="0" borderId="79" xfId="2" applyFont="1" applyFill="1" applyBorder="1" applyAlignment="1" applyProtection="1">
      <alignment horizontal="left" vertical="center" shrinkToFit="1"/>
      <protection hidden="1"/>
    </xf>
    <xf numFmtId="0" fontId="9" fillId="0" borderId="122" xfId="2" applyFont="1" applyFill="1" applyBorder="1" applyAlignment="1" applyProtection="1">
      <alignment horizontal="left" vertical="center" shrinkToFit="1"/>
      <protection hidden="1"/>
    </xf>
    <xf numFmtId="0" fontId="7" fillId="0" borderId="122" xfId="2" applyFont="1" applyFill="1" applyBorder="1" applyAlignment="1" applyProtection="1">
      <alignment horizontal="right" vertical="center" shrinkToFit="1"/>
      <protection hidden="1"/>
    </xf>
    <xf numFmtId="0" fontId="7" fillId="0" borderId="123" xfId="2" applyFont="1" applyFill="1" applyBorder="1" applyAlignment="1" applyProtection="1">
      <alignment horizontal="left" vertical="center" shrinkToFit="1"/>
      <protection hidden="1"/>
    </xf>
    <xf numFmtId="3" fontId="9" fillId="0" borderId="80" xfId="0" applyNumberFormat="1" applyFont="1" applyFill="1" applyBorder="1" applyAlignment="1" applyProtection="1">
      <alignment horizontal="right" vertical="center"/>
      <protection hidden="1"/>
    </xf>
    <xf numFmtId="3" fontId="9" fillId="0" borderId="119" xfId="0" applyNumberFormat="1" applyFont="1" applyFill="1" applyBorder="1" applyAlignment="1" applyProtection="1">
      <alignment horizontal="right" vertical="center"/>
      <protection hidden="1"/>
    </xf>
    <xf numFmtId="3" fontId="9" fillId="0" borderId="34" xfId="0" applyNumberFormat="1" applyFont="1" applyBorder="1" applyAlignment="1" applyProtection="1">
      <alignment horizontal="right" vertical="center"/>
      <protection hidden="1"/>
    </xf>
    <xf numFmtId="3" fontId="9" fillId="0" borderId="35" xfId="0" applyNumberFormat="1" applyFont="1" applyBorder="1" applyAlignment="1" applyProtection="1">
      <alignment horizontal="right" vertical="center"/>
      <protection hidden="1"/>
    </xf>
    <xf numFmtId="3" fontId="9" fillId="0" borderId="36" xfId="0" applyNumberFormat="1" applyFont="1" applyBorder="1" applyAlignment="1" applyProtection="1">
      <alignment horizontal="right" vertical="center"/>
      <protection hidden="1"/>
    </xf>
    <xf numFmtId="3" fontId="9" fillId="0" borderId="37" xfId="0" applyNumberFormat="1" applyFont="1" applyBorder="1" applyAlignment="1" applyProtection="1">
      <alignment horizontal="right" vertical="center"/>
      <protection hidden="1"/>
    </xf>
    <xf numFmtId="3" fontId="9" fillId="0" borderId="19" xfId="0" applyNumberFormat="1" applyFont="1" applyBorder="1" applyAlignment="1" applyProtection="1">
      <alignment horizontal="right" vertical="center"/>
      <protection hidden="1"/>
    </xf>
    <xf numFmtId="3" fontId="9" fillId="0" borderId="16" xfId="0" applyNumberFormat="1" applyFont="1" applyBorder="1" applyAlignment="1" applyProtection="1">
      <alignment horizontal="right" vertical="center"/>
      <protection hidden="1"/>
    </xf>
    <xf numFmtId="3" fontId="9" fillId="0" borderId="41" xfId="0" applyNumberFormat="1" applyFont="1" applyBorder="1" applyAlignment="1" applyProtection="1">
      <alignment horizontal="right" vertical="center"/>
      <protection hidden="1"/>
    </xf>
    <xf numFmtId="3" fontId="9" fillId="0" borderId="40" xfId="0" applyNumberFormat="1" applyFont="1" applyBorder="1" applyAlignment="1" applyProtection="1">
      <alignment horizontal="right" vertical="center"/>
      <protection hidden="1"/>
    </xf>
    <xf numFmtId="3" fontId="9" fillId="0" borderId="42" xfId="0" applyNumberFormat="1" applyFont="1" applyBorder="1" applyAlignment="1" applyProtection="1">
      <alignment horizontal="right" vertical="center"/>
      <protection hidden="1"/>
    </xf>
    <xf numFmtId="3" fontId="9" fillId="0" borderId="45" xfId="0" applyNumberFormat="1" applyFont="1" applyBorder="1" applyAlignment="1" applyProtection="1">
      <alignment horizontal="right" vertical="center"/>
      <protection hidden="1"/>
    </xf>
    <xf numFmtId="3" fontId="9" fillId="0" borderId="44" xfId="0" applyNumberFormat="1" applyFont="1" applyBorder="1" applyAlignment="1" applyProtection="1">
      <alignment horizontal="right" vertical="center"/>
      <protection hidden="1"/>
    </xf>
    <xf numFmtId="3" fontId="9" fillId="0" borderId="46" xfId="0" applyNumberFormat="1" applyFont="1" applyBorder="1" applyAlignment="1" applyProtection="1">
      <alignment horizontal="right" vertical="center"/>
      <protection hidden="1"/>
    </xf>
    <xf numFmtId="3" fontId="9" fillId="0" borderId="8" xfId="0" applyNumberFormat="1" applyFont="1" applyBorder="1" applyAlignment="1" applyProtection="1">
      <alignment horizontal="right" vertical="center"/>
      <protection hidden="1"/>
    </xf>
    <xf numFmtId="3" fontId="9" fillId="0" borderId="0" xfId="0" applyNumberFormat="1" applyFont="1" applyBorder="1" applyAlignment="1" applyProtection="1">
      <alignment horizontal="right" vertical="center"/>
      <protection hidden="1"/>
    </xf>
    <xf numFmtId="3" fontId="9" fillId="0" borderId="38" xfId="0" applyNumberFormat="1" applyFont="1" applyBorder="1" applyAlignment="1" applyProtection="1">
      <alignment horizontal="right" vertical="center"/>
      <protection hidden="1"/>
    </xf>
    <xf numFmtId="3" fontId="9" fillId="0" borderId="47" xfId="0" applyNumberFormat="1" applyFont="1" applyBorder="1" applyAlignment="1" applyProtection="1">
      <alignment horizontal="right" vertical="center"/>
      <protection hidden="1"/>
    </xf>
    <xf numFmtId="3" fontId="9" fillId="0" borderId="48" xfId="0" applyNumberFormat="1" applyFont="1" applyBorder="1" applyAlignment="1" applyProtection="1">
      <alignment horizontal="right" vertical="center"/>
      <protection hidden="1"/>
    </xf>
    <xf numFmtId="3" fontId="9" fillId="0" borderId="96" xfId="0" applyNumberFormat="1" applyFont="1" applyBorder="1" applyAlignment="1" applyProtection="1">
      <alignment horizontal="right" vertical="center"/>
      <protection hidden="1"/>
    </xf>
    <xf numFmtId="3" fontId="9" fillId="0" borderId="97" xfId="0" applyNumberFormat="1" applyFont="1" applyBorder="1" applyAlignment="1" applyProtection="1">
      <alignment horizontal="right" vertical="center"/>
      <protection hidden="1"/>
    </xf>
    <xf numFmtId="3" fontId="9" fillId="0" borderId="98" xfId="0" applyNumberFormat="1" applyFont="1" applyBorder="1" applyAlignment="1" applyProtection="1">
      <alignment horizontal="right" vertical="center"/>
      <protection hidden="1"/>
    </xf>
    <xf numFmtId="3" fontId="9" fillId="0" borderId="99" xfId="0" applyNumberFormat="1" applyFont="1" applyBorder="1" applyAlignment="1" applyProtection="1">
      <alignment horizontal="right" vertical="center"/>
      <protection hidden="1"/>
    </xf>
    <xf numFmtId="3" fontId="9" fillId="0" borderId="100" xfId="0" applyNumberFormat="1" applyFont="1" applyBorder="1" applyAlignment="1" applyProtection="1">
      <alignment horizontal="right" vertical="center"/>
      <protection hidden="1"/>
    </xf>
    <xf numFmtId="3" fontId="9" fillId="0" borderId="101" xfId="0" applyNumberFormat="1" applyFont="1" applyBorder="1" applyAlignment="1" applyProtection="1">
      <alignment horizontal="right" vertical="center"/>
      <protection hidden="1"/>
    </xf>
    <xf numFmtId="3" fontId="9" fillId="0" borderId="102" xfId="0" applyNumberFormat="1" applyFont="1" applyBorder="1" applyAlignment="1" applyProtection="1">
      <alignment horizontal="right" vertical="center"/>
      <protection hidden="1"/>
    </xf>
    <xf numFmtId="3" fontId="9" fillId="0" borderId="60" xfId="0" applyNumberFormat="1" applyFont="1" applyBorder="1" applyAlignment="1" applyProtection="1">
      <alignment horizontal="right" vertical="center"/>
      <protection hidden="1"/>
    </xf>
    <xf numFmtId="3" fontId="9" fillId="0" borderId="51" xfId="0" applyNumberFormat="1" applyFont="1" applyBorder="1" applyAlignment="1" applyProtection="1">
      <alignment horizontal="right" vertical="center"/>
      <protection hidden="1"/>
    </xf>
    <xf numFmtId="3" fontId="9" fillId="0" borderId="61" xfId="0" applyNumberFormat="1" applyFont="1" applyBorder="1" applyAlignment="1" applyProtection="1">
      <alignment horizontal="right" vertical="center"/>
      <protection hidden="1"/>
    </xf>
    <xf numFmtId="3" fontId="26" fillId="0" borderId="37" xfId="0" applyNumberFormat="1" applyFont="1" applyBorder="1" applyAlignment="1" applyProtection="1">
      <alignment horizontal="right" vertical="center"/>
      <protection hidden="1"/>
    </xf>
    <xf numFmtId="3" fontId="26" fillId="0" borderId="19" xfId="0" applyNumberFormat="1" applyFont="1" applyBorder="1" applyAlignment="1" applyProtection="1">
      <alignment horizontal="right" vertical="center"/>
      <protection hidden="1"/>
    </xf>
    <xf numFmtId="3" fontId="26" fillId="0" borderId="16" xfId="0" applyNumberFormat="1" applyFont="1" applyBorder="1" applyAlignment="1" applyProtection="1">
      <alignment horizontal="right" vertical="center"/>
      <protection hidden="1"/>
    </xf>
    <xf numFmtId="3" fontId="9" fillId="0" borderId="54" xfId="0" applyNumberFormat="1" applyFont="1" applyBorder="1" applyAlignment="1" applyProtection="1">
      <alignment horizontal="right" vertical="center"/>
      <protection hidden="1"/>
    </xf>
    <xf numFmtId="3" fontId="9" fillId="0" borderId="55" xfId="0" applyNumberFormat="1" applyFont="1" applyBorder="1" applyAlignment="1" applyProtection="1">
      <alignment horizontal="right" vertical="center"/>
      <protection hidden="1"/>
    </xf>
    <xf numFmtId="3" fontId="9" fillId="0" borderId="56" xfId="0" applyNumberFormat="1" applyFont="1" applyBorder="1" applyAlignment="1" applyProtection="1">
      <alignment horizontal="right" vertical="center"/>
      <protection hidden="1"/>
    </xf>
    <xf numFmtId="3" fontId="9" fillId="0" borderId="33" xfId="0" applyNumberFormat="1" applyFont="1" applyBorder="1" applyAlignment="1" applyProtection="1">
      <alignment vertical="center"/>
      <protection hidden="1"/>
    </xf>
    <xf numFmtId="3" fontId="9" fillId="0" borderId="10" xfId="0" applyNumberFormat="1" applyFont="1" applyBorder="1" applyAlignment="1" applyProtection="1">
      <alignment vertical="center"/>
      <protection hidden="1"/>
    </xf>
    <xf numFmtId="3" fontId="9" fillId="0" borderId="12" xfId="0" applyNumberFormat="1" applyFont="1" applyBorder="1" applyAlignment="1" applyProtection="1">
      <alignment vertical="center"/>
      <protection hidden="1"/>
    </xf>
    <xf numFmtId="3" fontId="18" fillId="0" borderId="7" xfId="0" applyNumberFormat="1" applyFont="1" applyBorder="1" applyAlignment="1" applyProtection="1">
      <alignment horizontal="right" vertical="center"/>
      <protection hidden="1"/>
    </xf>
    <xf numFmtId="3" fontId="18" fillId="0" borderId="17" xfId="0" applyNumberFormat="1" applyFont="1" applyBorder="1" applyAlignment="1" applyProtection="1">
      <alignment horizontal="right" vertical="center"/>
      <protection hidden="1"/>
    </xf>
    <xf numFmtId="3" fontId="18" fillId="0" borderId="66" xfId="0" applyNumberFormat="1" applyFont="1" applyBorder="1" applyAlignment="1" applyProtection="1">
      <alignment horizontal="right" vertical="center"/>
      <protection hidden="1"/>
    </xf>
    <xf numFmtId="3" fontId="18" fillId="0" borderId="66" xfId="0" applyNumberFormat="1" applyFont="1" applyBorder="1" applyAlignment="1" applyProtection="1">
      <alignment vertical="center"/>
      <protection hidden="1"/>
    </xf>
    <xf numFmtId="3" fontId="18" fillId="0" borderId="66" xfId="0" applyNumberFormat="1" applyFont="1" applyBorder="1" applyAlignment="1" applyProtection="1">
      <alignment horizontal="right" vertical="center"/>
      <protection hidden="1"/>
    </xf>
    <xf numFmtId="3" fontId="18" fillId="0" borderId="66" xfId="0" applyNumberFormat="1" applyFont="1" applyFill="1" applyBorder="1" applyAlignment="1" applyProtection="1">
      <alignment horizontal="right" vertical="center"/>
      <protection hidden="1"/>
    </xf>
    <xf numFmtId="3" fontId="18" fillId="0" borderId="17" xfId="0" applyNumberFormat="1" applyFont="1" applyFill="1" applyBorder="1" applyAlignment="1" applyProtection="1">
      <alignment horizontal="right" vertical="center"/>
      <protection hidden="1"/>
    </xf>
    <xf numFmtId="0" fontId="18" fillId="0" borderId="17" xfId="0" applyFont="1" applyBorder="1" applyAlignment="1" applyProtection="1">
      <alignment horizontal="right" vertical="center"/>
      <protection hidden="1"/>
    </xf>
    <xf numFmtId="0" fontId="9" fillId="0" borderId="76" xfId="0" applyFont="1" applyBorder="1" applyAlignment="1" applyProtection="1">
      <alignment horizontal="left" vertical="center"/>
      <protection hidden="1"/>
    </xf>
    <xf numFmtId="0" fontId="9" fillId="0" borderId="4" xfId="0" applyFont="1" applyBorder="1" applyAlignment="1" applyProtection="1">
      <alignment horizontal="left" vertical="center"/>
      <protection hidden="1"/>
    </xf>
    <xf numFmtId="0" fontId="26" fillId="0" borderId="4" xfId="0" applyFont="1" applyBorder="1" applyAlignment="1" applyProtection="1">
      <alignment horizontal="left" vertical="center"/>
      <protection hidden="1"/>
    </xf>
    <xf numFmtId="0" fontId="26" fillId="0" borderId="82" xfId="0" applyFont="1" applyBorder="1" applyAlignment="1" applyProtection="1">
      <alignment horizontal="left" vertical="center"/>
      <protection hidden="1"/>
    </xf>
    <xf numFmtId="38" fontId="18" fillId="0" borderId="77" xfId="1" applyFont="1" applyBorder="1" applyAlignment="1" applyProtection="1">
      <alignment horizontal="right" vertical="center"/>
      <protection hidden="1"/>
    </xf>
    <xf numFmtId="38" fontId="18" fillId="0" borderId="5" xfId="1" applyFont="1" applyFill="1" applyBorder="1" applyAlignment="1" applyProtection="1">
      <alignment horizontal="right" vertical="center"/>
      <protection hidden="1"/>
    </xf>
    <xf numFmtId="38" fontId="18" fillId="0" borderId="83" xfId="1" applyFont="1" applyFill="1" applyBorder="1" applyAlignment="1" applyProtection="1">
      <alignment horizontal="right" vertical="center"/>
      <protection hidden="1"/>
    </xf>
    <xf numFmtId="38" fontId="15" fillId="0" borderId="83" xfId="1" applyFont="1" applyFill="1" applyBorder="1" applyAlignment="1" applyProtection="1">
      <alignment horizontal="right" vertical="center"/>
      <protection hidden="1"/>
    </xf>
    <xf numFmtId="38" fontId="18" fillId="0" borderId="77" xfId="1" applyFont="1" applyFill="1" applyBorder="1" applyAlignment="1" applyProtection="1">
      <alignment horizontal="right" vertical="center"/>
      <protection hidden="1"/>
    </xf>
    <xf numFmtId="38" fontId="18" fillId="0" borderId="5" xfId="1" applyFont="1" applyBorder="1" applyAlignment="1" applyProtection="1">
      <alignment horizontal="right" vertical="center"/>
      <protection hidden="1"/>
    </xf>
    <xf numFmtId="38" fontId="18" fillId="0" borderId="83" xfId="1" applyFont="1" applyBorder="1" applyAlignment="1" applyProtection="1">
      <alignment horizontal="right" vertical="center"/>
      <protection hidden="1"/>
    </xf>
    <xf numFmtId="38" fontId="15" fillId="0" borderId="83" xfId="1" applyFont="1" applyBorder="1" applyAlignment="1" applyProtection="1">
      <alignment horizontal="right" vertical="center"/>
      <protection hidden="1"/>
    </xf>
    <xf numFmtId="3" fontId="24" fillId="0" borderId="18" xfId="0" applyNumberFormat="1" applyFont="1" applyBorder="1" applyAlignment="1" applyProtection="1">
      <alignment horizontal="right" vertical="center"/>
      <protection hidden="1"/>
    </xf>
    <xf numFmtId="0" fontId="24" fillId="0" borderId="19" xfId="0" applyFont="1" applyBorder="1" applyAlignment="1" applyProtection="1">
      <alignment horizontal="right" vertical="center"/>
      <protection hidden="1"/>
    </xf>
    <xf numFmtId="3" fontId="24" fillId="0" borderId="18" xfId="0" applyNumberFormat="1" applyFont="1" applyBorder="1" applyAlignment="1" applyProtection="1">
      <alignment vertical="center"/>
      <protection hidden="1"/>
    </xf>
    <xf numFmtId="38" fontId="21" fillId="0" borderId="0" xfId="1" applyFont="1" applyAlignment="1" applyProtection="1">
      <alignment horizontal="center" vertical="center"/>
      <protection hidden="1"/>
    </xf>
    <xf numFmtId="0" fontId="21" fillId="0" borderId="0" xfId="0" applyFont="1" applyFill="1" applyAlignment="1" applyProtection="1">
      <alignment horizontal="left" vertical="center" wrapText="1"/>
      <protection hidden="1"/>
    </xf>
    <xf numFmtId="0" fontId="21" fillId="0" borderId="0" xfId="0" applyFont="1" applyFill="1" applyAlignment="1" applyProtection="1">
      <alignment horizontal="left" vertical="center"/>
      <protection hidden="1"/>
    </xf>
    <xf numFmtId="0" fontId="21" fillId="0" borderId="18" xfId="0" applyFont="1" applyBorder="1" applyAlignment="1" applyProtection="1">
      <alignment horizontal="center" vertical="center"/>
      <protection hidden="1"/>
    </xf>
    <xf numFmtId="0" fontId="21" fillId="0" borderId="19" xfId="0" applyFont="1" applyBorder="1" applyAlignment="1" applyProtection="1">
      <alignment horizontal="center" vertical="center"/>
      <protection hidden="1"/>
    </xf>
    <xf numFmtId="0" fontId="21" fillId="0" borderId="20" xfId="0" applyFont="1" applyBorder="1" applyAlignment="1" applyProtection="1">
      <alignment horizontal="center" vertical="center"/>
      <protection hidden="1"/>
    </xf>
    <xf numFmtId="0" fontId="11" fillId="0" borderId="25" xfId="0" applyFont="1" applyBorder="1" applyAlignment="1" applyProtection="1">
      <alignment horizontal="left" vertical="center"/>
      <protection hidden="1"/>
    </xf>
  </cellXfs>
  <cellStyles count="6">
    <cellStyle name="パーセント" xfId="5" builtinId="5"/>
    <cellStyle name="ハイパーリンク" xfId="4" builtinId="8"/>
    <cellStyle name="桁区切り" xfId="1" builtinId="6"/>
    <cellStyle name="桁区切り 2" xfId="3" xr:uid="{00000000-0005-0000-0000-000003000000}"/>
    <cellStyle name="標準" xfId="0" builtinId="0"/>
    <cellStyle name="標準 2" xfId="2" xr:uid="{00000000-0005-0000-0000-000005000000}"/>
  </cellStyles>
  <dxfs count="201">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rgb="FFFF0000"/>
      </font>
    </dxf>
    <dxf>
      <fill>
        <patternFill>
          <bgColor theme="4"/>
        </patternFill>
      </fill>
    </dxf>
    <dxf>
      <fill>
        <patternFill>
          <bgColor rgb="FFFF0000"/>
        </patternFill>
      </fill>
    </dxf>
    <dxf>
      <fill>
        <patternFill>
          <bgColor rgb="FFFFCCCC"/>
        </patternFill>
      </fill>
    </dxf>
    <dxf>
      <font>
        <color rgb="FFFF0000"/>
      </font>
    </dxf>
    <dxf>
      <fill>
        <patternFill>
          <bgColor rgb="FFFF0000"/>
        </patternFill>
      </fill>
    </dxf>
    <dxf>
      <fill>
        <patternFill>
          <bgColor theme="4"/>
        </patternFill>
      </fill>
    </dxf>
    <dxf>
      <fill>
        <patternFill>
          <bgColor rgb="FFFF0000"/>
        </patternFill>
      </fill>
    </dxf>
    <dxf>
      <fill>
        <patternFill>
          <bgColor rgb="FFFFFF00"/>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0000"/>
        </patternFill>
      </fill>
    </dxf>
    <dxf>
      <fill>
        <patternFill>
          <bgColor rgb="FFFFFF00"/>
        </patternFill>
      </fill>
    </dxf>
    <dxf>
      <fill>
        <patternFill>
          <bgColor rgb="FFFFFF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0"/>
        </patternFill>
      </fill>
    </dxf>
    <dxf>
      <fill>
        <patternFill>
          <bgColor rgb="FFFFCCCC"/>
        </patternFill>
      </fill>
    </dxf>
    <dxf>
      <fill>
        <patternFill>
          <bgColor rgb="FFFFCCCC"/>
        </patternFill>
      </fill>
    </dxf>
    <dxf>
      <fill>
        <patternFill>
          <bgColor rgb="FFFFCCCC"/>
        </patternFill>
      </fill>
    </dxf>
    <dxf>
      <fill>
        <patternFill>
          <bgColor theme="0" tint="-0.24994659260841701"/>
        </patternFill>
      </fill>
    </dxf>
    <dxf>
      <fill>
        <patternFill>
          <bgColor rgb="FFFFCCCC"/>
        </patternFill>
      </fill>
    </dxf>
    <dxf>
      <fill>
        <patternFill>
          <bgColor rgb="FFFFCCCC"/>
        </patternFill>
      </fill>
    </dxf>
    <dxf>
      <fill>
        <patternFill patternType="solid">
          <fgColor auto="1"/>
          <bgColor theme="5" tint="0.59996337778862885"/>
        </patternFill>
      </fill>
    </dxf>
    <dxf>
      <fill>
        <patternFill patternType="solid">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ECFF"/>
      <color rgb="FFDDDDDD"/>
      <color rgb="FFFFCCCC"/>
      <color rgb="FFFFCCFF"/>
      <color rgb="FF99FF99"/>
      <color rgb="FFFFFF66"/>
      <color rgb="FFFFFF99"/>
      <color rgb="FF99FFCC"/>
      <color rgb="FF66FF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1" Type="http://schemas.openxmlformats.org/officeDocument/2006/relationships/hyperlink" Target="#&#12513;&#12491;&#12517;&#12540;&#30011;&#38754;!B7"/></Relationships>
</file>

<file path=xl/drawings/drawing1.xml><?xml version="1.0" encoding="utf-8"?>
<xdr:wsDr xmlns:xdr="http://schemas.openxmlformats.org/drawingml/2006/spreadsheetDrawing" xmlns:a="http://schemas.openxmlformats.org/drawingml/2006/main">
  <xdr:twoCellAnchor>
    <xdr:from>
      <xdr:col>1</xdr:col>
      <xdr:colOff>44977</xdr:colOff>
      <xdr:row>0</xdr:row>
      <xdr:rowOff>285752</xdr:rowOff>
    </xdr:from>
    <xdr:to>
      <xdr:col>14</xdr:col>
      <xdr:colOff>27214</xdr:colOff>
      <xdr:row>0</xdr:row>
      <xdr:rowOff>2231571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21870" y="285752"/>
          <a:ext cx="14950094" cy="19458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重要</a:t>
          </a:r>
          <a:r>
            <a:rPr kumimoji="1" lang="en-US" altLang="ja-JP" sz="1800" b="1" baseline="0">
              <a:latin typeface="ＭＳ Ｐゴシック" panose="020B0600070205080204" pitchFamily="50" charset="-128"/>
              <a:ea typeface="ＭＳ Ｐゴシック" panose="020B0600070205080204" pitchFamily="50" charset="-128"/>
            </a:rPr>
            <a:t>】</a:t>
          </a:r>
          <a:r>
            <a:rPr kumimoji="1" lang="ja-JP" altLang="en-US" sz="1800" b="1" baseline="0">
              <a:latin typeface="ＭＳ Ｐゴシック" panose="020B0600070205080204" pitchFamily="50" charset="-128"/>
              <a:ea typeface="ＭＳ Ｐゴシック" panose="020B0600070205080204" pitchFamily="50" charset="-128"/>
            </a:rPr>
            <a:t>入力時の注意点</a:t>
          </a:r>
          <a:r>
            <a:rPr kumimoji="1" lang="ja-JP" altLang="en-US" sz="1600" b="1" baseline="0">
              <a:latin typeface="ＭＳ Ｐゴシック" panose="020B0600070205080204" pitchFamily="50" charset="-128"/>
              <a:ea typeface="ＭＳ Ｐゴシック" panose="020B0600070205080204" pitchFamily="50" charset="-128"/>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④ 支出年月日は、赤色は「エラー」で支援対象外となり、黄色は「注意」となります。</a:t>
          </a:r>
          <a:r>
            <a:rPr kumimoji="1" lang="ja-JP" altLang="en-US" sz="1400" b="1" baseline="0">
              <a:latin typeface="ＭＳ Ｐゴシック" panose="020B0600070205080204" pitchFamily="50" charset="-128"/>
              <a:ea typeface="ＭＳ Ｐゴシック" panose="020B0600070205080204" pitchFamily="50" charset="-128"/>
            </a:rPr>
            <a:t>　　　　　　　　　　　　　　　　　　　　　　　　　　　　　　　　　　　　　　　　　　　　　</a:t>
          </a:r>
          <a:r>
            <a:rPr kumimoji="1" lang="ja-JP" altLang="en-US" sz="14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4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①</a:t>
          </a:r>
          <a:r>
            <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ピンク色が入力箇所です。</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「黄色」は、支援期間内の前払・未払金であれば「対象経費」となる場合があります。</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②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必ずしも</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支出の</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年月日順に並んでいる必要はありません。</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⑤「旅費」を入力した場合は「Ｋ列：旅行区間」も入力してください。</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入力漏れが判明した場合は、判明時点での最終行に</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ご</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入力ください。</a:t>
          </a:r>
          <a:r>
            <a:rPr kumimoji="1" lang="ja-JP" altLang="en-US" sz="1600" b="0"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⑥ 領収書に「団体の他事業の経費や運営費」が含まれる場合は、支援事業にかかった経費と</a:t>
          </a:r>
          <a:endParaRPr kumimoji="1" lang="en-US" altLang="ja-JP" sz="1600" b="0" baseline="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③</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「行」の挿入及び削除はできません。既に文字や数値を入力した行を</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明確な区分を要するため、「支援事業にかかった金額」を必ず領収書に明記してください。</a:t>
          </a:r>
          <a:endParaRPr kumimoji="1" lang="en-US" altLang="ja-JP" sz="1600" b="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削除</a:t>
          </a:r>
          <a:r>
            <a:rPr kumimoji="1" lang="ja-JP" altLang="en-US" sz="1600" b="0" baseline="0">
              <a:solidFill>
                <a:schemeClr val="tx1"/>
              </a:solidFill>
              <a:effectLst/>
              <a:latin typeface="ＭＳ Ｐゴシック" panose="020B0600070205080204" pitchFamily="50" charset="-128"/>
              <a:ea typeface="ＭＳ Ｐゴシック" panose="020B0600070205080204" pitchFamily="50" charset="-128"/>
              <a:cs typeface="+mn-cs"/>
            </a:rPr>
            <a:t>する</a:t>
          </a:r>
          <a:r>
            <a:rPr kumimoji="1" lang="ja-JP" altLang="ja-JP" sz="1600" b="0" baseline="0">
              <a:solidFill>
                <a:schemeClr val="tx1"/>
              </a:solidFill>
              <a:effectLst/>
              <a:latin typeface="ＭＳ Ｐゴシック" panose="020B0600070205080204" pitchFamily="50" charset="-128"/>
              <a:ea typeface="ＭＳ Ｐゴシック" panose="020B0600070205080204" pitchFamily="50" charset="-128"/>
              <a:cs typeface="+mn-cs"/>
            </a:rPr>
            <a:t>場合は、その行のセルの入力内容を全てクリアしてください。</a:t>
          </a:r>
          <a:r>
            <a:rPr kumimoji="1" lang="en-US" altLang="ja-JP" sz="1600" b="0" baseline="0">
              <a:solidFill>
                <a:schemeClr val="dk1"/>
              </a:solidFill>
              <a:effectLst/>
              <a:latin typeface="+mn-lt"/>
              <a:ea typeface="+mn-ea"/>
              <a:cs typeface="+mn-cs"/>
            </a:rPr>
            <a:t>  </a:t>
          </a:r>
          <a:r>
            <a:rPr kumimoji="1" lang="ja-JP" altLang="en-US" sz="1600" b="0" baseline="0">
              <a:solidFill>
                <a:schemeClr val="dk1"/>
              </a:solidFill>
              <a:effectLst/>
              <a:latin typeface="+mn-lt"/>
              <a:ea typeface="+mn-ea"/>
              <a:cs typeface="+mn-cs"/>
            </a:rPr>
            <a:t>　　　 </a:t>
          </a:r>
          <a:r>
            <a:rPr kumimoji="1" lang="ja-JP" altLang="ja-JP" sz="1600" b="0" baseline="0">
              <a:solidFill>
                <a:schemeClr val="dk1"/>
              </a:solidFill>
              <a:effectLst/>
              <a:latin typeface="ＭＳ Ｐゴシック" panose="020B0600070205080204" pitchFamily="50" charset="-128"/>
              <a:ea typeface="ＭＳ Ｐゴシック" panose="020B0600070205080204" pitchFamily="50" charset="-128"/>
              <a:cs typeface="+mn-cs"/>
            </a:rPr>
            <a:t>「団体の他事業の経費や運営費」を、「Ｍ列：金額」に含めて入力してはいけません。</a:t>
          </a:r>
          <a:endParaRPr lang="ja-JP" altLang="ja-JP" sz="1600">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258536</xdr:colOff>
      <xdr:row>0</xdr:row>
      <xdr:rowOff>193210</xdr:rowOff>
    </xdr:from>
    <xdr:to>
      <xdr:col>6</xdr:col>
      <xdr:colOff>0</xdr:colOff>
      <xdr:row>2</xdr:row>
      <xdr:rowOff>394607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551215" y="193210"/>
          <a:ext cx="8477249" cy="21880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重要</a:t>
          </a:r>
          <a:r>
            <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800" b="1" baseline="0">
              <a:solidFill>
                <a:schemeClr val="dk1"/>
              </a:solidFill>
              <a:latin typeface="ＭＳ Ｐゴシック" panose="020B0600070205080204" pitchFamily="50" charset="-128"/>
              <a:ea typeface="ＭＳ Ｐゴシック" panose="020B0600070205080204" pitchFamily="50" charset="-128"/>
              <a:cs typeface="+mn-cs"/>
            </a:rPr>
            <a:t>入力時の注意点</a:t>
          </a:r>
          <a:endParaRPr kumimoji="1" lang="en-US" altLang="ja-JP" sz="1800" b="1" baseline="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① ピンク色が入力箇所です。入金年月日を必ずご入力ください。</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②</a:t>
          </a:r>
          <a:r>
            <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必ずしも入金</a:t>
          </a: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の</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年月日順に並んでいる必要はありません。</a:t>
          </a:r>
          <a:endParaRPr kumimoji="1" lang="en-US" altLang="ja-JP" sz="1600" b="0">
            <a:solidFill>
              <a:schemeClr val="dk1"/>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入力漏れが判明した場合は、判明時点での最終行に</a:t>
          </a: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ご</a:t>
          </a:r>
          <a:r>
            <a:rPr kumimoji="1" lang="ja-JP" altLang="ja-JP" sz="1600" b="0">
              <a:solidFill>
                <a:schemeClr val="dk1"/>
              </a:solidFill>
              <a:effectLst/>
              <a:latin typeface="ＭＳ Ｐゴシック" panose="020B0600070205080204" pitchFamily="50" charset="-128"/>
              <a:ea typeface="ＭＳ Ｐゴシック" panose="020B0600070205080204" pitchFamily="50" charset="-128"/>
              <a:cs typeface="+mn-cs"/>
            </a:rPr>
            <a:t>入力ください</a:t>
          </a:r>
          <a:r>
            <a:rPr kumimoji="1" lang="ja-JP" altLang="en-US" sz="1600" b="0">
              <a:solidFill>
                <a:schemeClr val="dk1"/>
              </a:solidFill>
              <a:effectLst/>
              <a:latin typeface="ＭＳ Ｐゴシック" panose="020B0600070205080204" pitchFamily="50" charset="-128"/>
              <a:ea typeface="ＭＳ Ｐゴシック" panose="020B0600070205080204" pitchFamily="50" charset="-128"/>
              <a:cs typeface="+mn-cs"/>
            </a:rPr>
            <a:t>。</a:t>
          </a:r>
          <a:endParaRPr kumimoji="1" lang="en-US" altLang="ja-JP" sz="1600" b="0">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latin typeface="ＭＳ Ｐゴシック" panose="020B0600070205080204" pitchFamily="50" charset="-128"/>
              <a:ea typeface="ＭＳ Ｐゴシック" panose="020B0600070205080204" pitchFamily="50" charset="-128"/>
            </a:rPr>
            <a:t>③「行」の挿入及び削除はできません</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600" b="0">
              <a:solidFill>
                <a:schemeClr val="dk1"/>
              </a:solidFill>
              <a:latin typeface="ＭＳ Ｐゴシック" panose="020B0600070205080204" pitchFamily="50" charset="-128"/>
              <a:ea typeface="ＭＳ Ｐゴシック" panose="020B0600070205080204" pitchFamily="50" charset="-128"/>
              <a:cs typeface="+mn-cs"/>
            </a:rPr>
            <a:t>既に文字や数値を入力した行を削除</a:t>
          </a: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する</a:t>
          </a:r>
          <a:r>
            <a:rPr kumimoji="1" lang="ja-JP" altLang="ja-JP" sz="1600" b="0">
              <a:solidFill>
                <a:schemeClr val="dk1"/>
              </a:solidFill>
              <a:latin typeface="ＭＳ Ｐゴシック" panose="020B0600070205080204" pitchFamily="50" charset="-128"/>
              <a:ea typeface="ＭＳ Ｐゴシック" panose="020B0600070205080204" pitchFamily="50" charset="-128"/>
              <a:cs typeface="+mn-cs"/>
            </a:rPr>
            <a:t>場合は、</a:t>
          </a:r>
          <a:endPar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　</a:t>
          </a:r>
          <a:r>
            <a:rPr kumimoji="1" lang="ja-JP" altLang="ja-JP" sz="1600" b="0">
              <a:solidFill>
                <a:schemeClr val="dk1"/>
              </a:solidFill>
              <a:latin typeface="ＭＳ Ｐゴシック" panose="020B0600070205080204" pitchFamily="50" charset="-128"/>
              <a:ea typeface="ＭＳ Ｐゴシック" panose="020B0600070205080204" pitchFamily="50" charset="-128"/>
              <a:cs typeface="+mn-cs"/>
            </a:rPr>
            <a:t>その行のセルの入力内容を全てクリアしてください。</a:t>
          </a:r>
          <a:endParaRPr kumimoji="1" lang="en-US" altLang="ja-JP" sz="1600" b="0">
            <a:solidFill>
              <a:schemeClr val="dk1"/>
            </a:solidFill>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dk1"/>
              </a:solidFill>
              <a:latin typeface="ＭＳ Ｐゴシック" panose="020B0600070205080204" pitchFamily="50" charset="-128"/>
              <a:ea typeface="ＭＳ Ｐゴシック" panose="020B0600070205080204" pitchFamily="50" charset="-128"/>
              <a:cs typeface="+mn-cs"/>
            </a:rPr>
            <a:t>④ 未来応援ネットワーク事業</a:t>
          </a:r>
          <a:r>
            <a:rPr kumimoji="1" lang="ja-JP" altLang="en-US" sz="1600" b="0">
              <a:latin typeface="ＭＳ Ｐゴシック" panose="020B0600070205080204" pitchFamily="50" charset="-128"/>
              <a:ea typeface="ＭＳ Ｐゴシック" panose="020B0600070205080204" pitchFamily="50" charset="-128"/>
            </a:rPr>
            <a:t>の支援金額は入力しないでください。</a:t>
          </a:r>
          <a:endParaRPr kumimoji="1" lang="en-US" altLang="ja-JP" sz="1400" b="0">
            <a:solidFill>
              <a:schemeClr val="dk1"/>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154939</xdr:colOff>
      <xdr:row>0</xdr:row>
      <xdr:rowOff>231138</xdr:rowOff>
    </xdr:from>
    <xdr:to>
      <xdr:col>29</xdr:col>
      <xdr:colOff>666750</xdr:colOff>
      <xdr:row>10</xdr:row>
      <xdr:rowOff>71437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8679814" y="231138"/>
          <a:ext cx="5893436" cy="2483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baseline="0">
              <a:ea typeface="ＭＳ Ｐゴシック" panose="020B0600070205080204" pitchFamily="50" charset="-128"/>
            </a:rPr>
            <a:t>【</a:t>
          </a:r>
          <a:r>
            <a:rPr kumimoji="1" lang="ja-JP" altLang="en-US" sz="1600" b="1" baseline="0">
              <a:ea typeface="ＭＳ Ｐゴシック" panose="020B0600070205080204" pitchFamily="50" charset="-128"/>
            </a:rPr>
            <a:t>重要</a:t>
          </a:r>
          <a:r>
            <a:rPr kumimoji="1" lang="en-US" altLang="ja-JP" sz="1600" b="1" baseline="0">
              <a:ea typeface="ＭＳ Ｐゴシック" panose="020B0600070205080204" pitchFamily="50" charset="-128"/>
            </a:rPr>
            <a:t>】</a:t>
          </a:r>
          <a:r>
            <a:rPr kumimoji="1" lang="ja-JP" altLang="en-US" sz="1600" b="1" baseline="0">
              <a:ea typeface="ＭＳ Ｐゴシック" panose="020B0600070205080204" pitchFamily="50" charset="-128"/>
            </a:rPr>
            <a:t>入力時の注意点</a:t>
          </a:r>
          <a:endParaRPr kumimoji="1" lang="en-US" altLang="ja-JP" sz="1600" b="1" baseline="0">
            <a:ea typeface="ＭＳ Ｐゴシック" panose="020B0600070205080204" pitchFamily="50" charset="-128"/>
          </a:endParaRPr>
        </a:p>
        <a:p>
          <a:r>
            <a:rPr kumimoji="1" lang="ja-JP" altLang="en-US" sz="1600" b="1">
              <a:solidFill>
                <a:srgbClr val="FF0000"/>
              </a:solidFill>
              <a:ea typeface="ＭＳ Ｐゴシック" panose="020B0600070205080204" pitchFamily="50" charset="-128"/>
            </a:rPr>
            <a:t>「要望時」</a:t>
          </a:r>
          <a:r>
            <a:rPr kumimoji="1" lang="ja-JP" altLang="en-US" sz="1600" b="0">
              <a:solidFill>
                <a:sysClr val="windowText" lastClr="000000"/>
              </a:solidFill>
              <a:ea typeface="ＭＳ Ｐゴシック" panose="020B0600070205080204" pitchFamily="50" charset="-128"/>
            </a:rPr>
            <a:t>のピンク色の箇所は、</a:t>
          </a:r>
          <a:endParaRPr kumimoji="1" lang="en-US" altLang="ja-JP" sz="1600" b="0">
            <a:solidFill>
              <a:sysClr val="windowText" lastClr="000000"/>
            </a:solidFill>
            <a:ea typeface="ＭＳ Ｐゴシック" panose="020B0600070205080204" pitchFamily="50" charset="-128"/>
          </a:endParaRPr>
        </a:p>
        <a:p>
          <a:r>
            <a:rPr kumimoji="1" lang="ja-JP" altLang="en-US" sz="1600" b="0">
              <a:solidFill>
                <a:sysClr val="windowText" lastClr="000000"/>
              </a:solidFill>
              <a:ea typeface="ＭＳ Ｐゴシック" panose="020B0600070205080204" pitchFamily="50" charset="-128"/>
            </a:rPr>
            <a:t>ご応募時の</a:t>
          </a:r>
          <a:r>
            <a:rPr kumimoji="1" lang="ja-JP" altLang="en-US" sz="1600" b="1">
              <a:solidFill>
                <a:srgbClr val="FF0000"/>
              </a:solidFill>
              <a:ea typeface="ＭＳ Ｐゴシック" panose="020B0600070205080204" pitchFamily="50" charset="-128"/>
            </a:rPr>
            <a:t>「</a:t>
          </a:r>
          <a:r>
            <a:rPr kumimoji="1" lang="ja-JP" altLang="en-US" sz="1600" b="1" u="none">
              <a:solidFill>
                <a:srgbClr val="FF0000"/>
              </a:solidFill>
              <a:ea typeface="ＭＳ Ｐゴシック" panose="020B0600070205080204" pitchFamily="50" charset="-128"/>
            </a:rPr>
            <a:t>支援金額調書</a:t>
          </a:r>
          <a:r>
            <a:rPr kumimoji="1" lang="ja-JP" altLang="en-US" sz="1600" b="1">
              <a:solidFill>
                <a:srgbClr val="FF0000"/>
              </a:solidFill>
              <a:ea typeface="ＭＳ Ｐゴシック" panose="020B0600070205080204" pitchFamily="50" charset="-128"/>
            </a:rPr>
            <a:t>」</a:t>
          </a:r>
          <a:r>
            <a:rPr kumimoji="1" lang="ja-JP" altLang="en-US" sz="1600" b="0">
              <a:solidFill>
                <a:sysClr val="windowText" lastClr="000000"/>
              </a:solidFill>
              <a:ea typeface="ＭＳ Ｐゴシック" panose="020B0600070205080204" pitchFamily="50" charset="-128"/>
            </a:rPr>
            <a:t>にご記載の金額をご入力ください。</a:t>
          </a:r>
          <a:endParaRPr kumimoji="1" lang="en-US" altLang="ja-JP" sz="1600" b="0">
            <a:solidFill>
              <a:sysClr val="windowText" lastClr="000000"/>
            </a:solidFill>
            <a:ea typeface="ＭＳ Ｐゴシック" panose="020B0600070205080204" pitchFamily="50" charset="-128"/>
          </a:endParaRPr>
        </a:p>
        <a:p>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「支援金申請書兼請求書」のご提出時（前年度２～３月頃）に、</a:t>
          </a:r>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予算を変更された場合は、ご変更後の金額となります。</a:t>
          </a:r>
          <a:endParaRPr kumimoji="1" lang="en-US" altLang="ja-JP" sz="1600" b="0">
            <a:solidFill>
              <a:sysClr val="windowText" lastClr="000000"/>
            </a:solidFill>
            <a:latin typeface="+mn-lt"/>
            <a:ea typeface="ＭＳ Ｐゴシック" panose="020B0600070205080204" pitchFamily="50" charset="-128"/>
            <a:cs typeface="+mn-cs"/>
          </a:endParaRPr>
        </a:p>
        <a:p>
          <a:endParaRPr kumimoji="1" lang="en-US" altLang="ja-JP" sz="1600" b="0">
            <a:solidFill>
              <a:sysClr val="windowText" lastClr="000000"/>
            </a:solidFill>
            <a:latin typeface="+mn-lt"/>
            <a:ea typeface="ＭＳ Ｐゴシック" panose="020B0600070205080204" pitchFamily="50" charset="-128"/>
            <a:cs typeface="+mn-cs"/>
          </a:endParaRPr>
        </a:p>
        <a:p>
          <a:r>
            <a:rPr kumimoji="1" lang="ja-JP" altLang="en-US" sz="1600" b="0">
              <a:solidFill>
                <a:sysClr val="windowText" lastClr="000000"/>
              </a:solidFill>
              <a:latin typeface="+mn-lt"/>
              <a:ea typeface="ＭＳ Ｐゴシック" panose="020B0600070205080204" pitchFamily="50" charset="-128"/>
              <a:cs typeface="+mn-cs"/>
            </a:rPr>
            <a:t>事業期中に予算を変更しても、その金額を入力しないでください。</a:t>
          </a:r>
          <a:endParaRPr kumimoji="1" lang="en-US" altLang="ja-JP" sz="1600" b="0">
            <a:solidFill>
              <a:sysClr val="windowText" lastClr="000000"/>
            </a:solidFill>
            <a:latin typeface="+mn-lt"/>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83344</xdr:rowOff>
    </xdr:from>
    <xdr:to>
      <xdr:col>32</xdr:col>
      <xdr:colOff>59531</xdr:colOff>
      <xdr:row>10</xdr:row>
      <xdr:rowOff>154782</xdr:rowOff>
    </xdr:to>
    <xdr:sp macro="" textlink="">
      <xdr:nvSpPr>
        <xdr:cNvPr id="2" name="四角形: 角を丸くする 1">
          <a:extLst>
            <a:ext uri="{FF2B5EF4-FFF2-40B4-BE49-F238E27FC236}">
              <a16:creationId xmlns:a16="http://schemas.microsoft.com/office/drawing/2014/main" id="{EF31804C-B40A-431B-85ED-A861384ACBBC}"/>
            </a:ext>
          </a:extLst>
        </xdr:cNvPr>
        <xdr:cNvSpPr/>
      </xdr:nvSpPr>
      <xdr:spPr>
        <a:xfrm>
          <a:off x="95250" y="83344"/>
          <a:ext cx="9655969" cy="2452688"/>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latin typeface="ＭＳ Ｐゴシック" panose="020B0600070205080204" pitchFamily="50" charset="-128"/>
              <a:ea typeface="ＭＳ Ｐゴシック" panose="020B0600070205080204" pitchFamily="50" charset="-128"/>
            </a:rPr>
            <a:t>　★使い方：期中に予算のご変更を検討される際は、「変更後（ピンク色の箇所）」に金額をご入力ください。</a:t>
          </a:r>
          <a:endParaRPr kumimoji="1" lang="en-US" altLang="ja-JP" sz="1400">
            <a:latin typeface="ＭＳ Ｐゴシック" panose="020B0600070205080204" pitchFamily="50" charset="-128"/>
            <a:ea typeface="ＭＳ Ｐゴシック" panose="020B0600070205080204" pitchFamily="50" charset="-128"/>
          </a:endParaRPr>
        </a:p>
        <a:p>
          <a:pPr algn="l"/>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・変更にあたり手続きが必要な場合は、下部に「</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要相談</a:t>
          </a:r>
          <a:r>
            <a:rPr kumimoji="1" lang="ja-JP" altLang="en-US" sz="1400">
              <a:latin typeface="ＭＳ Ｐゴシック" panose="020B0600070205080204" pitchFamily="50" charset="-128"/>
              <a:ea typeface="ＭＳ Ｐゴシック" panose="020B0600070205080204" pitchFamily="50" charset="-128"/>
            </a:rPr>
            <a:t>」と表示されます。</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baseline="0">
              <a:latin typeface="ＭＳ Ｐゴシック" panose="020B0600070205080204" pitchFamily="50" charset="-128"/>
              <a:ea typeface="ＭＳ Ｐゴシック" panose="020B0600070205080204" pitchFamily="50" charset="-128"/>
            </a:rPr>
            <a:t> 　 支出管理</a:t>
          </a:r>
          <a:r>
            <a:rPr kumimoji="1" lang="ja-JP" altLang="en-US" sz="1400">
              <a:latin typeface="ＭＳ Ｐゴシック" panose="020B0600070205080204" pitchFamily="50" charset="-128"/>
              <a:ea typeface="ＭＳ Ｐゴシック" panose="020B0600070205080204" pitchFamily="50" charset="-128"/>
            </a:rPr>
            <a:t>エクセルを担当者に送付の上、ご相談ください。</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支援事業の内容（手段、手法、委員会の改廃、実施か所数）を変更しない場合は、ご相談は不要です。</a:t>
          </a:r>
          <a:endParaRPr kumimoji="1" lang="en-US" altLang="ja-JP" sz="1400">
            <a:latin typeface="ＭＳ Ｐゴシック" panose="020B0600070205080204" pitchFamily="50" charset="-128"/>
            <a:ea typeface="ＭＳ Ｐゴシック" panose="020B0600070205080204" pitchFamily="50" charset="-128"/>
          </a:endParaRPr>
        </a:p>
        <a:p>
          <a:pPr algn="l"/>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a:t>
          </a:r>
          <a:r>
            <a:rPr kumimoji="1" lang="ja-JP" altLang="en-US" sz="1400" b="1">
              <a:solidFill>
                <a:srgbClr val="FF0000"/>
              </a:solidFill>
              <a:latin typeface="ＭＳ Ｐゴシック" panose="020B0600070205080204" pitchFamily="50" charset="-128"/>
              <a:ea typeface="ＭＳ Ｐゴシック" panose="020B0600070205080204" pitchFamily="50" charset="-128"/>
            </a:rPr>
            <a:t>変更可（相談不要）</a:t>
          </a:r>
          <a:r>
            <a:rPr kumimoji="1" lang="ja-JP" altLang="en-US" sz="1400">
              <a:latin typeface="ＭＳ Ｐゴシック" panose="020B0600070205080204" pitchFamily="50" charset="-128"/>
              <a:ea typeface="ＭＳ Ｐゴシック" panose="020B0600070205080204" pitchFamily="50" charset="-128"/>
            </a:rPr>
            <a:t>」と表示された場合は、変更後の予算で進めていただいて結構です。</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ただし、予算計上した経費が、支援対象となるものかどうかは「ガイドブック（事務の手引き）」でご確認ください。</a:t>
          </a:r>
          <a:endParaRPr kumimoji="1" lang="en-US" altLang="ja-JP" sz="1400">
            <a:latin typeface="ＭＳ Ｐゴシック" panose="020B0600070205080204" pitchFamily="50" charset="-128"/>
            <a:ea typeface="ＭＳ Ｐゴシック" panose="020B0600070205080204" pitchFamily="50" charset="-128"/>
          </a:endParaRPr>
        </a:p>
        <a:p>
          <a:pPr algn="l"/>
          <a:r>
            <a:rPr kumimoji="1" lang="ja-JP" altLang="en-US" sz="1400">
              <a:latin typeface="ＭＳ Ｐゴシック" panose="020B0600070205080204" pitchFamily="50" charset="-128"/>
              <a:ea typeface="ＭＳ Ｐゴシック" panose="020B0600070205080204" pitchFamily="50" charset="-128"/>
            </a:rPr>
            <a:t>　　判断に迷う場合は担当者までご相談ください。</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359410</xdr:colOff>
      <xdr:row>10</xdr:row>
      <xdr:rowOff>182880</xdr:rowOff>
    </xdr:from>
    <xdr:to>
      <xdr:col>17</xdr:col>
      <xdr:colOff>300990</xdr:colOff>
      <xdr:row>12</xdr:row>
      <xdr:rowOff>60960</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6557010" y="2653030"/>
          <a:ext cx="367030" cy="3352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205740</xdr:colOff>
      <xdr:row>0</xdr:row>
      <xdr:rowOff>271779</xdr:rowOff>
    </xdr:from>
    <xdr:to>
      <xdr:col>27</xdr:col>
      <xdr:colOff>47625</xdr:colOff>
      <xdr:row>6</xdr:row>
      <xdr:rowOff>71437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8254365" y="271779"/>
          <a:ext cx="3520916" cy="116887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重要</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入力時の注意点</a:t>
          </a:r>
          <a:endParaRPr kumimoji="1" lang="en-US" altLang="ja-JP" sz="1600" b="1">
            <a:latin typeface="ＭＳ Ｐゴシック" panose="020B0600070205080204" pitchFamily="50" charset="-128"/>
            <a:ea typeface="ＭＳ Ｐゴシック" panose="020B0600070205080204" pitchFamily="50" charset="-128"/>
          </a:endParaRPr>
        </a:p>
        <a:p>
          <a:r>
            <a:rPr kumimoji="1" lang="ja-JP" altLang="en-US" sz="1400" b="0">
              <a:latin typeface="ＭＳ Ｐゴシック" panose="020B0600070205080204" pitchFamily="50" charset="-128"/>
              <a:ea typeface="ＭＳ Ｐゴシック" panose="020B0600070205080204" pitchFamily="50" charset="-128"/>
            </a:rPr>
            <a:t>　ピンク色の箇所に入力してください。</a:t>
          </a:r>
          <a:endParaRPr kumimoji="0" lang="en-US" altLang="ja-JP" sz="1100" b="1" i="0" u="sng" strike="noStrike">
            <a:solidFill>
              <a:schemeClr val="dk1"/>
            </a:solidFill>
            <a:effectLst/>
            <a:latin typeface="+mn-lt"/>
            <a:ea typeface="+mn-ea"/>
            <a:cs typeface="+mn-cs"/>
          </a:endParaRPr>
        </a:p>
        <a:p>
          <a:endParaRPr kumimoji="0" lang="en-US" altLang="ja-JP" sz="1100" b="1" i="0" u="none" strike="noStrike">
            <a:solidFill>
              <a:schemeClr val="dk1"/>
            </a:solidFill>
            <a:effectLst/>
            <a:latin typeface="+mn-lt"/>
            <a:ea typeface="+mn-ea"/>
            <a:cs typeface="+mn-cs"/>
          </a:endParaRPr>
        </a:p>
        <a:p>
          <a:r>
            <a:rPr kumimoji="0" lang="ja-JP" altLang="en-US" sz="1100" b="1" i="0" u="none" strike="noStrike">
              <a:solidFill>
                <a:schemeClr val="dk1"/>
              </a:solidFill>
              <a:effectLst/>
              <a:latin typeface="+mn-lt"/>
              <a:ea typeface="+mn-ea"/>
              <a:cs typeface="+mn-cs"/>
            </a:rPr>
            <a:t>　</a:t>
          </a:r>
          <a:r>
            <a:rPr kumimoji="0" lang="ja-JP" altLang="en-US" sz="1400" b="1" i="0" u="sng" strike="noStrike">
              <a:solidFill>
                <a:schemeClr val="accent1">
                  <a:lumMod val="75000"/>
                </a:schemeClr>
              </a:solidFill>
              <a:effectLst/>
              <a:latin typeface="ＭＳ Ｐゴシック" panose="020B0600070205080204" pitchFamily="50" charset="-128"/>
              <a:ea typeface="ＭＳ Ｐゴシック" panose="020B0600070205080204" pitchFamily="50" charset="-128"/>
              <a:cs typeface="+mn-cs"/>
            </a:rPr>
            <a:t>メニュー画面へ</a:t>
          </a:r>
          <a:endParaRPr kumimoji="1" lang="en-US" altLang="ja-JP" sz="1400" b="0" u="sng">
            <a:solidFill>
              <a:schemeClr val="accent1">
                <a:lumMod val="75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9"/>
  <sheetViews>
    <sheetView showGridLines="0" tabSelected="1" view="pageBreakPreview" zoomScaleNormal="100" zoomScaleSheetLayoutView="100" workbookViewId="0">
      <selection activeCell="E1" sqref="E1"/>
    </sheetView>
  </sheetViews>
  <sheetFormatPr defaultRowHeight="18.75" x14ac:dyDescent="0.4"/>
  <cols>
    <col min="1" max="1" width="2.625" style="9" customWidth="1"/>
    <col min="2" max="2" width="31.625" style="9" customWidth="1"/>
    <col min="3" max="3" width="51.125" style="9" customWidth="1"/>
    <col min="4" max="4" width="2.125" style="9" customWidth="1"/>
  </cols>
  <sheetData>
    <row r="1" spans="2:7" ht="19.5" thickBot="1" x14ac:dyDescent="0.45">
      <c r="B1" s="40" t="s">
        <v>66</v>
      </c>
    </row>
    <row r="2" spans="2:7" ht="39.75" customHeight="1" x14ac:dyDescent="0.4">
      <c r="B2" s="38" t="s">
        <v>119</v>
      </c>
      <c r="C2" s="41" t="s">
        <v>246</v>
      </c>
      <c r="D2" s="13"/>
      <c r="E2" s="1"/>
      <c r="F2" s="1"/>
      <c r="G2" s="1"/>
    </row>
    <row r="3" spans="2:7" ht="40.35" customHeight="1" x14ac:dyDescent="0.4">
      <c r="B3" s="39" t="s">
        <v>67</v>
      </c>
      <c r="C3" s="42" t="s">
        <v>220</v>
      </c>
      <c r="D3" s="13"/>
      <c r="E3" s="1"/>
      <c r="F3" s="1"/>
      <c r="G3" s="1"/>
    </row>
    <row r="4" spans="2:7" ht="40.35" customHeight="1" thickBot="1" x14ac:dyDescent="0.45">
      <c r="B4" s="39" t="s">
        <v>112</v>
      </c>
      <c r="C4" s="42" t="s">
        <v>219</v>
      </c>
      <c r="D4" s="13"/>
      <c r="E4" s="1"/>
      <c r="F4" s="1"/>
      <c r="G4" s="1"/>
    </row>
    <row r="5" spans="2:7" ht="40.35" customHeight="1" thickTop="1" x14ac:dyDescent="0.4">
      <c r="B5" s="167" t="s">
        <v>68</v>
      </c>
      <c r="C5" s="168" t="s">
        <v>199</v>
      </c>
      <c r="D5" s="13"/>
      <c r="E5" s="1"/>
      <c r="F5" s="1"/>
      <c r="G5" s="1"/>
    </row>
    <row r="6" spans="2:7" ht="40.35" customHeight="1" x14ac:dyDescent="0.4">
      <c r="B6" s="169" t="s">
        <v>110</v>
      </c>
      <c r="C6" s="170" t="s">
        <v>251</v>
      </c>
      <c r="D6" s="13"/>
      <c r="E6" s="1"/>
      <c r="F6" s="1"/>
      <c r="G6" s="1"/>
    </row>
    <row r="7" spans="2:7" ht="41.25" thickBot="1" x14ac:dyDescent="0.45">
      <c r="B7" s="171" t="s">
        <v>111</v>
      </c>
      <c r="C7" s="172" t="s">
        <v>250</v>
      </c>
      <c r="D7" s="13"/>
      <c r="E7" s="1"/>
      <c r="F7" s="1"/>
      <c r="G7" s="1"/>
    </row>
    <row r="8" spans="2:7" ht="40.35" customHeight="1" thickTop="1" thickBot="1" x14ac:dyDescent="0.45">
      <c r="B8" s="165" t="s">
        <v>198</v>
      </c>
      <c r="C8" s="166" t="s">
        <v>228</v>
      </c>
      <c r="D8" s="13"/>
      <c r="E8" s="1"/>
      <c r="F8" s="1"/>
      <c r="G8" s="1"/>
    </row>
    <row r="9" spans="2:7" x14ac:dyDescent="0.4">
      <c r="B9" s="4"/>
    </row>
  </sheetData>
  <sheetProtection algorithmName="SHA-512" hashValue="5ihvOD2UlrAnJsXjyiPydNXS7ZEMZvlk8ix/Gw+eSFXJkljmf/7fa2XfxMscBnGU8bBM14UXfOka20qq96Ztkw==" saltValue="dtuTQbbU1lrEStmxPToKkw==" spinCount="100000" sheet="1" formatCells="0" formatColumns="0" formatRows="0" autoFilter="0"/>
  <phoneticPr fontId="4"/>
  <hyperlinks>
    <hyperlink ref="B6" location="総事業費の支出額内訳!B4" display="支出額内訳" xr:uid="{00000000-0004-0000-0000-000003000000}"/>
    <hyperlink ref="B3" location="支出入力表!B5" display="支出入力表" xr:uid="{00000000-0004-0000-0000-000004000000}"/>
    <hyperlink ref="B7" location="事業完了報告書!M4" display="事業完了報告書" xr:uid="{00000000-0004-0000-0000-000005000000}"/>
    <hyperlink ref="B5" location="精算額計算書!J8" display="精算額計算書" xr:uid="{00000000-0004-0000-0000-000006000000}"/>
    <hyperlink ref="B2" location="団体基本情報!D4" display="団体基本情報" xr:uid="{00000000-0004-0000-0000-000007000000}"/>
    <hyperlink ref="B4" location="収入入力表!B5" display="収入入力表" xr:uid="{00000000-0004-0000-0000-000009000000}"/>
    <hyperlink ref="B8" location="予算変更確認!N17" display="予算変更の確認" xr:uid="{D6B59562-EFE7-4624-BF1F-302C2791C857}"/>
  </hyperlink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1:N22"/>
  <sheetViews>
    <sheetView showGridLines="0" workbookViewId="0">
      <selection activeCell="D4" sqref="D4"/>
    </sheetView>
  </sheetViews>
  <sheetFormatPr defaultRowHeight="18.75" x14ac:dyDescent="0.4"/>
  <cols>
    <col min="1" max="1" width="2.125" customWidth="1"/>
    <col min="2" max="2" width="6.125" style="9" customWidth="1"/>
    <col min="3" max="3" width="23.75" style="9" bestFit="1" customWidth="1"/>
    <col min="4" max="4" width="35.125" style="9" customWidth="1"/>
    <col min="5" max="5" width="5.625" style="57" customWidth="1"/>
    <col min="6" max="6" width="17.125" style="9" customWidth="1"/>
  </cols>
  <sheetData>
    <row r="1" spans="2:14" ht="26.1" customHeight="1" x14ac:dyDescent="0.4">
      <c r="B1" s="215" t="s">
        <v>120</v>
      </c>
      <c r="C1" s="215"/>
      <c r="D1" s="215"/>
      <c r="E1" s="65"/>
      <c r="F1" s="13"/>
    </row>
    <row r="2" spans="2:14" ht="26.1" customHeight="1" thickBot="1" x14ac:dyDescent="0.45">
      <c r="B2" s="214" t="s">
        <v>121</v>
      </c>
      <c r="C2" s="214"/>
      <c r="D2" s="13"/>
      <c r="E2" s="66"/>
      <c r="F2" s="13"/>
    </row>
    <row r="3" spans="2:14" ht="26.1" customHeight="1" thickBot="1" x14ac:dyDescent="0.45">
      <c r="B3" s="222" t="s">
        <v>200</v>
      </c>
      <c r="C3" s="223"/>
      <c r="D3" s="183">
        <v>4</v>
      </c>
      <c r="E3" s="67" t="s">
        <v>203</v>
      </c>
      <c r="F3" s="43"/>
    </row>
    <row r="4" spans="2:14" ht="23.1" customHeight="1" thickBot="1" x14ac:dyDescent="0.45">
      <c r="B4" s="226" t="s">
        <v>201</v>
      </c>
      <c r="C4" s="227"/>
      <c r="D4" s="178"/>
      <c r="E4" s="43"/>
    </row>
    <row r="5" spans="2:14" ht="35.85" customHeight="1" x14ac:dyDescent="0.4">
      <c r="B5" s="228" t="s">
        <v>14</v>
      </c>
      <c r="C5" s="229"/>
      <c r="D5" s="120"/>
      <c r="E5" s="66"/>
      <c r="F5" s="13"/>
    </row>
    <row r="6" spans="2:14" x14ac:dyDescent="0.4">
      <c r="B6" s="216" t="s">
        <v>109</v>
      </c>
      <c r="C6" s="217"/>
      <c r="D6" s="89"/>
      <c r="E6" s="66"/>
      <c r="F6" s="13"/>
      <c r="I6" s="2"/>
    </row>
    <row r="7" spans="2:14" ht="35.1" customHeight="1" x14ac:dyDescent="0.4">
      <c r="B7" s="216" t="s">
        <v>15</v>
      </c>
      <c r="C7" s="217"/>
      <c r="D7" s="121"/>
      <c r="E7" s="66"/>
      <c r="F7" s="13"/>
      <c r="H7" s="2"/>
      <c r="I7" s="2"/>
    </row>
    <row r="8" spans="2:14" x14ac:dyDescent="0.4">
      <c r="B8" s="216" t="s">
        <v>16</v>
      </c>
      <c r="C8" s="217"/>
      <c r="D8" s="89"/>
      <c r="E8" s="66"/>
      <c r="F8" s="13"/>
    </row>
    <row r="9" spans="2:14" ht="19.5" thickBot="1" x14ac:dyDescent="0.45">
      <c r="B9" s="218" t="s">
        <v>17</v>
      </c>
      <c r="C9" s="219"/>
      <c r="D9" s="90"/>
      <c r="E9" s="66"/>
      <c r="F9" s="13"/>
      <c r="H9" s="2"/>
    </row>
    <row r="10" spans="2:14" ht="13.35" customHeight="1" thickBot="1" x14ac:dyDescent="0.45">
      <c r="B10" s="44"/>
      <c r="C10" s="45"/>
      <c r="D10" s="44"/>
      <c r="E10" s="66"/>
      <c r="F10" s="13"/>
      <c r="G10" s="2"/>
      <c r="H10" s="2"/>
      <c r="M10" s="2"/>
    </row>
    <row r="11" spans="2:14" ht="35.85" customHeight="1" thickBot="1" x14ac:dyDescent="0.45">
      <c r="B11" s="220" t="s">
        <v>204</v>
      </c>
      <c r="C11" s="221"/>
      <c r="D11" s="184"/>
      <c r="E11" s="43" t="s">
        <v>202</v>
      </c>
      <c r="L11" s="2"/>
      <c r="M11" s="2"/>
    </row>
    <row r="12" spans="2:14" ht="19.5" thickBot="1" x14ac:dyDescent="0.45">
      <c r="B12" s="224" t="s">
        <v>153</v>
      </c>
      <c r="C12" s="225"/>
      <c r="D12" s="123"/>
      <c r="E12" s="43" t="s">
        <v>25</v>
      </c>
    </row>
    <row r="13" spans="2:14" x14ac:dyDescent="0.4">
      <c r="B13" s="91">
        <v>1</v>
      </c>
      <c r="C13" s="185" t="s">
        <v>205</v>
      </c>
      <c r="D13" s="120"/>
      <c r="E13" s="43"/>
    </row>
    <row r="14" spans="2:14" x14ac:dyDescent="0.4">
      <c r="B14" s="92">
        <v>2</v>
      </c>
      <c r="C14" s="186" t="s">
        <v>206</v>
      </c>
      <c r="D14" s="121"/>
      <c r="E14" s="66"/>
      <c r="F14" s="13"/>
    </row>
    <row r="15" spans="2:14" x14ac:dyDescent="0.4">
      <c r="B15" s="92">
        <v>3</v>
      </c>
      <c r="C15" s="186" t="s">
        <v>207</v>
      </c>
      <c r="D15" s="121"/>
      <c r="E15" s="66"/>
      <c r="F15" s="13"/>
      <c r="M15" s="2"/>
      <c r="N15" s="2"/>
    </row>
    <row r="16" spans="2:14" x14ac:dyDescent="0.4">
      <c r="B16" s="92">
        <v>4</v>
      </c>
      <c r="C16" s="186" t="s">
        <v>208</v>
      </c>
      <c r="D16" s="121"/>
      <c r="E16" s="66"/>
      <c r="F16" s="13"/>
    </row>
    <row r="17" spans="2:6" x14ac:dyDescent="0.4">
      <c r="B17" s="92">
        <v>5</v>
      </c>
      <c r="C17" s="186" t="s">
        <v>209</v>
      </c>
      <c r="D17" s="121"/>
      <c r="E17" s="66"/>
      <c r="F17" s="13"/>
    </row>
    <row r="18" spans="2:6" x14ac:dyDescent="0.4">
      <c r="B18" s="92">
        <v>6</v>
      </c>
      <c r="C18" s="186" t="s">
        <v>210</v>
      </c>
      <c r="D18" s="121"/>
      <c r="E18" s="66"/>
      <c r="F18" s="13"/>
    </row>
    <row r="19" spans="2:6" x14ac:dyDescent="0.4">
      <c r="B19" s="92">
        <v>7</v>
      </c>
      <c r="C19" s="186" t="s">
        <v>211</v>
      </c>
      <c r="D19" s="121"/>
      <c r="E19" s="66"/>
      <c r="F19" s="13"/>
    </row>
    <row r="20" spans="2:6" x14ac:dyDescent="0.4">
      <c r="B20" s="92">
        <v>8</v>
      </c>
      <c r="C20" s="186" t="s">
        <v>212</v>
      </c>
      <c r="D20" s="121"/>
      <c r="E20" s="66"/>
      <c r="F20" s="13"/>
    </row>
    <row r="21" spans="2:6" x14ac:dyDescent="0.4">
      <c r="B21" s="92">
        <v>9</v>
      </c>
      <c r="C21" s="186" t="s">
        <v>213</v>
      </c>
      <c r="D21" s="121"/>
      <c r="E21" s="66"/>
      <c r="F21" s="13"/>
    </row>
    <row r="22" spans="2:6" ht="19.5" thickBot="1" x14ac:dyDescent="0.45">
      <c r="B22" s="93">
        <v>10</v>
      </c>
      <c r="C22" s="187" t="s">
        <v>214</v>
      </c>
      <c r="D22" s="122"/>
      <c r="E22" s="66"/>
      <c r="F22" s="13"/>
    </row>
  </sheetData>
  <sheetProtection algorithmName="SHA-512" hashValue="Qol+PkMp08zEjWsKrWHLX+r8z7rc3irVK9UcrwGv0UgvgNA3lbS/nZV5iV62K9QsKqf9mMs9A3+X+qSGrHhEJA==" saltValue="AwG8g9eEHoDws8u2tLlrGg==" spinCount="100000" sheet="1" formatCells="0" formatColumns="0" formatRows="0" autoFilter="0"/>
  <mergeCells count="11">
    <mergeCell ref="B12:C12"/>
    <mergeCell ref="B4:C4"/>
    <mergeCell ref="B5:C5"/>
    <mergeCell ref="B6:C6"/>
    <mergeCell ref="B7:C7"/>
    <mergeCell ref="B2:C2"/>
    <mergeCell ref="B1:D1"/>
    <mergeCell ref="B8:C8"/>
    <mergeCell ref="B9:C9"/>
    <mergeCell ref="B11:C11"/>
    <mergeCell ref="B3:C3"/>
  </mergeCells>
  <phoneticPr fontId="4"/>
  <conditionalFormatting sqref="D5:D9">
    <cfRule type="cellIs" dxfId="200" priority="3" operator="equal">
      <formula>""</formula>
    </cfRule>
  </conditionalFormatting>
  <conditionalFormatting sqref="D3:D4">
    <cfRule type="cellIs" dxfId="199" priority="2" operator="equal">
      <formula>""</formula>
    </cfRule>
  </conditionalFormatting>
  <conditionalFormatting sqref="D11:D22">
    <cfRule type="cellIs" dxfId="198" priority="1" operator="equal">
      <formula>""</formula>
    </cfRule>
  </conditionalFormatting>
  <dataValidations count="4">
    <dataValidation imeMode="disabled" allowBlank="1" showInputMessage="1" showErrorMessage="1" sqref="D6 D3" xr:uid="{FF5CA655-53F5-4FED-AB6B-7B6EB840915A}"/>
    <dataValidation type="whole" imeMode="disabled" allowBlank="1" showInputMessage="1" showErrorMessage="1" promptTitle="ご注意ください" prompt="2022からはじまる_x000a_11桁の数字を入力してください。" sqref="D4" xr:uid="{876C61F5-05B2-45F1-96FF-8516E518F17E}">
      <formula1>0</formula1>
      <formula2>1000000000000</formula2>
    </dataValidation>
    <dataValidation type="whole" imeMode="disabled" allowBlank="1" showInputMessage="1" showErrorMessage="1" promptTitle="千円単位" prompt="金額のみ入力してください。" sqref="D11" xr:uid="{5179AADB-CDEA-4BC3-9B33-FBB4FF20D288}">
      <formula1>0</formula1>
      <formula2>3000</formula2>
    </dataValidation>
    <dataValidation allowBlank="1" showInputMessage="1" showErrorMessage="1" promptTitle="柱立てについて" prompt="支援事業が複数の取り組みの組み合わせで成立する場合の各取り組みの単位を「柱立て」といいます。" sqref="D13:D22" xr:uid="{CD605DA1-4CB5-48E2-B8EC-96CBB3B3D6F9}"/>
  </dataValidations>
  <hyperlinks>
    <hyperlink ref="B2:C2" location="メニュー画面!B2" display="メニュー画面へ" xr:uid="{00000000-0004-0000-0100-000000000000}"/>
  </hyperlinks>
  <pageMargins left="0.7" right="0.7" top="0.75" bottom="0.75" header="0.3" footer="0.3"/>
  <pageSetup paperSize="9" scale="7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B1:Q1005"/>
  <sheetViews>
    <sheetView showGridLines="0" view="pageBreakPreview" zoomScale="70" zoomScaleNormal="70" zoomScaleSheetLayoutView="70" workbookViewId="0">
      <selection activeCell="B6" sqref="B6"/>
    </sheetView>
  </sheetViews>
  <sheetFormatPr defaultRowHeight="18.75" x14ac:dyDescent="0.4"/>
  <cols>
    <col min="1" max="1" width="2.375" customWidth="1"/>
    <col min="2" max="2" width="15.625" style="9" customWidth="1"/>
    <col min="3" max="3" width="6.625" style="9" customWidth="1"/>
    <col min="4" max="4" width="26" style="57" customWidth="1"/>
    <col min="5" max="5" width="2.5" style="57" customWidth="1"/>
    <col min="6" max="6" width="15.25" style="57" customWidth="1"/>
    <col min="7" max="7" width="0.25" style="127" customWidth="1"/>
    <col min="8" max="8" width="15.25" style="57" customWidth="1"/>
    <col min="9" max="9" width="22.625" style="9" customWidth="1"/>
    <col min="10" max="11" width="29.625" style="9" customWidth="1"/>
    <col min="12" max="12" width="13.625" style="9" customWidth="1"/>
    <col min="13" max="13" width="12.375" style="9" customWidth="1"/>
    <col min="14" max="14" width="13.75" style="9" customWidth="1"/>
    <col min="15" max="15" width="11.875" style="9" customWidth="1"/>
    <col min="16" max="16" width="2.125" style="9" customWidth="1"/>
  </cols>
  <sheetData>
    <row r="1" spans="2:16" s="2" customFormat="1" ht="176.25" customHeight="1" x14ac:dyDescent="0.4">
      <c r="B1" s="72" t="s">
        <v>67</v>
      </c>
      <c r="C1" s="27"/>
      <c r="D1" s="37"/>
      <c r="E1" s="37"/>
      <c r="F1" s="37"/>
      <c r="G1" s="126"/>
      <c r="H1" s="37"/>
      <c r="I1" s="27"/>
      <c r="J1" s="27"/>
      <c r="K1" s="27"/>
      <c r="L1" s="27"/>
      <c r="M1" s="27"/>
      <c r="N1" s="27"/>
      <c r="O1" s="27"/>
      <c r="P1" s="27"/>
    </row>
    <row r="2" spans="2:16" ht="13.5" customHeight="1" thickBot="1" x14ac:dyDescent="0.45">
      <c r="B2" s="59"/>
      <c r="C2" s="59"/>
      <c r="J2" s="27"/>
      <c r="K2" s="27"/>
      <c r="N2" s="27"/>
    </row>
    <row r="3" spans="2:16" ht="24" customHeight="1" thickBot="1" x14ac:dyDescent="0.3">
      <c r="B3" s="79" t="s">
        <v>118</v>
      </c>
      <c r="C3" s="79"/>
      <c r="D3" s="79"/>
      <c r="E3" s="79"/>
      <c r="K3" s="125" t="s">
        <v>171</v>
      </c>
      <c r="M3" s="231"/>
      <c r="N3" s="231"/>
      <c r="O3" s="231"/>
    </row>
    <row r="4" spans="2:16" ht="7.35" customHeight="1" thickBot="1" x14ac:dyDescent="0.3">
      <c r="E4" s="73"/>
      <c r="F4" s="73"/>
      <c r="G4" s="128"/>
      <c r="H4" s="73"/>
      <c r="M4" s="131"/>
      <c r="N4" s="131"/>
      <c r="O4" s="131"/>
    </row>
    <row r="5" spans="2:16" ht="175.5" customHeight="1" thickBot="1" x14ac:dyDescent="0.45">
      <c r="B5" s="133" t="s">
        <v>223</v>
      </c>
      <c r="C5" s="188" t="s">
        <v>215</v>
      </c>
      <c r="D5" s="134" t="s">
        <v>244</v>
      </c>
      <c r="E5" s="230" t="s">
        <v>217</v>
      </c>
      <c r="F5" s="230"/>
      <c r="G5" s="132"/>
      <c r="H5" s="190" t="s">
        <v>216</v>
      </c>
      <c r="I5" s="135" t="s">
        <v>259</v>
      </c>
      <c r="J5" s="136" t="s">
        <v>245</v>
      </c>
      <c r="K5" s="138" t="s">
        <v>252</v>
      </c>
      <c r="L5" s="137" t="s">
        <v>168</v>
      </c>
      <c r="M5" s="130" t="s">
        <v>243</v>
      </c>
      <c r="N5" s="189" t="s">
        <v>261</v>
      </c>
      <c r="O5" s="203" t="s">
        <v>260</v>
      </c>
    </row>
    <row r="6" spans="2:16" x14ac:dyDescent="0.4">
      <c r="B6" s="74"/>
      <c r="C6" s="75"/>
      <c r="D6" s="426" t="str">
        <f>IF(C6="","",VLOOKUP(C6,団体基本情報!$B$13:$D$22,3,FALSE))</f>
        <v/>
      </c>
      <c r="E6" s="427" t="str">
        <f>IF(F6="","",IF(F6="謝金","01.",IF(F6="旅費","02.",IF(F6="その他","04.","03."))))</f>
        <v/>
      </c>
      <c r="F6" s="428" t="str">
        <f>IF(H6="","",IF(H6="謝金","謝金",IF(H6="旅費","旅費",IF(H6="対象外経費","その他","所費"))))</f>
        <v/>
      </c>
      <c r="G6" s="129" t="str">
        <f>IF(H6="","",VLOOKUP(H6,プルダウン用リスト!$K$1:$M$15,2,FALSE))</f>
        <v/>
      </c>
      <c r="H6" s="76"/>
      <c r="I6" s="76"/>
      <c r="J6" s="76"/>
      <c r="K6" s="145"/>
      <c r="L6" s="77"/>
      <c r="M6" s="78"/>
      <c r="N6" s="71"/>
      <c r="O6" s="432" t="str">
        <f>IF(H6="対象外経費",M6,IF(N6="","",M6-N6))</f>
        <v/>
      </c>
    </row>
    <row r="7" spans="2:16" x14ac:dyDescent="0.4">
      <c r="B7" s="74"/>
      <c r="C7" s="60"/>
      <c r="D7" s="426" t="str">
        <f>IF(C7="","",VLOOKUP(C7,団体基本情報!$B$13:$D$22,3,FALSE))</f>
        <v/>
      </c>
      <c r="E7" s="427" t="str">
        <f t="shared" ref="E7:E70" si="0">IF(F7="","",IF(F7="謝金","01.",IF(F7="旅費","02.",IF(F7="その他","04.","03."))))</f>
        <v/>
      </c>
      <c r="F7" s="428" t="str">
        <f t="shared" ref="F7:F70" si="1">IF(H7="","",IF(H7="謝金","謝金",IF(H7="旅費","旅費",IF(H7="対象外経費","その他","所費"))))</f>
        <v/>
      </c>
      <c r="G7" s="129" t="str">
        <f>IF(H7="","",VLOOKUP(H7,プルダウン用リスト!$K$1:$M$15,2,FALSE))</f>
        <v/>
      </c>
      <c r="H7" s="76"/>
      <c r="I7" s="61"/>
      <c r="J7" s="76"/>
      <c r="K7" s="146"/>
      <c r="L7" s="77"/>
      <c r="M7" s="78"/>
      <c r="N7" s="71"/>
      <c r="O7" s="432" t="str">
        <f t="shared" ref="O7:O70" si="2">IF(H7="対象外経費",M7,IF(N7="","",M7-N7))</f>
        <v/>
      </c>
    </row>
    <row r="8" spans="2:16" x14ac:dyDescent="0.4">
      <c r="B8" s="74"/>
      <c r="C8" s="60"/>
      <c r="D8" s="426" t="str">
        <f>IF(C8="","",VLOOKUP(C8,団体基本情報!$B$13:$D$22,3,FALSE))</f>
        <v/>
      </c>
      <c r="E8" s="427" t="str">
        <f t="shared" si="0"/>
        <v/>
      </c>
      <c r="F8" s="428" t="str">
        <f t="shared" si="1"/>
        <v/>
      </c>
      <c r="G8" s="129" t="str">
        <f>IF(H8="","",VLOOKUP(H8,プルダウン用リスト!$K$1:$M$15,2,FALSE))</f>
        <v/>
      </c>
      <c r="H8" s="76"/>
      <c r="I8" s="61"/>
      <c r="J8" s="76"/>
      <c r="K8" s="146"/>
      <c r="L8" s="77"/>
      <c r="M8" s="78"/>
      <c r="N8" s="71"/>
      <c r="O8" s="432" t="str">
        <f t="shared" si="2"/>
        <v/>
      </c>
    </row>
    <row r="9" spans="2:16" x14ac:dyDescent="0.4">
      <c r="B9" s="74"/>
      <c r="C9" s="60"/>
      <c r="D9" s="426" t="str">
        <f>IF(C9="","",VLOOKUP(C9,団体基本情報!$B$13:$D$22,3,FALSE))</f>
        <v/>
      </c>
      <c r="E9" s="427" t="str">
        <f t="shared" si="0"/>
        <v/>
      </c>
      <c r="F9" s="428" t="str">
        <f t="shared" si="1"/>
        <v/>
      </c>
      <c r="G9" s="129" t="str">
        <f>IF(H9="","",VLOOKUP(H9,プルダウン用リスト!$K$1:$M$15,2,FALSE))</f>
        <v/>
      </c>
      <c r="H9" s="76"/>
      <c r="I9" s="76"/>
      <c r="J9" s="76"/>
      <c r="K9" s="146"/>
      <c r="L9" s="77"/>
      <c r="M9" s="78"/>
      <c r="N9" s="71"/>
      <c r="O9" s="432" t="str">
        <f t="shared" si="2"/>
        <v/>
      </c>
    </row>
    <row r="10" spans="2:16" x14ac:dyDescent="0.4">
      <c r="B10" s="74"/>
      <c r="C10" s="60"/>
      <c r="D10" s="426" t="str">
        <f>IF(C10="","",VLOOKUP(C10,団体基本情報!$B$13:$D$22,3,FALSE))</f>
        <v/>
      </c>
      <c r="E10" s="427" t="str">
        <f t="shared" si="0"/>
        <v/>
      </c>
      <c r="F10" s="428" t="str">
        <f t="shared" si="1"/>
        <v/>
      </c>
      <c r="G10" s="129" t="str">
        <f>IF(H10="","",VLOOKUP(H10,プルダウン用リスト!$K$1:$M$15,2,FALSE))</f>
        <v/>
      </c>
      <c r="H10" s="76"/>
      <c r="I10" s="61"/>
      <c r="J10" s="76"/>
      <c r="K10" s="146"/>
      <c r="L10" s="77"/>
      <c r="M10" s="78"/>
      <c r="N10" s="71"/>
      <c r="O10" s="432" t="str">
        <f t="shared" si="2"/>
        <v/>
      </c>
    </row>
    <row r="11" spans="2:16" x14ac:dyDescent="0.4">
      <c r="B11" s="74"/>
      <c r="C11" s="60"/>
      <c r="D11" s="426" t="str">
        <f>IF(C11="","",VLOOKUP(C11,団体基本情報!$B$13:$D$22,3,FALSE))</f>
        <v/>
      </c>
      <c r="E11" s="427" t="str">
        <f t="shared" si="0"/>
        <v/>
      </c>
      <c r="F11" s="428" t="str">
        <f t="shared" si="1"/>
        <v/>
      </c>
      <c r="G11" s="129" t="str">
        <f>IF(H11="","",VLOOKUP(H11,プルダウン用リスト!$K$1:$M$15,2,FALSE))</f>
        <v/>
      </c>
      <c r="H11" s="76"/>
      <c r="I11" s="61"/>
      <c r="J11" s="76"/>
      <c r="K11" s="146"/>
      <c r="L11" s="77"/>
      <c r="M11" s="78"/>
      <c r="N11" s="71"/>
      <c r="O11" s="432" t="str">
        <f t="shared" si="2"/>
        <v/>
      </c>
    </row>
    <row r="12" spans="2:16" x14ac:dyDescent="0.4">
      <c r="B12" s="74"/>
      <c r="C12" s="60"/>
      <c r="D12" s="426" t="str">
        <f>IF(C12="","",VLOOKUP(C12,団体基本情報!$B$13:$D$22,3,FALSE))</f>
        <v/>
      </c>
      <c r="E12" s="427" t="str">
        <f t="shared" si="0"/>
        <v/>
      </c>
      <c r="F12" s="428" t="str">
        <f t="shared" si="1"/>
        <v/>
      </c>
      <c r="G12" s="129" t="str">
        <f>IF(H12="","",VLOOKUP(H12,プルダウン用リスト!$K$1:$M$15,2,FALSE))</f>
        <v/>
      </c>
      <c r="H12" s="76"/>
      <c r="I12" s="76"/>
      <c r="J12" s="76"/>
      <c r="K12" s="146"/>
      <c r="L12" s="77"/>
      <c r="M12" s="78"/>
      <c r="N12" s="71"/>
      <c r="O12" s="432" t="str">
        <f t="shared" si="2"/>
        <v/>
      </c>
    </row>
    <row r="13" spans="2:16" x14ac:dyDescent="0.4">
      <c r="B13" s="74"/>
      <c r="C13" s="60"/>
      <c r="D13" s="426" t="str">
        <f>IF(C13="","",VLOOKUP(C13,団体基本情報!$B$13:$D$22,3,FALSE))</f>
        <v/>
      </c>
      <c r="E13" s="427" t="str">
        <f t="shared" si="0"/>
        <v/>
      </c>
      <c r="F13" s="428" t="str">
        <f t="shared" si="1"/>
        <v/>
      </c>
      <c r="G13" s="129" t="str">
        <f>IF(H13="","",VLOOKUP(H13,プルダウン用リスト!$K$1:$M$15,2,FALSE))</f>
        <v/>
      </c>
      <c r="H13" s="76"/>
      <c r="I13" s="61"/>
      <c r="J13" s="76"/>
      <c r="K13" s="146"/>
      <c r="L13" s="77"/>
      <c r="M13" s="78"/>
      <c r="N13" s="71"/>
      <c r="O13" s="432" t="str">
        <f t="shared" si="2"/>
        <v/>
      </c>
    </row>
    <row r="14" spans="2:16" x14ac:dyDescent="0.4">
      <c r="B14" s="74"/>
      <c r="C14" s="60"/>
      <c r="D14" s="426" t="str">
        <f>IF(C14="","",VLOOKUP(C14,団体基本情報!$B$13:$D$22,3,FALSE))</f>
        <v/>
      </c>
      <c r="E14" s="427" t="str">
        <f t="shared" si="0"/>
        <v/>
      </c>
      <c r="F14" s="428" t="str">
        <f t="shared" si="1"/>
        <v/>
      </c>
      <c r="G14" s="129" t="str">
        <f>IF(H14="","",VLOOKUP(H14,プルダウン用リスト!$K$1:$M$15,2,FALSE))</f>
        <v/>
      </c>
      <c r="H14" s="76"/>
      <c r="I14" s="61"/>
      <c r="J14" s="76"/>
      <c r="K14" s="146"/>
      <c r="L14" s="77"/>
      <c r="M14" s="78"/>
      <c r="N14" s="71"/>
      <c r="O14" s="432" t="str">
        <f t="shared" si="2"/>
        <v/>
      </c>
    </row>
    <row r="15" spans="2:16" x14ac:dyDescent="0.4">
      <c r="B15" s="74"/>
      <c r="C15" s="60"/>
      <c r="D15" s="426" t="str">
        <f>IF(C15="","",VLOOKUP(C15,団体基本情報!$B$13:$D$22,3,FALSE))</f>
        <v/>
      </c>
      <c r="E15" s="427" t="str">
        <f t="shared" si="0"/>
        <v/>
      </c>
      <c r="F15" s="428" t="str">
        <f t="shared" si="1"/>
        <v/>
      </c>
      <c r="G15" s="129" t="str">
        <f>IF(H15="","",VLOOKUP(H15,プルダウン用リスト!$K$1:$M$15,2,FALSE))</f>
        <v/>
      </c>
      <c r="H15" s="76"/>
      <c r="I15" s="76"/>
      <c r="J15" s="76"/>
      <c r="K15" s="146"/>
      <c r="L15" s="77"/>
      <c r="M15" s="78"/>
      <c r="N15" s="71"/>
      <c r="O15" s="432" t="str">
        <f t="shared" si="2"/>
        <v/>
      </c>
    </row>
    <row r="16" spans="2:16" x14ac:dyDescent="0.4">
      <c r="B16" s="74"/>
      <c r="C16" s="60"/>
      <c r="D16" s="426" t="str">
        <f>IF(C16="","",VLOOKUP(C16,団体基本情報!$B$13:$D$22,3,FALSE))</f>
        <v/>
      </c>
      <c r="E16" s="427" t="str">
        <f t="shared" si="0"/>
        <v/>
      </c>
      <c r="F16" s="428" t="str">
        <f t="shared" si="1"/>
        <v/>
      </c>
      <c r="G16" s="129" t="str">
        <f>IF(H16="","",VLOOKUP(H16,プルダウン用リスト!$K$1:$M$15,2,FALSE))</f>
        <v/>
      </c>
      <c r="H16" s="76"/>
      <c r="I16" s="61"/>
      <c r="J16" s="76"/>
      <c r="K16" s="146"/>
      <c r="L16" s="77"/>
      <c r="M16" s="78"/>
      <c r="N16" s="71"/>
      <c r="O16" s="432" t="str">
        <f t="shared" si="2"/>
        <v/>
      </c>
    </row>
    <row r="17" spans="2:17" x14ac:dyDescent="0.4">
      <c r="B17" s="74"/>
      <c r="C17" s="60"/>
      <c r="D17" s="426" t="str">
        <f>IF(C17="","",VLOOKUP(C17,団体基本情報!$B$13:$D$22,3,FALSE))</f>
        <v/>
      </c>
      <c r="E17" s="427" t="str">
        <f t="shared" si="0"/>
        <v/>
      </c>
      <c r="F17" s="428" t="str">
        <f t="shared" si="1"/>
        <v/>
      </c>
      <c r="G17" s="129" t="str">
        <f>IF(H17="","",VLOOKUP(H17,プルダウン用リスト!$K$1:$M$15,2,FALSE))</f>
        <v/>
      </c>
      <c r="H17" s="76"/>
      <c r="I17" s="61"/>
      <c r="J17" s="76"/>
      <c r="K17" s="146"/>
      <c r="L17" s="77"/>
      <c r="M17" s="78"/>
      <c r="N17" s="71"/>
      <c r="O17" s="432" t="str">
        <f t="shared" si="2"/>
        <v/>
      </c>
    </row>
    <row r="18" spans="2:17" x14ac:dyDescent="0.4">
      <c r="B18" s="74"/>
      <c r="C18" s="75"/>
      <c r="D18" s="426" t="str">
        <f>IF(C18="","",VLOOKUP(C18,団体基本情報!$B$13:$D$22,3,FALSE))</f>
        <v/>
      </c>
      <c r="E18" s="427" t="str">
        <f t="shared" si="0"/>
        <v/>
      </c>
      <c r="F18" s="428" t="str">
        <f t="shared" si="1"/>
        <v/>
      </c>
      <c r="G18" s="129" t="str">
        <f>IF(H18="","",VLOOKUP(H18,プルダウン用リスト!$K$1:$M$15,2,FALSE))</f>
        <v/>
      </c>
      <c r="H18" s="76"/>
      <c r="I18" s="76"/>
      <c r="J18" s="76"/>
      <c r="K18" s="146"/>
      <c r="L18" s="77"/>
      <c r="M18" s="78"/>
      <c r="N18" s="71"/>
      <c r="O18" s="432" t="str">
        <f t="shared" si="2"/>
        <v/>
      </c>
    </row>
    <row r="19" spans="2:17" x14ac:dyDescent="0.4">
      <c r="B19" s="74"/>
      <c r="C19" s="60"/>
      <c r="D19" s="426" t="str">
        <f>IF(C19="","",VLOOKUP(C19,団体基本情報!$B$13:$D$22,3,FALSE))</f>
        <v/>
      </c>
      <c r="E19" s="427" t="str">
        <f t="shared" si="0"/>
        <v/>
      </c>
      <c r="F19" s="428" t="str">
        <f t="shared" si="1"/>
        <v/>
      </c>
      <c r="G19" s="129" t="str">
        <f>IF(H19="","",VLOOKUP(H19,プルダウン用リスト!$K$1:$M$15,2,FALSE))</f>
        <v/>
      </c>
      <c r="H19" s="76"/>
      <c r="I19" s="61"/>
      <c r="J19" s="76"/>
      <c r="K19" s="146"/>
      <c r="L19" s="77"/>
      <c r="M19" s="78"/>
      <c r="N19" s="71"/>
      <c r="O19" s="432" t="str">
        <f t="shared" si="2"/>
        <v/>
      </c>
    </row>
    <row r="20" spans="2:17" x14ac:dyDescent="0.4">
      <c r="B20" s="74"/>
      <c r="C20" s="60"/>
      <c r="D20" s="426" t="str">
        <f>IF(C20="","",VLOOKUP(C20,団体基本情報!$B$13:$D$22,3,FALSE))</f>
        <v/>
      </c>
      <c r="E20" s="427" t="str">
        <f t="shared" si="0"/>
        <v/>
      </c>
      <c r="F20" s="428" t="str">
        <f t="shared" si="1"/>
        <v/>
      </c>
      <c r="G20" s="129" t="str">
        <f>IF(H20="","",VLOOKUP(H20,プルダウン用リスト!$K$1:$M$15,2,FALSE))</f>
        <v/>
      </c>
      <c r="H20" s="76"/>
      <c r="I20" s="61"/>
      <c r="J20" s="76"/>
      <c r="K20" s="146"/>
      <c r="L20" s="77"/>
      <c r="M20" s="78"/>
      <c r="N20" s="71"/>
      <c r="O20" s="432" t="str">
        <f t="shared" si="2"/>
        <v/>
      </c>
    </row>
    <row r="21" spans="2:17" x14ac:dyDescent="0.4">
      <c r="B21" s="74"/>
      <c r="C21" s="60"/>
      <c r="D21" s="426" t="str">
        <f>IF(C21="","",VLOOKUP(C21,団体基本情報!$B$13:$D$22,3,FALSE))</f>
        <v/>
      </c>
      <c r="E21" s="427" t="str">
        <f t="shared" si="0"/>
        <v/>
      </c>
      <c r="F21" s="428" t="str">
        <f t="shared" si="1"/>
        <v/>
      </c>
      <c r="G21" s="129" t="str">
        <f>IF(H21="","",VLOOKUP(H21,プルダウン用リスト!$K$1:$M$15,2,FALSE))</f>
        <v/>
      </c>
      <c r="H21" s="76"/>
      <c r="I21" s="76"/>
      <c r="J21" s="76"/>
      <c r="K21" s="146"/>
      <c r="L21" s="77"/>
      <c r="M21" s="78"/>
      <c r="N21" s="71"/>
      <c r="O21" s="432" t="str">
        <f t="shared" si="2"/>
        <v/>
      </c>
    </row>
    <row r="22" spans="2:17" x14ac:dyDescent="0.4">
      <c r="B22" s="74"/>
      <c r="C22" s="60"/>
      <c r="D22" s="426" t="str">
        <f>IF(C22="","",VLOOKUP(C22,団体基本情報!$B$13:$D$22,3,FALSE))</f>
        <v/>
      </c>
      <c r="E22" s="427" t="str">
        <f t="shared" si="0"/>
        <v/>
      </c>
      <c r="F22" s="428" t="str">
        <f t="shared" si="1"/>
        <v/>
      </c>
      <c r="G22" s="129" t="str">
        <f>IF(H22="","",VLOOKUP(H22,プルダウン用リスト!$K$1:$M$15,2,FALSE))</f>
        <v/>
      </c>
      <c r="H22" s="76"/>
      <c r="I22" s="61"/>
      <c r="J22" s="76"/>
      <c r="K22" s="146"/>
      <c r="L22" s="77"/>
      <c r="M22" s="78"/>
      <c r="N22" s="71"/>
      <c r="O22" s="432" t="str">
        <f t="shared" si="2"/>
        <v/>
      </c>
    </row>
    <row r="23" spans="2:17" x14ac:dyDescent="0.4">
      <c r="B23" s="74"/>
      <c r="C23" s="60"/>
      <c r="D23" s="426" t="str">
        <f>IF(C23="","",VLOOKUP(C23,団体基本情報!$B$13:$D$22,3,FALSE))</f>
        <v/>
      </c>
      <c r="E23" s="427" t="str">
        <f t="shared" si="0"/>
        <v/>
      </c>
      <c r="F23" s="428" t="str">
        <f t="shared" si="1"/>
        <v/>
      </c>
      <c r="G23" s="129" t="str">
        <f>IF(H23="","",VLOOKUP(H23,プルダウン用リスト!$K$1:$M$15,2,FALSE))</f>
        <v/>
      </c>
      <c r="H23" s="76"/>
      <c r="I23" s="61"/>
      <c r="J23" s="76"/>
      <c r="K23" s="146"/>
      <c r="L23" s="77"/>
      <c r="M23" s="78"/>
      <c r="N23" s="71"/>
      <c r="O23" s="432" t="str">
        <f t="shared" si="2"/>
        <v/>
      </c>
    </row>
    <row r="24" spans="2:17" x14ac:dyDescent="0.4">
      <c r="B24" s="74"/>
      <c r="C24" s="60"/>
      <c r="D24" s="426" t="str">
        <f>IF(C24="","",VLOOKUP(C24,団体基本情報!$B$13:$D$22,3,FALSE))</f>
        <v/>
      </c>
      <c r="E24" s="427" t="str">
        <f t="shared" si="0"/>
        <v/>
      </c>
      <c r="F24" s="428" t="str">
        <f t="shared" si="1"/>
        <v/>
      </c>
      <c r="G24" s="129" t="str">
        <f>IF(H24="","",VLOOKUP(H24,プルダウン用リスト!$K$1:$M$15,2,FALSE))</f>
        <v/>
      </c>
      <c r="H24" s="76"/>
      <c r="I24" s="76"/>
      <c r="J24" s="76"/>
      <c r="K24" s="146"/>
      <c r="L24" s="77"/>
      <c r="M24" s="78"/>
      <c r="N24" s="71"/>
      <c r="O24" s="432" t="str">
        <f t="shared" si="2"/>
        <v/>
      </c>
    </row>
    <row r="25" spans="2:17" x14ac:dyDescent="0.4">
      <c r="B25" s="74"/>
      <c r="C25" s="60"/>
      <c r="D25" s="426" t="str">
        <f>IF(C25="","",VLOOKUP(C25,団体基本情報!$B$13:$D$22,3,FALSE))</f>
        <v/>
      </c>
      <c r="E25" s="427" t="str">
        <f t="shared" si="0"/>
        <v/>
      </c>
      <c r="F25" s="428" t="str">
        <f t="shared" si="1"/>
        <v/>
      </c>
      <c r="G25" s="129" t="str">
        <f>IF(H25="","",VLOOKUP(H25,プルダウン用リスト!$K$1:$M$15,2,FALSE))</f>
        <v/>
      </c>
      <c r="H25" s="76"/>
      <c r="I25" s="61"/>
      <c r="J25" s="76"/>
      <c r="K25" s="146"/>
      <c r="L25" s="77"/>
      <c r="M25" s="78"/>
      <c r="N25" s="71"/>
      <c r="O25" s="432" t="str">
        <f t="shared" si="2"/>
        <v/>
      </c>
    </row>
    <row r="26" spans="2:17" x14ac:dyDescent="0.4">
      <c r="B26" s="74"/>
      <c r="C26" s="60"/>
      <c r="D26" s="426" t="str">
        <f>IF(C26="","",VLOOKUP(C26,団体基本情報!$B$13:$D$22,3,FALSE))</f>
        <v/>
      </c>
      <c r="E26" s="427" t="str">
        <f t="shared" si="0"/>
        <v/>
      </c>
      <c r="F26" s="428" t="str">
        <f t="shared" si="1"/>
        <v/>
      </c>
      <c r="G26" s="129" t="str">
        <f>IF(H26="","",VLOOKUP(H26,プルダウン用リスト!$K$1:$M$15,2,FALSE))</f>
        <v/>
      </c>
      <c r="H26" s="76"/>
      <c r="I26" s="61"/>
      <c r="J26" s="76"/>
      <c r="K26" s="146"/>
      <c r="L26" s="77"/>
      <c r="M26" s="78"/>
      <c r="N26" s="71"/>
      <c r="O26" s="432" t="str">
        <f t="shared" si="2"/>
        <v/>
      </c>
    </row>
    <row r="27" spans="2:17" x14ac:dyDescent="0.4">
      <c r="B27" s="74"/>
      <c r="C27" s="60"/>
      <c r="D27" s="426" t="str">
        <f>IF(C27="","",VLOOKUP(C27,団体基本情報!$B$13:$D$22,3,FALSE))</f>
        <v/>
      </c>
      <c r="E27" s="427" t="str">
        <f t="shared" si="0"/>
        <v/>
      </c>
      <c r="F27" s="428" t="str">
        <f t="shared" si="1"/>
        <v/>
      </c>
      <c r="G27" s="129" t="str">
        <f>IF(H27="","",VLOOKUP(H27,プルダウン用リスト!$K$1:$M$15,2,FALSE))</f>
        <v/>
      </c>
      <c r="H27" s="76"/>
      <c r="I27" s="76"/>
      <c r="J27" s="76"/>
      <c r="K27" s="146"/>
      <c r="L27" s="77"/>
      <c r="M27" s="78"/>
      <c r="N27" s="71"/>
      <c r="O27" s="432" t="str">
        <f t="shared" si="2"/>
        <v/>
      </c>
    </row>
    <row r="28" spans="2:17" x14ac:dyDescent="0.4">
      <c r="B28" s="74"/>
      <c r="C28" s="60"/>
      <c r="D28" s="426" t="str">
        <f>IF(C28="","",VLOOKUP(C28,団体基本情報!$B$13:$D$22,3,FALSE))</f>
        <v/>
      </c>
      <c r="E28" s="427" t="str">
        <f t="shared" si="0"/>
        <v/>
      </c>
      <c r="F28" s="428" t="str">
        <f t="shared" si="1"/>
        <v/>
      </c>
      <c r="G28" s="129" t="str">
        <f>IF(H28="","",VLOOKUP(H28,プルダウン用リスト!$K$1:$M$15,2,FALSE))</f>
        <v/>
      </c>
      <c r="H28" s="76"/>
      <c r="I28" s="61"/>
      <c r="J28" s="76"/>
      <c r="K28" s="146"/>
      <c r="L28" s="77"/>
      <c r="M28" s="78"/>
      <c r="N28" s="71"/>
      <c r="O28" s="432" t="str">
        <f t="shared" si="2"/>
        <v/>
      </c>
    </row>
    <row r="29" spans="2:17" x14ac:dyDescent="0.4">
      <c r="B29" s="74"/>
      <c r="C29" s="60"/>
      <c r="D29" s="426" t="str">
        <f>IF(C29="","",VLOOKUP(C29,団体基本情報!$B$13:$D$22,3,FALSE))</f>
        <v/>
      </c>
      <c r="E29" s="427" t="str">
        <f t="shared" si="0"/>
        <v/>
      </c>
      <c r="F29" s="428" t="str">
        <f t="shared" si="1"/>
        <v/>
      </c>
      <c r="G29" s="129" t="str">
        <f>IF(H29="","",VLOOKUP(H29,プルダウン用リスト!$K$1:$M$15,2,FALSE))</f>
        <v/>
      </c>
      <c r="H29" s="76"/>
      <c r="I29" s="61"/>
      <c r="J29" s="76"/>
      <c r="K29" s="146"/>
      <c r="L29" s="77"/>
      <c r="M29" s="78"/>
      <c r="N29" s="71"/>
      <c r="O29" s="432" t="str">
        <f t="shared" si="2"/>
        <v/>
      </c>
    </row>
    <row r="30" spans="2:17" x14ac:dyDescent="0.4">
      <c r="B30" s="74"/>
      <c r="C30" s="75"/>
      <c r="D30" s="426" t="str">
        <f>IF(C30="","",VLOOKUP(C30,団体基本情報!$B$13:$D$22,3,FALSE))</f>
        <v/>
      </c>
      <c r="E30" s="427" t="str">
        <f t="shared" si="0"/>
        <v/>
      </c>
      <c r="F30" s="428" t="str">
        <f t="shared" si="1"/>
        <v/>
      </c>
      <c r="G30" s="129" t="str">
        <f>IF(H30="","",VLOOKUP(H30,プルダウン用リスト!$K$1:$M$15,2,FALSE))</f>
        <v/>
      </c>
      <c r="H30" s="76"/>
      <c r="I30" s="76"/>
      <c r="J30" s="76"/>
      <c r="K30" s="146"/>
      <c r="L30" s="77"/>
      <c r="M30" s="78"/>
      <c r="N30" s="71"/>
      <c r="O30" s="432" t="str">
        <f t="shared" si="2"/>
        <v/>
      </c>
    </row>
    <row r="31" spans="2:17" x14ac:dyDescent="0.4">
      <c r="B31" s="74"/>
      <c r="C31" s="60"/>
      <c r="D31" s="426" t="str">
        <f>IF(C31="","",VLOOKUP(C31,団体基本情報!$B$13:$D$22,3,FALSE))</f>
        <v/>
      </c>
      <c r="E31" s="427" t="str">
        <f t="shared" si="0"/>
        <v/>
      </c>
      <c r="F31" s="428" t="str">
        <f t="shared" si="1"/>
        <v/>
      </c>
      <c r="G31" s="129" t="str">
        <f>IF(H31="","",VLOOKUP(H31,プルダウン用リスト!$K$1:$M$15,2,FALSE))</f>
        <v/>
      </c>
      <c r="H31" s="76"/>
      <c r="I31" s="61"/>
      <c r="J31" s="76"/>
      <c r="K31" s="146"/>
      <c r="L31" s="77"/>
      <c r="M31" s="78"/>
      <c r="N31" s="71"/>
      <c r="O31" s="432" t="str">
        <f t="shared" si="2"/>
        <v/>
      </c>
    </row>
    <row r="32" spans="2:17" s="3" customFormat="1" x14ac:dyDescent="0.4">
      <c r="B32" s="74"/>
      <c r="C32" s="60"/>
      <c r="D32" s="426" t="str">
        <f>IF(C32="","",VLOOKUP(C32,団体基本情報!$B$13:$D$22,3,FALSE))</f>
        <v/>
      </c>
      <c r="E32" s="427" t="str">
        <f t="shared" si="0"/>
        <v/>
      </c>
      <c r="F32" s="428" t="str">
        <f t="shared" si="1"/>
        <v/>
      </c>
      <c r="G32" s="129" t="str">
        <f>IF(H32="","",VLOOKUP(H32,プルダウン用リスト!$K$1:$M$15,2,FALSE))</f>
        <v/>
      </c>
      <c r="H32" s="76"/>
      <c r="I32" s="61"/>
      <c r="J32" s="76"/>
      <c r="K32" s="146"/>
      <c r="L32" s="77"/>
      <c r="M32" s="78"/>
      <c r="N32" s="71"/>
      <c r="O32" s="432" t="str">
        <f t="shared" si="2"/>
        <v/>
      </c>
      <c r="P32" s="57"/>
      <c r="Q32"/>
    </row>
    <row r="33" spans="2:15" x14ac:dyDescent="0.4">
      <c r="B33" s="74"/>
      <c r="C33" s="60"/>
      <c r="D33" s="426" t="str">
        <f>IF(C33="","",VLOOKUP(C33,団体基本情報!$B$13:$D$22,3,FALSE))</f>
        <v/>
      </c>
      <c r="E33" s="427" t="str">
        <f t="shared" si="0"/>
        <v/>
      </c>
      <c r="F33" s="428" t="str">
        <f t="shared" si="1"/>
        <v/>
      </c>
      <c r="G33" s="129" t="str">
        <f>IF(H33="","",VLOOKUP(H33,プルダウン用リスト!$K$1:$M$15,2,FALSE))</f>
        <v/>
      </c>
      <c r="H33" s="76"/>
      <c r="I33" s="76"/>
      <c r="J33" s="76"/>
      <c r="K33" s="146"/>
      <c r="L33" s="77"/>
      <c r="M33" s="78"/>
      <c r="N33" s="71"/>
      <c r="O33" s="432" t="str">
        <f t="shared" si="2"/>
        <v/>
      </c>
    </row>
    <row r="34" spans="2:15" x14ac:dyDescent="0.4">
      <c r="B34" s="74"/>
      <c r="C34" s="60"/>
      <c r="D34" s="426" t="str">
        <f>IF(C34="","",VLOOKUP(C34,団体基本情報!$B$13:$D$22,3,FALSE))</f>
        <v/>
      </c>
      <c r="E34" s="427" t="str">
        <f t="shared" si="0"/>
        <v/>
      </c>
      <c r="F34" s="428" t="str">
        <f t="shared" si="1"/>
        <v/>
      </c>
      <c r="G34" s="129" t="str">
        <f>IF(H34="","",VLOOKUP(H34,プルダウン用リスト!$K$1:$M$15,2,FALSE))</f>
        <v/>
      </c>
      <c r="H34" s="76"/>
      <c r="I34" s="61"/>
      <c r="J34" s="76"/>
      <c r="K34" s="146"/>
      <c r="L34" s="77"/>
      <c r="M34" s="78"/>
      <c r="N34" s="71"/>
      <c r="O34" s="432" t="str">
        <f t="shared" si="2"/>
        <v/>
      </c>
    </row>
    <row r="35" spans="2:15" x14ac:dyDescent="0.4">
      <c r="B35" s="74"/>
      <c r="C35" s="60"/>
      <c r="D35" s="426" t="str">
        <f>IF(C35="","",VLOOKUP(C35,団体基本情報!$B$13:$D$22,3,FALSE))</f>
        <v/>
      </c>
      <c r="E35" s="427" t="str">
        <f t="shared" si="0"/>
        <v/>
      </c>
      <c r="F35" s="428" t="str">
        <f t="shared" si="1"/>
        <v/>
      </c>
      <c r="G35" s="129" t="str">
        <f>IF(H35="","",VLOOKUP(H35,プルダウン用リスト!$K$1:$M$15,2,FALSE))</f>
        <v/>
      </c>
      <c r="H35" s="76"/>
      <c r="I35" s="61"/>
      <c r="J35" s="76"/>
      <c r="K35" s="146"/>
      <c r="L35" s="77"/>
      <c r="M35" s="78"/>
      <c r="N35" s="71"/>
      <c r="O35" s="432" t="str">
        <f t="shared" si="2"/>
        <v/>
      </c>
    </row>
    <row r="36" spans="2:15" x14ac:dyDescent="0.4">
      <c r="B36" s="74"/>
      <c r="C36" s="60"/>
      <c r="D36" s="426" t="str">
        <f>IF(C36="","",VLOOKUP(C36,団体基本情報!$B$13:$D$22,3,FALSE))</f>
        <v/>
      </c>
      <c r="E36" s="427" t="str">
        <f t="shared" si="0"/>
        <v/>
      </c>
      <c r="F36" s="428" t="str">
        <f t="shared" si="1"/>
        <v/>
      </c>
      <c r="G36" s="129" t="str">
        <f>IF(H36="","",VLOOKUP(H36,プルダウン用リスト!$K$1:$M$15,2,FALSE))</f>
        <v/>
      </c>
      <c r="H36" s="76"/>
      <c r="I36" s="76"/>
      <c r="J36" s="76"/>
      <c r="K36" s="146"/>
      <c r="L36" s="77"/>
      <c r="M36" s="78"/>
      <c r="N36" s="71"/>
      <c r="O36" s="432" t="str">
        <f t="shared" si="2"/>
        <v/>
      </c>
    </row>
    <row r="37" spans="2:15" x14ac:dyDescent="0.4">
      <c r="B37" s="74"/>
      <c r="C37" s="60"/>
      <c r="D37" s="426" t="str">
        <f>IF(C37="","",VLOOKUP(C37,団体基本情報!$B$13:$D$22,3,FALSE))</f>
        <v/>
      </c>
      <c r="E37" s="427" t="str">
        <f t="shared" si="0"/>
        <v/>
      </c>
      <c r="F37" s="428" t="str">
        <f t="shared" si="1"/>
        <v/>
      </c>
      <c r="G37" s="129" t="str">
        <f>IF(H37="","",VLOOKUP(H37,プルダウン用リスト!$K$1:$M$15,2,FALSE))</f>
        <v/>
      </c>
      <c r="H37" s="76"/>
      <c r="I37" s="61"/>
      <c r="J37" s="76"/>
      <c r="K37" s="146"/>
      <c r="L37" s="77"/>
      <c r="M37" s="78"/>
      <c r="N37" s="71"/>
      <c r="O37" s="432" t="str">
        <f t="shared" si="2"/>
        <v/>
      </c>
    </row>
    <row r="38" spans="2:15" x14ac:dyDescent="0.4">
      <c r="B38" s="74"/>
      <c r="C38" s="60"/>
      <c r="D38" s="426" t="str">
        <f>IF(C38="","",VLOOKUP(C38,団体基本情報!$B$13:$D$22,3,FALSE))</f>
        <v/>
      </c>
      <c r="E38" s="427" t="str">
        <f t="shared" si="0"/>
        <v/>
      </c>
      <c r="F38" s="428" t="str">
        <f t="shared" si="1"/>
        <v/>
      </c>
      <c r="G38" s="129" t="str">
        <f>IF(H38="","",VLOOKUP(H38,プルダウン用リスト!$K$1:$M$15,2,FALSE))</f>
        <v/>
      </c>
      <c r="H38" s="76"/>
      <c r="I38" s="61"/>
      <c r="J38" s="76"/>
      <c r="K38" s="146"/>
      <c r="L38" s="77"/>
      <c r="M38" s="78"/>
      <c r="N38" s="71"/>
      <c r="O38" s="432" t="str">
        <f t="shared" si="2"/>
        <v/>
      </c>
    </row>
    <row r="39" spans="2:15" x14ac:dyDescent="0.4">
      <c r="B39" s="74"/>
      <c r="C39" s="60"/>
      <c r="D39" s="426" t="str">
        <f>IF(C39="","",VLOOKUP(C39,団体基本情報!$B$13:$D$22,3,FALSE))</f>
        <v/>
      </c>
      <c r="E39" s="427" t="str">
        <f t="shared" si="0"/>
        <v/>
      </c>
      <c r="F39" s="428" t="str">
        <f t="shared" si="1"/>
        <v/>
      </c>
      <c r="G39" s="129" t="str">
        <f>IF(H39="","",VLOOKUP(H39,プルダウン用リスト!$K$1:$M$15,2,FALSE))</f>
        <v/>
      </c>
      <c r="H39" s="76"/>
      <c r="I39" s="76"/>
      <c r="J39" s="76"/>
      <c r="K39" s="146"/>
      <c r="L39" s="77"/>
      <c r="M39" s="78"/>
      <c r="N39" s="71"/>
      <c r="O39" s="432" t="str">
        <f t="shared" si="2"/>
        <v/>
      </c>
    </row>
    <row r="40" spans="2:15" x14ac:dyDescent="0.4">
      <c r="B40" s="74"/>
      <c r="C40" s="60"/>
      <c r="D40" s="426" t="str">
        <f>IF(C40="","",VLOOKUP(C40,団体基本情報!$B$13:$D$22,3,FALSE))</f>
        <v/>
      </c>
      <c r="E40" s="427" t="str">
        <f t="shared" si="0"/>
        <v/>
      </c>
      <c r="F40" s="428" t="str">
        <f t="shared" si="1"/>
        <v/>
      </c>
      <c r="G40" s="129" t="str">
        <f>IF(H40="","",VLOOKUP(H40,プルダウン用リスト!$K$1:$M$15,2,FALSE))</f>
        <v/>
      </c>
      <c r="H40" s="76"/>
      <c r="I40" s="61"/>
      <c r="J40" s="76"/>
      <c r="K40" s="146"/>
      <c r="L40" s="77"/>
      <c r="M40" s="78"/>
      <c r="N40" s="71"/>
      <c r="O40" s="432" t="str">
        <f t="shared" si="2"/>
        <v/>
      </c>
    </row>
    <row r="41" spans="2:15" x14ac:dyDescent="0.4">
      <c r="B41" s="74"/>
      <c r="C41" s="60"/>
      <c r="D41" s="426" t="str">
        <f>IF(C41="","",VLOOKUP(C41,団体基本情報!$B$13:$D$22,3,FALSE))</f>
        <v/>
      </c>
      <c r="E41" s="427" t="str">
        <f t="shared" si="0"/>
        <v/>
      </c>
      <c r="F41" s="428" t="str">
        <f t="shared" si="1"/>
        <v/>
      </c>
      <c r="G41" s="129" t="str">
        <f>IF(H41="","",VLOOKUP(H41,プルダウン用リスト!$K$1:$M$15,2,FALSE))</f>
        <v/>
      </c>
      <c r="H41" s="76"/>
      <c r="I41" s="61"/>
      <c r="J41" s="76"/>
      <c r="K41" s="146"/>
      <c r="L41" s="77"/>
      <c r="M41" s="78"/>
      <c r="N41" s="71"/>
      <c r="O41" s="432" t="str">
        <f t="shared" si="2"/>
        <v/>
      </c>
    </row>
    <row r="42" spans="2:15" x14ac:dyDescent="0.4">
      <c r="B42" s="74"/>
      <c r="C42" s="75"/>
      <c r="D42" s="426" t="str">
        <f>IF(C42="","",VLOOKUP(C42,団体基本情報!$B$13:$D$22,3,FALSE))</f>
        <v/>
      </c>
      <c r="E42" s="427" t="str">
        <f t="shared" si="0"/>
        <v/>
      </c>
      <c r="F42" s="428" t="str">
        <f t="shared" si="1"/>
        <v/>
      </c>
      <c r="G42" s="129" t="str">
        <f>IF(H42="","",VLOOKUP(H42,プルダウン用リスト!$K$1:$M$15,2,FALSE))</f>
        <v/>
      </c>
      <c r="H42" s="76"/>
      <c r="I42" s="76"/>
      <c r="J42" s="76"/>
      <c r="K42" s="146"/>
      <c r="L42" s="77"/>
      <c r="M42" s="78"/>
      <c r="N42" s="71"/>
      <c r="O42" s="432" t="str">
        <f t="shared" si="2"/>
        <v/>
      </c>
    </row>
    <row r="43" spans="2:15" x14ac:dyDescent="0.4">
      <c r="B43" s="74"/>
      <c r="C43" s="60"/>
      <c r="D43" s="426" t="str">
        <f>IF(C43="","",VLOOKUP(C43,団体基本情報!$B$13:$D$22,3,FALSE))</f>
        <v/>
      </c>
      <c r="E43" s="427" t="str">
        <f t="shared" si="0"/>
        <v/>
      </c>
      <c r="F43" s="428" t="str">
        <f t="shared" si="1"/>
        <v/>
      </c>
      <c r="G43" s="129" t="str">
        <f>IF(H43="","",VLOOKUP(H43,プルダウン用リスト!$K$1:$M$15,2,FALSE))</f>
        <v/>
      </c>
      <c r="H43" s="76"/>
      <c r="I43" s="61"/>
      <c r="J43" s="76"/>
      <c r="K43" s="146"/>
      <c r="L43" s="77"/>
      <c r="M43" s="78"/>
      <c r="N43" s="71"/>
      <c r="O43" s="432" t="str">
        <f t="shared" si="2"/>
        <v/>
      </c>
    </row>
    <row r="44" spans="2:15" x14ac:dyDescent="0.4">
      <c r="B44" s="74"/>
      <c r="C44" s="60"/>
      <c r="D44" s="426" t="str">
        <f>IF(C44="","",VLOOKUP(C44,団体基本情報!$B$13:$D$22,3,FALSE))</f>
        <v/>
      </c>
      <c r="E44" s="427" t="str">
        <f t="shared" si="0"/>
        <v/>
      </c>
      <c r="F44" s="428" t="str">
        <f t="shared" si="1"/>
        <v/>
      </c>
      <c r="G44" s="129" t="str">
        <f>IF(H44="","",VLOOKUP(H44,プルダウン用リスト!$K$1:$M$15,2,FALSE))</f>
        <v/>
      </c>
      <c r="H44" s="76"/>
      <c r="I44" s="61"/>
      <c r="J44" s="76"/>
      <c r="K44" s="146"/>
      <c r="L44" s="77"/>
      <c r="M44" s="78"/>
      <c r="N44" s="71"/>
      <c r="O44" s="432" t="str">
        <f t="shared" si="2"/>
        <v/>
      </c>
    </row>
    <row r="45" spans="2:15" x14ac:dyDescent="0.4">
      <c r="B45" s="74"/>
      <c r="C45" s="60"/>
      <c r="D45" s="426" t="str">
        <f>IF(C45="","",VLOOKUP(C45,団体基本情報!$B$13:$D$22,3,FALSE))</f>
        <v/>
      </c>
      <c r="E45" s="427" t="str">
        <f t="shared" si="0"/>
        <v/>
      </c>
      <c r="F45" s="428" t="str">
        <f t="shared" si="1"/>
        <v/>
      </c>
      <c r="G45" s="129" t="str">
        <f>IF(H45="","",VLOOKUP(H45,プルダウン用リスト!$K$1:$M$15,2,FALSE))</f>
        <v/>
      </c>
      <c r="H45" s="76"/>
      <c r="I45" s="76"/>
      <c r="J45" s="76"/>
      <c r="K45" s="146"/>
      <c r="L45" s="77"/>
      <c r="M45" s="78"/>
      <c r="N45" s="71"/>
      <c r="O45" s="432" t="str">
        <f t="shared" si="2"/>
        <v/>
      </c>
    </row>
    <row r="46" spans="2:15" x14ac:dyDescent="0.4">
      <c r="B46" s="74"/>
      <c r="C46" s="60"/>
      <c r="D46" s="426" t="str">
        <f>IF(C46="","",VLOOKUP(C46,団体基本情報!$B$13:$D$22,3,FALSE))</f>
        <v/>
      </c>
      <c r="E46" s="427" t="str">
        <f t="shared" si="0"/>
        <v/>
      </c>
      <c r="F46" s="428" t="str">
        <f t="shared" si="1"/>
        <v/>
      </c>
      <c r="G46" s="129" t="str">
        <f>IF(H46="","",VLOOKUP(H46,プルダウン用リスト!$K$1:$M$15,2,FALSE))</f>
        <v/>
      </c>
      <c r="H46" s="76"/>
      <c r="I46" s="61"/>
      <c r="J46" s="76"/>
      <c r="K46" s="146"/>
      <c r="L46" s="77"/>
      <c r="M46" s="78"/>
      <c r="N46" s="71"/>
      <c r="O46" s="432" t="str">
        <f t="shared" si="2"/>
        <v/>
      </c>
    </row>
    <row r="47" spans="2:15" x14ac:dyDescent="0.4">
      <c r="B47" s="74"/>
      <c r="C47" s="60"/>
      <c r="D47" s="426" t="str">
        <f>IF(C47="","",VLOOKUP(C47,団体基本情報!$B$13:$D$22,3,FALSE))</f>
        <v/>
      </c>
      <c r="E47" s="427" t="str">
        <f t="shared" si="0"/>
        <v/>
      </c>
      <c r="F47" s="428" t="str">
        <f t="shared" si="1"/>
        <v/>
      </c>
      <c r="G47" s="129" t="str">
        <f>IF(H47="","",VLOOKUP(H47,プルダウン用リスト!$K$1:$M$15,2,FALSE))</f>
        <v/>
      </c>
      <c r="H47" s="76"/>
      <c r="I47" s="61"/>
      <c r="J47" s="76"/>
      <c r="K47" s="146"/>
      <c r="L47" s="77"/>
      <c r="M47" s="78"/>
      <c r="N47" s="71"/>
      <c r="O47" s="432" t="str">
        <f t="shared" si="2"/>
        <v/>
      </c>
    </row>
    <row r="48" spans="2:15" x14ac:dyDescent="0.4">
      <c r="B48" s="74"/>
      <c r="C48" s="60"/>
      <c r="D48" s="426" t="str">
        <f>IF(C48="","",VLOOKUP(C48,団体基本情報!$B$13:$D$22,3,FALSE))</f>
        <v/>
      </c>
      <c r="E48" s="427" t="str">
        <f t="shared" si="0"/>
        <v/>
      </c>
      <c r="F48" s="428" t="str">
        <f t="shared" si="1"/>
        <v/>
      </c>
      <c r="G48" s="129" t="str">
        <f>IF(H48="","",VLOOKUP(H48,プルダウン用リスト!$K$1:$M$15,2,FALSE))</f>
        <v/>
      </c>
      <c r="H48" s="76"/>
      <c r="I48" s="76"/>
      <c r="J48" s="76"/>
      <c r="K48" s="146"/>
      <c r="L48" s="77"/>
      <c r="M48" s="78"/>
      <c r="N48" s="71"/>
      <c r="O48" s="432" t="str">
        <f t="shared" si="2"/>
        <v/>
      </c>
    </row>
    <row r="49" spans="2:15" x14ac:dyDescent="0.4">
      <c r="B49" s="74"/>
      <c r="C49" s="60"/>
      <c r="D49" s="426" t="str">
        <f>IF(C49="","",VLOOKUP(C49,団体基本情報!$B$13:$D$22,3,FALSE))</f>
        <v/>
      </c>
      <c r="E49" s="427" t="str">
        <f t="shared" si="0"/>
        <v/>
      </c>
      <c r="F49" s="428" t="str">
        <f t="shared" si="1"/>
        <v/>
      </c>
      <c r="G49" s="129" t="str">
        <f>IF(H49="","",VLOOKUP(H49,プルダウン用リスト!$K$1:$M$15,2,FALSE))</f>
        <v/>
      </c>
      <c r="H49" s="76"/>
      <c r="I49" s="61"/>
      <c r="J49" s="76"/>
      <c r="K49" s="146"/>
      <c r="L49" s="77"/>
      <c r="M49" s="78"/>
      <c r="N49" s="71"/>
      <c r="O49" s="432" t="str">
        <f t="shared" si="2"/>
        <v/>
      </c>
    </row>
    <row r="50" spans="2:15" x14ac:dyDescent="0.4">
      <c r="B50" s="74"/>
      <c r="C50" s="60"/>
      <c r="D50" s="426" t="str">
        <f>IF(C50="","",VLOOKUP(C50,団体基本情報!$B$13:$D$22,3,FALSE))</f>
        <v/>
      </c>
      <c r="E50" s="427" t="str">
        <f t="shared" si="0"/>
        <v/>
      </c>
      <c r="F50" s="428" t="str">
        <f t="shared" si="1"/>
        <v/>
      </c>
      <c r="G50" s="129" t="str">
        <f>IF(H50="","",VLOOKUP(H50,プルダウン用リスト!$K$1:$M$15,2,FALSE))</f>
        <v/>
      </c>
      <c r="H50" s="76"/>
      <c r="I50" s="61"/>
      <c r="J50" s="76"/>
      <c r="K50" s="146"/>
      <c r="L50" s="77"/>
      <c r="M50" s="78"/>
      <c r="N50" s="71"/>
      <c r="O50" s="432" t="str">
        <f t="shared" si="2"/>
        <v/>
      </c>
    </row>
    <row r="51" spans="2:15" x14ac:dyDescent="0.4">
      <c r="B51" s="74"/>
      <c r="C51" s="60"/>
      <c r="D51" s="426" t="str">
        <f>IF(C51="","",VLOOKUP(C51,団体基本情報!$B$13:$D$22,3,FALSE))</f>
        <v/>
      </c>
      <c r="E51" s="427" t="str">
        <f t="shared" si="0"/>
        <v/>
      </c>
      <c r="F51" s="428" t="str">
        <f t="shared" si="1"/>
        <v/>
      </c>
      <c r="G51" s="129" t="str">
        <f>IF(H51="","",VLOOKUP(H51,プルダウン用リスト!$K$1:$M$15,2,FALSE))</f>
        <v/>
      </c>
      <c r="H51" s="76"/>
      <c r="I51" s="76"/>
      <c r="J51" s="76"/>
      <c r="K51" s="146"/>
      <c r="L51" s="77"/>
      <c r="M51" s="78"/>
      <c r="N51" s="71"/>
      <c r="O51" s="432" t="str">
        <f t="shared" si="2"/>
        <v/>
      </c>
    </row>
    <row r="52" spans="2:15" x14ac:dyDescent="0.4">
      <c r="B52" s="74"/>
      <c r="C52" s="60"/>
      <c r="D52" s="426" t="str">
        <f>IF(C52="","",VLOOKUP(C52,団体基本情報!$B$13:$D$22,3,FALSE))</f>
        <v/>
      </c>
      <c r="E52" s="427" t="str">
        <f t="shared" si="0"/>
        <v/>
      </c>
      <c r="F52" s="428" t="str">
        <f t="shared" si="1"/>
        <v/>
      </c>
      <c r="G52" s="129" t="str">
        <f>IF(H52="","",VLOOKUP(H52,プルダウン用リスト!$K$1:$M$15,2,FALSE))</f>
        <v/>
      </c>
      <c r="H52" s="76"/>
      <c r="I52" s="61"/>
      <c r="J52" s="76"/>
      <c r="K52" s="146"/>
      <c r="L52" s="77"/>
      <c r="M52" s="78"/>
      <c r="N52" s="71"/>
      <c r="O52" s="432" t="str">
        <f t="shared" si="2"/>
        <v/>
      </c>
    </row>
    <row r="53" spans="2:15" x14ac:dyDescent="0.4">
      <c r="B53" s="74"/>
      <c r="C53" s="60"/>
      <c r="D53" s="426" t="str">
        <f>IF(C53="","",VLOOKUP(C53,団体基本情報!$B$13:$D$22,3,FALSE))</f>
        <v/>
      </c>
      <c r="E53" s="427" t="str">
        <f t="shared" si="0"/>
        <v/>
      </c>
      <c r="F53" s="428" t="str">
        <f t="shared" si="1"/>
        <v/>
      </c>
      <c r="G53" s="129" t="str">
        <f>IF(H53="","",VLOOKUP(H53,プルダウン用リスト!$K$1:$M$15,2,FALSE))</f>
        <v/>
      </c>
      <c r="H53" s="76"/>
      <c r="I53" s="61"/>
      <c r="J53" s="76"/>
      <c r="K53" s="146"/>
      <c r="L53" s="77"/>
      <c r="M53" s="78"/>
      <c r="N53" s="71"/>
      <c r="O53" s="432" t="str">
        <f t="shared" si="2"/>
        <v/>
      </c>
    </row>
    <row r="54" spans="2:15" x14ac:dyDescent="0.4">
      <c r="B54" s="74"/>
      <c r="C54" s="75"/>
      <c r="D54" s="426" t="str">
        <f>IF(C54="","",VLOOKUP(C54,団体基本情報!$B$13:$D$22,3,FALSE))</f>
        <v/>
      </c>
      <c r="E54" s="427" t="str">
        <f t="shared" si="0"/>
        <v/>
      </c>
      <c r="F54" s="428" t="str">
        <f t="shared" si="1"/>
        <v/>
      </c>
      <c r="G54" s="129" t="str">
        <f>IF(H54="","",VLOOKUP(H54,プルダウン用リスト!$K$1:$M$15,2,FALSE))</f>
        <v/>
      </c>
      <c r="H54" s="76"/>
      <c r="I54" s="76"/>
      <c r="J54" s="76"/>
      <c r="K54" s="146"/>
      <c r="L54" s="77"/>
      <c r="M54" s="78"/>
      <c r="N54" s="71"/>
      <c r="O54" s="432" t="str">
        <f t="shared" si="2"/>
        <v/>
      </c>
    </row>
    <row r="55" spans="2:15" x14ac:dyDescent="0.4">
      <c r="B55" s="74"/>
      <c r="C55" s="60"/>
      <c r="D55" s="426" t="str">
        <f>IF(C55="","",VLOOKUP(C55,団体基本情報!$B$13:$D$22,3,FALSE))</f>
        <v/>
      </c>
      <c r="E55" s="427" t="str">
        <f t="shared" si="0"/>
        <v/>
      </c>
      <c r="F55" s="428" t="str">
        <f t="shared" si="1"/>
        <v/>
      </c>
      <c r="G55" s="129" t="str">
        <f>IF(H55="","",VLOOKUP(H55,プルダウン用リスト!$K$1:$M$15,2,FALSE))</f>
        <v/>
      </c>
      <c r="H55" s="76"/>
      <c r="I55" s="61"/>
      <c r="J55" s="76"/>
      <c r="K55" s="146"/>
      <c r="L55" s="77"/>
      <c r="M55" s="78"/>
      <c r="N55" s="71"/>
      <c r="O55" s="432" t="str">
        <f t="shared" si="2"/>
        <v/>
      </c>
    </row>
    <row r="56" spans="2:15" x14ac:dyDescent="0.4">
      <c r="B56" s="74"/>
      <c r="C56" s="60"/>
      <c r="D56" s="426" t="str">
        <f>IF(C56="","",VLOOKUP(C56,団体基本情報!$B$13:$D$22,3,FALSE))</f>
        <v/>
      </c>
      <c r="E56" s="427" t="str">
        <f t="shared" si="0"/>
        <v/>
      </c>
      <c r="F56" s="428" t="str">
        <f t="shared" si="1"/>
        <v/>
      </c>
      <c r="G56" s="129" t="str">
        <f>IF(H56="","",VLOOKUP(H56,プルダウン用リスト!$K$1:$M$15,2,FALSE))</f>
        <v/>
      </c>
      <c r="H56" s="76"/>
      <c r="I56" s="61"/>
      <c r="J56" s="76"/>
      <c r="K56" s="146"/>
      <c r="L56" s="77"/>
      <c r="M56" s="78"/>
      <c r="N56" s="71"/>
      <c r="O56" s="432" t="str">
        <f t="shared" si="2"/>
        <v/>
      </c>
    </row>
    <row r="57" spans="2:15" x14ac:dyDescent="0.4">
      <c r="B57" s="74"/>
      <c r="C57" s="60"/>
      <c r="D57" s="426" t="str">
        <f>IF(C57="","",VLOOKUP(C57,団体基本情報!$B$13:$D$22,3,FALSE))</f>
        <v/>
      </c>
      <c r="E57" s="427" t="str">
        <f t="shared" si="0"/>
        <v/>
      </c>
      <c r="F57" s="428" t="str">
        <f t="shared" si="1"/>
        <v/>
      </c>
      <c r="G57" s="129" t="str">
        <f>IF(H57="","",VLOOKUP(H57,プルダウン用リスト!$K$1:$M$15,2,FALSE))</f>
        <v/>
      </c>
      <c r="H57" s="76"/>
      <c r="I57" s="76"/>
      <c r="J57" s="76"/>
      <c r="K57" s="146"/>
      <c r="L57" s="77"/>
      <c r="M57" s="78"/>
      <c r="N57" s="71"/>
      <c r="O57" s="432" t="str">
        <f t="shared" si="2"/>
        <v/>
      </c>
    </row>
    <row r="58" spans="2:15" x14ac:dyDescent="0.4">
      <c r="B58" s="74"/>
      <c r="C58" s="60"/>
      <c r="D58" s="426" t="str">
        <f>IF(C58="","",VLOOKUP(C58,団体基本情報!$B$13:$D$22,3,FALSE))</f>
        <v/>
      </c>
      <c r="E58" s="427" t="str">
        <f t="shared" si="0"/>
        <v/>
      </c>
      <c r="F58" s="428" t="str">
        <f t="shared" si="1"/>
        <v/>
      </c>
      <c r="G58" s="129" t="str">
        <f>IF(H58="","",VLOOKUP(H58,プルダウン用リスト!$K$1:$M$15,2,FALSE))</f>
        <v/>
      </c>
      <c r="H58" s="76"/>
      <c r="I58" s="61"/>
      <c r="J58" s="76"/>
      <c r="K58" s="146"/>
      <c r="L58" s="77"/>
      <c r="M58" s="78"/>
      <c r="N58" s="71"/>
      <c r="O58" s="432" t="str">
        <f t="shared" si="2"/>
        <v/>
      </c>
    </row>
    <row r="59" spans="2:15" x14ac:dyDescent="0.4">
      <c r="B59" s="74"/>
      <c r="C59" s="60"/>
      <c r="D59" s="426" t="str">
        <f>IF(C59="","",VLOOKUP(C59,団体基本情報!$B$13:$D$22,3,FALSE))</f>
        <v/>
      </c>
      <c r="E59" s="427" t="str">
        <f t="shared" si="0"/>
        <v/>
      </c>
      <c r="F59" s="428" t="str">
        <f t="shared" si="1"/>
        <v/>
      </c>
      <c r="G59" s="129" t="str">
        <f>IF(H59="","",VLOOKUP(H59,プルダウン用リスト!$K$1:$M$15,2,FALSE))</f>
        <v/>
      </c>
      <c r="H59" s="76"/>
      <c r="I59" s="61"/>
      <c r="J59" s="76"/>
      <c r="K59" s="146"/>
      <c r="L59" s="77"/>
      <c r="M59" s="78"/>
      <c r="N59" s="71"/>
      <c r="O59" s="432" t="str">
        <f t="shared" si="2"/>
        <v/>
      </c>
    </row>
    <row r="60" spans="2:15" x14ac:dyDescent="0.4">
      <c r="B60" s="74"/>
      <c r="C60" s="60"/>
      <c r="D60" s="426" t="str">
        <f>IF(C60="","",VLOOKUP(C60,団体基本情報!$B$13:$D$22,3,FALSE))</f>
        <v/>
      </c>
      <c r="E60" s="427" t="str">
        <f t="shared" si="0"/>
        <v/>
      </c>
      <c r="F60" s="428" t="str">
        <f t="shared" si="1"/>
        <v/>
      </c>
      <c r="G60" s="129" t="str">
        <f>IF(H60="","",VLOOKUP(H60,プルダウン用リスト!$K$1:$M$15,2,FALSE))</f>
        <v/>
      </c>
      <c r="H60" s="76"/>
      <c r="I60" s="76"/>
      <c r="J60" s="76"/>
      <c r="K60" s="146"/>
      <c r="L60" s="77"/>
      <c r="M60" s="78"/>
      <c r="N60" s="71"/>
      <c r="O60" s="432" t="str">
        <f t="shared" si="2"/>
        <v/>
      </c>
    </row>
    <row r="61" spans="2:15" x14ac:dyDescent="0.4">
      <c r="B61" s="74"/>
      <c r="C61" s="60"/>
      <c r="D61" s="426" t="str">
        <f>IF(C61="","",VLOOKUP(C61,団体基本情報!$B$13:$D$22,3,FALSE))</f>
        <v/>
      </c>
      <c r="E61" s="427" t="str">
        <f t="shared" si="0"/>
        <v/>
      </c>
      <c r="F61" s="428" t="str">
        <f t="shared" si="1"/>
        <v/>
      </c>
      <c r="G61" s="129" t="str">
        <f>IF(H61="","",VLOOKUP(H61,プルダウン用リスト!$K$1:$M$15,2,FALSE))</f>
        <v/>
      </c>
      <c r="H61" s="76"/>
      <c r="I61" s="61"/>
      <c r="J61" s="76"/>
      <c r="K61" s="146"/>
      <c r="L61" s="77"/>
      <c r="M61" s="78"/>
      <c r="N61" s="71"/>
      <c r="O61" s="432" t="str">
        <f t="shared" si="2"/>
        <v/>
      </c>
    </row>
    <row r="62" spans="2:15" x14ac:dyDescent="0.4">
      <c r="B62" s="74"/>
      <c r="C62" s="60"/>
      <c r="D62" s="426" t="str">
        <f>IF(C62="","",VLOOKUP(C62,団体基本情報!$B$13:$D$22,3,FALSE))</f>
        <v/>
      </c>
      <c r="E62" s="427" t="str">
        <f t="shared" si="0"/>
        <v/>
      </c>
      <c r="F62" s="428" t="str">
        <f t="shared" si="1"/>
        <v/>
      </c>
      <c r="G62" s="129" t="str">
        <f>IF(H62="","",VLOOKUP(H62,プルダウン用リスト!$K$1:$M$15,2,FALSE))</f>
        <v/>
      </c>
      <c r="H62" s="76"/>
      <c r="I62" s="61"/>
      <c r="J62" s="76"/>
      <c r="K62" s="146"/>
      <c r="L62" s="77"/>
      <c r="M62" s="78"/>
      <c r="N62" s="71"/>
      <c r="O62" s="432" t="str">
        <f t="shared" si="2"/>
        <v/>
      </c>
    </row>
    <row r="63" spans="2:15" x14ac:dyDescent="0.4">
      <c r="B63" s="74"/>
      <c r="C63" s="60"/>
      <c r="D63" s="426" t="str">
        <f>IF(C63="","",VLOOKUP(C63,団体基本情報!$B$13:$D$22,3,FALSE))</f>
        <v/>
      </c>
      <c r="E63" s="427" t="str">
        <f t="shared" si="0"/>
        <v/>
      </c>
      <c r="F63" s="428" t="str">
        <f t="shared" si="1"/>
        <v/>
      </c>
      <c r="G63" s="129" t="str">
        <f>IF(H63="","",VLOOKUP(H63,プルダウン用リスト!$K$1:$M$15,2,FALSE))</f>
        <v/>
      </c>
      <c r="H63" s="76"/>
      <c r="I63" s="76"/>
      <c r="J63" s="76"/>
      <c r="K63" s="146"/>
      <c r="L63" s="77"/>
      <c r="M63" s="78"/>
      <c r="N63" s="71"/>
      <c r="O63" s="432" t="str">
        <f t="shared" si="2"/>
        <v/>
      </c>
    </row>
    <row r="64" spans="2:15" x14ac:dyDescent="0.4">
      <c r="B64" s="74"/>
      <c r="C64" s="60"/>
      <c r="D64" s="426" t="str">
        <f>IF(C64="","",VLOOKUP(C64,団体基本情報!$B$13:$D$22,3,FALSE))</f>
        <v/>
      </c>
      <c r="E64" s="427" t="str">
        <f t="shared" si="0"/>
        <v/>
      </c>
      <c r="F64" s="428" t="str">
        <f t="shared" si="1"/>
        <v/>
      </c>
      <c r="G64" s="129" t="str">
        <f>IF(H64="","",VLOOKUP(H64,プルダウン用リスト!$K$1:$M$15,2,FALSE))</f>
        <v/>
      </c>
      <c r="H64" s="76"/>
      <c r="I64" s="61"/>
      <c r="J64" s="76"/>
      <c r="K64" s="146"/>
      <c r="L64" s="77"/>
      <c r="M64" s="78"/>
      <c r="N64" s="71"/>
      <c r="O64" s="432" t="str">
        <f t="shared" si="2"/>
        <v/>
      </c>
    </row>
    <row r="65" spans="2:15" x14ac:dyDescent="0.4">
      <c r="B65" s="74"/>
      <c r="C65" s="60"/>
      <c r="D65" s="426" t="str">
        <f>IF(C65="","",VLOOKUP(C65,団体基本情報!$B$13:$D$22,3,FALSE))</f>
        <v/>
      </c>
      <c r="E65" s="427" t="str">
        <f t="shared" si="0"/>
        <v/>
      </c>
      <c r="F65" s="428" t="str">
        <f t="shared" si="1"/>
        <v/>
      </c>
      <c r="G65" s="129" t="str">
        <f>IF(H65="","",VLOOKUP(H65,プルダウン用リスト!$K$1:$M$15,2,FALSE))</f>
        <v/>
      </c>
      <c r="H65" s="76"/>
      <c r="I65" s="61"/>
      <c r="J65" s="76"/>
      <c r="K65" s="146"/>
      <c r="L65" s="77"/>
      <c r="M65" s="78"/>
      <c r="N65" s="71"/>
      <c r="O65" s="432" t="str">
        <f t="shared" si="2"/>
        <v/>
      </c>
    </row>
    <row r="66" spans="2:15" x14ac:dyDescent="0.4">
      <c r="B66" s="74"/>
      <c r="C66" s="75"/>
      <c r="D66" s="426" t="str">
        <f>IF(C66="","",VLOOKUP(C66,団体基本情報!$B$13:$D$22,3,FALSE))</f>
        <v/>
      </c>
      <c r="E66" s="427" t="str">
        <f t="shared" si="0"/>
        <v/>
      </c>
      <c r="F66" s="428" t="str">
        <f t="shared" si="1"/>
        <v/>
      </c>
      <c r="G66" s="129" t="str">
        <f>IF(H66="","",VLOOKUP(H66,プルダウン用リスト!$K$1:$M$15,2,FALSE))</f>
        <v/>
      </c>
      <c r="H66" s="76"/>
      <c r="I66" s="76"/>
      <c r="J66" s="76"/>
      <c r="K66" s="146"/>
      <c r="L66" s="77"/>
      <c r="M66" s="78"/>
      <c r="N66" s="71"/>
      <c r="O66" s="432" t="str">
        <f t="shared" si="2"/>
        <v/>
      </c>
    </row>
    <row r="67" spans="2:15" x14ac:dyDescent="0.4">
      <c r="B67" s="74"/>
      <c r="C67" s="60"/>
      <c r="D67" s="426" t="str">
        <f>IF(C67="","",VLOOKUP(C67,団体基本情報!$B$13:$D$22,3,FALSE))</f>
        <v/>
      </c>
      <c r="E67" s="427" t="str">
        <f t="shared" si="0"/>
        <v/>
      </c>
      <c r="F67" s="428" t="str">
        <f t="shared" si="1"/>
        <v/>
      </c>
      <c r="G67" s="129" t="str">
        <f>IF(H67="","",VLOOKUP(H67,プルダウン用リスト!$K$1:$M$15,2,FALSE))</f>
        <v/>
      </c>
      <c r="H67" s="76"/>
      <c r="I67" s="61"/>
      <c r="J67" s="76"/>
      <c r="K67" s="146"/>
      <c r="L67" s="77"/>
      <c r="M67" s="78"/>
      <c r="N67" s="71"/>
      <c r="O67" s="432" t="str">
        <f t="shared" si="2"/>
        <v/>
      </c>
    </row>
    <row r="68" spans="2:15" x14ac:dyDescent="0.4">
      <c r="B68" s="74"/>
      <c r="C68" s="60"/>
      <c r="D68" s="426" t="str">
        <f>IF(C68="","",VLOOKUP(C68,団体基本情報!$B$13:$D$22,3,FALSE))</f>
        <v/>
      </c>
      <c r="E68" s="427" t="str">
        <f t="shared" si="0"/>
        <v/>
      </c>
      <c r="F68" s="428" t="str">
        <f t="shared" si="1"/>
        <v/>
      </c>
      <c r="G68" s="129" t="str">
        <f>IF(H68="","",VLOOKUP(H68,プルダウン用リスト!$K$1:$M$15,2,FALSE))</f>
        <v/>
      </c>
      <c r="H68" s="76"/>
      <c r="I68" s="61"/>
      <c r="J68" s="76"/>
      <c r="K68" s="146"/>
      <c r="L68" s="77"/>
      <c r="M68" s="78"/>
      <c r="N68" s="71"/>
      <c r="O68" s="432" t="str">
        <f t="shared" si="2"/>
        <v/>
      </c>
    </row>
    <row r="69" spans="2:15" x14ac:dyDescent="0.4">
      <c r="B69" s="74"/>
      <c r="C69" s="60"/>
      <c r="D69" s="426" t="str">
        <f>IF(C69="","",VLOOKUP(C69,団体基本情報!$B$13:$D$22,3,FALSE))</f>
        <v/>
      </c>
      <c r="E69" s="427" t="str">
        <f t="shared" si="0"/>
        <v/>
      </c>
      <c r="F69" s="428" t="str">
        <f t="shared" si="1"/>
        <v/>
      </c>
      <c r="G69" s="129" t="str">
        <f>IF(H69="","",VLOOKUP(H69,プルダウン用リスト!$K$1:$M$15,2,FALSE))</f>
        <v/>
      </c>
      <c r="H69" s="76"/>
      <c r="I69" s="76"/>
      <c r="J69" s="76"/>
      <c r="K69" s="146"/>
      <c r="L69" s="77"/>
      <c r="M69" s="78"/>
      <c r="N69" s="71"/>
      <c r="O69" s="432" t="str">
        <f t="shared" si="2"/>
        <v/>
      </c>
    </row>
    <row r="70" spans="2:15" x14ac:dyDescent="0.4">
      <c r="B70" s="74"/>
      <c r="C70" s="60"/>
      <c r="D70" s="426" t="str">
        <f>IF(C70="","",VLOOKUP(C70,団体基本情報!$B$13:$D$22,3,FALSE))</f>
        <v/>
      </c>
      <c r="E70" s="427" t="str">
        <f t="shared" si="0"/>
        <v/>
      </c>
      <c r="F70" s="428" t="str">
        <f t="shared" si="1"/>
        <v/>
      </c>
      <c r="G70" s="129" t="str">
        <f>IF(H70="","",VLOOKUP(H70,プルダウン用リスト!$K$1:$M$15,2,FALSE))</f>
        <v/>
      </c>
      <c r="H70" s="76"/>
      <c r="I70" s="61"/>
      <c r="J70" s="76"/>
      <c r="K70" s="146"/>
      <c r="L70" s="77"/>
      <c r="M70" s="78"/>
      <c r="N70" s="71"/>
      <c r="O70" s="432" t="str">
        <f t="shared" si="2"/>
        <v/>
      </c>
    </row>
    <row r="71" spans="2:15" x14ac:dyDescent="0.4">
      <c r="B71" s="74"/>
      <c r="C71" s="60"/>
      <c r="D71" s="426" t="str">
        <f>IF(C71="","",VLOOKUP(C71,団体基本情報!$B$13:$D$22,3,FALSE))</f>
        <v/>
      </c>
      <c r="E71" s="427" t="str">
        <f t="shared" ref="E71:E134" si="3">IF(F71="","",IF(F71="謝金","01.",IF(F71="旅費","02.",IF(F71="その他","04.","03."))))</f>
        <v/>
      </c>
      <c r="F71" s="428" t="str">
        <f t="shared" ref="F71:F134" si="4">IF(H71="","",IF(H71="謝金","謝金",IF(H71="旅費","旅費",IF(H71="対象外経費","その他","所費"))))</f>
        <v/>
      </c>
      <c r="G71" s="129" t="str">
        <f>IF(H71="","",VLOOKUP(H71,プルダウン用リスト!$K$1:$M$15,2,FALSE))</f>
        <v/>
      </c>
      <c r="H71" s="76"/>
      <c r="I71" s="61"/>
      <c r="J71" s="76"/>
      <c r="K71" s="146"/>
      <c r="L71" s="77"/>
      <c r="M71" s="78"/>
      <c r="N71" s="71"/>
      <c r="O71" s="432" t="str">
        <f t="shared" ref="O71:O134" si="5">IF(H71="対象外経費",M71,IF(N71="","",M71-N71))</f>
        <v/>
      </c>
    </row>
    <row r="72" spans="2:15" x14ac:dyDescent="0.4">
      <c r="B72" s="74"/>
      <c r="C72" s="60"/>
      <c r="D72" s="426" t="str">
        <f>IF(C72="","",VLOOKUP(C72,団体基本情報!$B$13:$D$22,3,FALSE))</f>
        <v/>
      </c>
      <c r="E72" s="427" t="str">
        <f t="shared" si="3"/>
        <v/>
      </c>
      <c r="F72" s="428" t="str">
        <f t="shared" si="4"/>
        <v/>
      </c>
      <c r="G72" s="129" t="str">
        <f>IF(H72="","",VLOOKUP(H72,プルダウン用リスト!$K$1:$M$15,2,FALSE))</f>
        <v/>
      </c>
      <c r="H72" s="76"/>
      <c r="I72" s="76"/>
      <c r="J72" s="76"/>
      <c r="K72" s="146"/>
      <c r="L72" s="77"/>
      <c r="M72" s="78"/>
      <c r="N72" s="71"/>
      <c r="O72" s="432" t="str">
        <f t="shared" si="5"/>
        <v/>
      </c>
    </row>
    <row r="73" spans="2:15" x14ac:dyDescent="0.4">
      <c r="B73" s="74"/>
      <c r="C73" s="60"/>
      <c r="D73" s="426" t="str">
        <f>IF(C73="","",VLOOKUP(C73,団体基本情報!$B$13:$D$22,3,FALSE))</f>
        <v/>
      </c>
      <c r="E73" s="427" t="str">
        <f t="shared" si="3"/>
        <v/>
      </c>
      <c r="F73" s="428" t="str">
        <f t="shared" si="4"/>
        <v/>
      </c>
      <c r="G73" s="129" t="str">
        <f>IF(H73="","",VLOOKUP(H73,プルダウン用リスト!$K$1:$M$15,2,FALSE))</f>
        <v/>
      </c>
      <c r="H73" s="76"/>
      <c r="I73" s="61"/>
      <c r="J73" s="76"/>
      <c r="K73" s="146"/>
      <c r="L73" s="77"/>
      <c r="M73" s="78"/>
      <c r="N73" s="71"/>
      <c r="O73" s="432" t="str">
        <f t="shared" si="5"/>
        <v/>
      </c>
    </row>
    <row r="74" spans="2:15" x14ac:dyDescent="0.4">
      <c r="B74" s="74"/>
      <c r="C74" s="60"/>
      <c r="D74" s="426" t="str">
        <f>IF(C74="","",VLOOKUP(C74,団体基本情報!$B$13:$D$22,3,FALSE))</f>
        <v/>
      </c>
      <c r="E74" s="427" t="str">
        <f t="shared" si="3"/>
        <v/>
      </c>
      <c r="F74" s="428" t="str">
        <f t="shared" si="4"/>
        <v/>
      </c>
      <c r="G74" s="129" t="str">
        <f>IF(H74="","",VLOOKUP(H74,プルダウン用リスト!$K$1:$M$15,2,FALSE))</f>
        <v/>
      </c>
      <c r="H74" s="76"/>
      <c r="I74" s="61"/>
      <c r="J74" s="76"/>
      <c r="K74" s="146"/>
      <c r="L74" s="77"/>
      <c r="M74" s="78"/>
      <c r="N74" s="71"/>
      <c r="O74" s="432" t="str">
        <f t="shared" si="5"/>
        <v/>
      </c>
    </row>
    <row r="75" spans="2:15" x14ac:dyDescent="0.4">
      <c r="B75" s="74"/>
      <c r="C75" s="60"/>
      <c r="D75" s="426" t="str">
        <f>IF(C75="","",VLOOKUP(C75,団体基本情報!$B$13:$D$22,3,FALSE))</f>
        <v/>
      </c>
      <c r="E75" s="427" t="str">
        <f t="shared" si="3"/>
        <v/>
      </c>
      <c r="F75" s="428" t="str">
        <f t="shared" si="4"/>
        <v/>
      </c>
      <c r="G75" s="129" t="str">
        <f>IF(H75="","",VLOOKUP(H75,プルダウン用リスト!$K$1:$M$15,2,FALSE))</f>
        <v/>
      </c>
      <c r="H75" s="76"/>
      <c r="I75" s="76"/>
      <c r="J75" s="76"/>
      <c r="K75" s="146"/>
      <c r="L75" s="77"/>
      <c r="M75" s="78"/>
      <c r="N75" s="71"/>
      <c r="O75" s="432" t="str">
        <f t="shared" si="5"/>
        <v/>
      </c>
    </row>
    <row r="76" spans="2:15" x14ac:dyDescent="0.4">
      <c r="B76" s="74"/>
      <c r="C76" s="60"/>
      <c r="D76" s="426" t="str">
        <f>IF(C76="","",VLOOKUP(C76,団体基本情報!$B$13:$D$22,3,FALSE))</f>
        <v/>
      </c>
      <c r="E76" s="427" t="str">
        <f t="shared" si="3"/>
        <v/>
      </c>
      <c r="F76" s="428" t="str">
        <f t="shared" si="4"/>
        <v/>
      </c>
      <c r="G76" s="129" t="str">
        <f>IF(H76="","",VLOOKUP(H76,プルダウン用リスト!$K$1:$M$15,2,FALSE))</f>
        <v/>
      </c>
      <c r="H76" s="76"/>
      <c r="I76" s="61"/>
      <c r="J76" s="76"/>
      <c r="K76" s="146"/>
      <c r="L76" s="77"/>
      <c r="M76" s="78"/>
      <c r="N76" s="71"/>
      <c r="O76" s="432" t="str">
        <f t="shared" si="5"/>
        <v/>
      </c>
    </row>
    <row r="77" spans="2:15" x14ac:dyDescent="0.4">
      <c r="B77" s="74"/>
      <c r="C77" s="60"/>
      <c r="D77" s="426" t="str">
        <f>IF(C77="","",VLOOKUP(C77,団体基本情報!$B$13:$D$22,3,FALSE))</f>
        <v/>
      </c>
      <c r="E77" s="427" t="str">
        <f t="shared" si="3"/>
        <v/>
      </c>
      <c r="F77" s="428" t="str">
        <f t="shared" si="4"/>
        <v/>
      </c>
      <c r="G77" s="129" t="str">
        <f>IF(H77="","",VLOOKUP(H77,プルダウン用リスト!$K$1:$M$15,2,FALSE))</f>
        <v/>
      </c>
      <c r="H77" s="76"/>
      <c r="I77" s="61"/>
      <c r="J77" s="76"/>
      <c r="K77" s="146"/>
      <c r="L77" s="77"/>
      <c r="M77" s="78"/>
      <c r="N77" s="71"/>
      <c r="O77" s="432" t="str">
        <f t="shared" si="5"/>
        <v/>
      </c>
    </row>
    <row r="78" spans="2:15" x14ac:dyDescent="0.4">
      <c r="B78" s="74"/>
      <c r="C78" s="75"/>
      <c r="D78" s="426" t="str">
        <f>IF(C78="","",VLOOKUP(C78,団体基本情報!$B$13:$D$22,3,FALSE))</f>
        <v/>
      </c>
      <c r="E78" s="427" t="str">
        <f t="shared" si="3"/>
        <v/>
      </c>
      <c r="F78" s="428" t="str">
        <f t="shared" si="4"/>
        <v/>
      </c>
      <c r="G78" s="129" t="str">
        <f>IF(H78="","",VLOOKUP(H78,プルダウン用リスト!$K$1:$M$15,2,FALSE))</f>
        <v/>
      </c>
      <c r="H78" s="76"/>
      <c r="I78" s="76"/>
      <c r="J78" s="76"/>
      <c r="K78" s="146"/>
      <c r="L78" s="77"/>
      <c r="M78" s="78"/>
      <c r="N78" s="71"/>
      <c r="O78" s="432" t="str">
        <f t="shared" si="5"/>
        <v/>
      </c>
    </row>
    <row r="79" spans="2:15" x14ac:dyDescent="0.4">
      <c r="B79" s="74"/>
      <c r="C79" s="60"/>
      <c r="D79" s="426" t="str">
        <f>IF(C79="","",VLOOKUP(C79,団体基本情報!$B$13:$D$22,3,FALSE))</f>
        <v/>
      </c>
      <c r="E79" s="427" t="str">
        <f t="shared" si="3"/>
        <v/>
      </c>
      <c r="F79" s="428" t="str">
        <f t="shared" si="4"/>
        <v/>
      </c>
      <c r="G79" s="129" t="str">
        <f>IF(H79="","",VLOOKUP(H79,プルダウン用リスト!$K$1:$M$15,2,FALSE))</f>
        <v/>
      </c>
      <c r="H79" s="76"/>
      <c r="I79" s="61"/>
      <c r="J79" s="76"/>
      <c r="K79" s="146"/>
      <c r="L79" s="77"/>
      <c r="M79" s="78"/>
      <c r="N79" s="71"/>
      <c r="O79" s="432" t="str">
        <f t="shared" si="5"/>
        <v/>
      </c>
    </row>
    <row r="80" spans="2:15" x14ac:dyDescent="0.4">
      <c r="B80" s="74"/>
      <c r="C80" s="60"/>
      <c r="D80" s="426" t="str">
        <f>IF(C80="","",VLOOKUP(C80,団体基本情報!$B$13:$D$22,3,FALSE))</f>
        <v/>
      </c>
      <c r="E80" s="427" t="str">
        <f t="shared" si="3"/>
        <v/>
      </c>
      <c r="F80" s="428" t="str">
        <f t="shared" si="4"/>
        <v/>
      </c>
      <c r="G80" s="129" t="str">
        <f>IF(H80="","",VLOOKUP(H80,プルダウン用リスト!$K$1:$M$15,2,FALSE))</f>
        <v/>
      </c>
      <c r="H80" s="76"/>
      <c r="I80" s="61"/>
      <c r="J80" s="76"/>
      <c r="K80" s="146"/>
      <c r="L80" s="77"/>
      <c r="M80" s="78"/>
      <c r="N80" s="71"/>
      <c r="O80" s="432" t="str">
        <f t="shared" si="5"/>
        <v/>
      </c>
    </row>
    <row r="81" spans="2:15" x14ac:dyDescent="0.4">
      <c r="B81" s="74"/>
      <c r="C81" s="60"/>
      <c r="D81" s="426" t="str">
        <f>IF(C81="","",VLOOKUP(C81,団体基本情報!$B$13:$D$22,3,FALSE))</f>
        <v/>
      </c>
      <c r="E81" s="427" t="str">
        <f t="shared" si="3"/>
        <v/>
      </c>
      <c r="F81" s="428" t="str">
        <f t="shared" si="4"/>
        <v/>
      </c>
      <c r="G81" s="129" t="str">
        <f>IF(H81="","",VLOOKUP(H81,プルダウン用リスト!$K$1:$M$15,2,FALSE))</f>
        <v/>
      </c>
      <c r="H81" s="76"/>
      <c r="I81" s="76"/>
      <c r="J81" s="76"/>
      <c r="K81" s="146"/>
      <c r="L81" s="77"/>
      <c r="M81" s="78"/>
      <c r="N81" s="71"/>
      <c r="O81" s="432" t="str">
        <f t="shared" si="5"/>
        <v/>
      </c>
    </row>
    <row r="82" spans="2:15" x14ac:dyDescent="0.4">
      <c r="B82" s="74"/>
      <c r="C82" s="60"/>
      <c r="D82" s="426" t="str">
        <f>IF(C82="","",VLOOKUP(C82,団体基本情報!$B$13:$D$22,3,FALSE))</f>
        <v/>
      </c>
      <c r="E82" s="427" t="str">
        <f t="shared" si="3"/>
        <v/>
      </c>
      <c r="F82" s="428" t="str">
        <f t="shared" si="4"/>
        <v/>
      </c>
      <c r="G82" s="129" t="str">
        <f>IF(H82="","",VLOOKUP(H82,プルダウン用リスト!$K$1:$M$15,2,FALSE))</f>
        <v/>
      </c>
      <c r="H82" s="76"/>
      <c r="I82" s="61"/>
      <c r="J82" s="76"/>
      <c r="K82" s="146"/>
      <c r="L82" s="77"/>
      <c r="M82" s="78"/>
      <c r="N82" s="71"/>
      <c r="O82" s="432" t="str">
        <f t="shared" si="5"/>
        <v/>
      </c>
    </row>
    <row r="83" spans="2:15" x14ac:dyDescent="0.4">
      <c r="B83" s="74"/>
      <c r="C83" s="60"/>
      <c r="D83" s="426" t="str">
        <f>IF(C83="","",VLOOKUP(C83,団体基本情報!$B$13:$D$22,3,FALSE))</f>
        <v/>
      </c>
      <c r="E83" s="427" t="str">
        <f t="shared" si="3"/>
        <v/>
      </c>
      <c r="F83" s="428" t="str">
        <f t="shared" si="4"/>
        <v/>
      </c>
      <c r="G83" s="129" t="str">
        <f>IF(H83="","",VLOOKUP(H83,プルダウン用リスト!$K$1:$M$15,2,FALSE))</f>
        <v/>
      </c>
      <c r="H83" s="76"/>
      <c r="I83" s="61"/>
      <c r="J83" s="76"/>
      <c r="K83" s="146"/>
      <c r="L83" s="77"/>
      <c r="M83" s="78"/>
      <c r="N83" s="71"/>
      <c r="O83" s="432" t="str">
        <f t="shared" si="5"/>
        <v/>
      </c>
    </row>
    <row r="84" spans="2:15" x14ac:dyDescent="0.4">
      <c r="B84" s="74"/>
      <c r="C84" s="60"/>
      <c r="D84" s="426" t="str">
        <f>IF(C84="","",VLOOKUP(C84,団体基本情報!$B$13:$D$22,3,FALSE))</f>
        <v/>
      </c>
      <c r="E84" s="427" t="str">
        <f t="shared" si="3"/>
        <v/>
      </c>
      <c r="F84" s="428" t="str">
        <f t="shared" si="4"/>
        <v/>
      </c>
      <c r="G84" s="129" t="str">
        <f>IF(H84="","",VLOOKUP(H84,プルダウン用リスト!$K$1:$M$15,2,FALSE))</f>
        <v/>
      </c>
      <c r="H84" s="76"/>
      <c r="I84" s="76"/>
      <c r="J84" s="76"/>
      <c r="K84" s="146"/>
      <c r="L84" s="77"/>
      <c r="M84" s="78"/>
      <c r="N84" s="71"/>
      <c r="O84" s="432" t="str">
        <f t="shared" si="5"/>
        <v/>
      </c>
    </row>
    <row r="85" spans="2:15" x14ac:dyDescent="0.4">
      <c r="B85" s="74"/>
      <c r="C85" s="60"/>
      <c r="D85" s="426" t="str">
        <f>IF(C85="","",VLOOKUP(C85,団体基本情報!$B$13:$D$22,3,FALSE))</f>
        <v/>
      </c>
      <c r="E85" s="427" t="str">
        <f t="shared" si="3"/>
        <v/>
      </c>
      <c r="F85" s="428" t="str">
        <f t="shared" si="4"/>
        <v/>
      </c>
      <c r="G85" s="129" t="str">
        <f>IF(H85="","",VLOOKUP(H85,プルダウン用リスト!$K$1:$M$15,2,FALSE))</f>
        <v/>
      </c>
      <c r="H85" s="76"/>
      <c r="I85" s="61"/>
      <c r="J85" s="76"/>
      <c r="K85" s="146"/>
      <c r="L85" s="77"/>
      <c r="M85" s="78"/>
      <c r="N85" s="71"/>
      <c r="O85" s="432" t="str">
        <f t="shared" si="5"/>
        <v/>
      </c>
    </row>
    <row r="86" spans="2:15" x14ac:dyDescent="0.4">
      <c r="B86" s="74"/>
      <c r="C86" s="60"/>
      <c r="D86" s="426" t="str">
        <f>IF(C86="","",VLOOKUP(C86,団体基本情報!$B$13:$D$22,3,FALSE))</f>
        <v/>
      </c>
      <c r="E86" s="427" t="str">
        <f t="shared" si="3"/>
        <v/>
      </c>
      <c r="F86" s="428" t="str">
        <f t="shared" si="4"/>
        <v/>
      </c>
      <c r="G86" s="129" t="str">
        <f>IF(H86="","",VLOOKUP(H86,プルダウン用リスト!$K$1:$M$15,2,FALSE))</f>
        <v/>
      </c>
      <c r="H86" s="76"/>
      <c r="I86" s="61"/>
      <c r="J86" s="76"/>
      <c r="K86" s="146"/>
      <c r="L86" s="77"/>
      <c r="M86" s="78"/>
      <c r="N86" s="71"/>
      <c r="O86" s="432" t="str">
        <f t="shared" si="5"/>
        <v/>
      </c>
    </row>
    <row r="87" spans="2:15" x14ac:dyDescent="0.4">
      <c r="B87" s="74"/>
      <c r="C87" s="60"/>
      <c r="D87" s="426" t="str">
        <f>IF(C87="","",VLOOKUP(C87,団体基本情報!$B$13:$D$22,3,FALSE))</f>
        <v/>
      </c>
      <c r="E87" s="427" t="str">
        <f t="shared" si="3"/>
        <v/>
      </c>
      <c r="F87" s="428" t="str">
        <f t="shared" si="4"/>
        <v/>
      </c>
      <c r="G87" s="129" t="str">
        <f>IF(H87="","",VLOOKUP(H87,プルダウン用リスト!$K$1:$M$15,2,FALSE))</f>
        <v/>
      </c>
      <c r="H87" s="76"/>
      <c r="I87" s="76"/>
      <c r="J87" s="76"/>
      <c r="K87" s="146"/>
      <c r="L87" s="77"/>
      <c r="M87" s="78"/>
      <c r="N87" s="71"/>
      <c r="O87" s="432" t="str">
        <f t="shared" si="5"/>
        <v/>
      </c>
    </row>
    <row r="88" spans="2:15" x14ac:dyDescent="0.4">
      <c r="B88" s="74"/>
      <c r="C88" s="60"/>
      <c r="D88" s="426" t="str">
        <f>IF(C88="","",VLOOKUP(C88,団体基本情報!$B$13:$D$22,3,FALSE))</f>
        <v/>
      </c>
      <c r="E88" s="427" t="str">
        <f t="shared" si="3"/>
        <v/>
      </c>
      <c r="F88" s="428" t="str">
        <f t="shared" si="4"/>
        <v/>
      </c>
      <c r="G88" s="129" t="str">
        <f>IF(H88="","",VLOOKUP(H88,プルダウン用リスト!$K$1:$M$15,2,FALSE))</f>
        <v/>
      </c>
      <c r="H88" s="76"/>
      <c r="I88" s="61"/>
      <c r="J88" s="76"/>
      <c r="K88" s="146"/>
      <c r="L88" s="77"/>
      <c r="M88" s="78"/>
      <c r="N88" s="71"/>
      <c r="O88" s="432" t="str">
        <f t="shared" si="5"/>
        <v/>
      </c>
    </row>
    <row r="89" spans="2:15" x14ac:dyDescent="0.4">
      <c r="B89" s="74"/>
      <c r="C89" s="60"/>
      <c r="D89" s="426" t="str">
        <f>IF(C89="","",VLOOKUP(C89,団体基本情報!$B$13:$D$22,3,FALSE))</f>
        <v/>
      </c>
      <c r="E89" s="427" t="str">
        <f t="shared" si="3"/>
        <v/>
      </c>
      <c r="F89" s="428" t="str">
        <f t="shared" si="4"/>
        <v/>
      </c>
      <c r="G89" s="129" t="str">
        <f>IF(H89="","",VLOOKUP(H89,プルダウン用リスト!$K$1:$M$15,2,FALSE))</f>
        <v/>
      </c>
      <c r="H89" s="76"/>
      <c r="I89" s="61"/>
      <c r="J89" s="76"/>
      <c r="K89" s="146"/>
      <c r="L89" s="77"/>
      <c r="M89" s="78"/>
      <c r="N89" s="71"/>
      <c r="O89" s="432" t="str">
        <f t="shared" si="5"/>
        <v/>
      </c>
    </row>
    <row r="90" spans="2:15" x14ac:dyDescent="0.4">
      <c r="B90" s="74"/>
      <c r="C90" s="75"/>
      <c r="D90" s="426" t="str">
        <f>IF(C90="","",VLOOKUP(C90,団体基本情報!$B$13:$D$22,3,FALSE))</f>
        <v/>
      </c>
      <c r="E90" s="427" t="str">
        <f t="shared" si="3"/>
        <v/>
      </c>
      <c r="F90" s="428" t="str">
        <f t="shared" si="4"/>
        <v/>
      </c>
      <c r="G90" s="129" t="str">
        <f>IF(H90="","",VLOOKUP(H90,プルダウン用リスト!$K$1:$M$15,2,FALSE))</f>
        <v/>
      </c>
      <c r="H90" s="76"/>
      <c r="I90" s="76"/>
      <c r="J90" s="76"/>
      <c r="K90" s="146"/>
      <c r="L90" s="77"/>
      <c r="M90" s="78"/>
      <c r="N90" s="71"/>
      <c r="O90" s="432" t="str">
        <f t="shared" si="5"/>
        <v/>
      </c>
    </row>
    <row r="91" spans="2:15" x14ac:dyDescent="0.4">
      <c r="B91" s="74"/>
      <c r="C91" s="60"/>
      <c r="D91" s="426" t="str">
        <f>IF(C91="","",VLOOKUP(C91,団体基本情報!$B$13:$D$22,3,FALSE))</f>
        <v/>
      </c>
      <c r="E91" s="427" t="str">
        <f t="shared" si="3"/>
        <v/>
      </c>
      <c r="F91" s="428" t="str">
        <f t="shared" si="4"/>
        <v/>
      </c>
      <c r="G91" s="129" t="str">
        <f>IF(H91="","",VLOOKUP(H91,プルダウン用リスト!$K$1:$M$15,2,FALSE))</f>
        <v/>
      </c>
      <c r="H91" s="76"/>
      <c r="I91" s="61"/>
      <c r="J91" s="76"/>
      <c r="K91" s="146"/>
      <c r="L91" s="77"/>
      <c r="M91" s="78"/>
      <c r="N91" s="71"/>
      <c r="O91" s="432" t="str">
        <f t="shared" si="5"/>
        <v/>
      </c>
    </row>
    <row r="92" spans="2:15" x14ac:dyDescent="0.4">
      <c r="B92" s="74"/>
      <c r="C92" s="60"/>
      <c r="D92" s="426" t="str">
        <f>IF(C92="","",VLOOKUP(C92,団体基本情報!$B$13:$D$22,3,FALSE))</f>
        <v/>
      </c>
      <c r="E92" s="427" t="str">
        <f t="shared" si="3"/>
        <v/>
      </c>
      <c r="F92" s="428" t="str">
        <f t="shared" si="4"/>
        <v/>
      </c>
      <c r="G92" s="129" t="str">
        <f>IF(H92="","",VLOOKUP(H92,プルダウン用リスト!$K$1:$M$15,2,FALSE))</f>
        <v/>
      </c>
      <c r="H92" s="76"/>
      <c r="I92" s="61"/>
      <c r="J92" s="76"/>
      <c r="K92" s="146"/>
      <c r="L92" s="77"/>
      <c r="M92" s="78"/>
      <c r="N92" s="71"/>
      <c r="O92" s="432" t="str">
        <f t="shared" si="5"/>
        <v/>
      </c>
    </row>
    <row r="93" spans="2:15" x14ac:dyDescent="0.4">
      <c r="B93" s="74"/>
      <c r="C93" s="60"/>
      <c r="D93" s="426" t="str">
        <f>IF(C93="","",VLOOKUP(C93,団体基本情報!$B$13:$D$22,3,FALSE))</f>
        <v/>
      </c>
      <c r="E93" s="427" t="str">
        <f t="shared" si="3"/>
        <v/>
      </c>
      <c r="F93" s="428" t="str">
        <f t="shared" si="4"/>
        <v/>
      </c>
      <c r="G93" s="129" t="str">
        <f>IF(H93="","",VLOOKUP(H93,プルダウン用リスト!$K$1:$M$15,2,FALSE))</f>
        <v/>
      </c>
      <c r="H93" s="76"/>
      <c r="I93" s="76"/>
      <c r="J93" s="76"/>
      <c r="K93" s="146"/>
      <c r="L93" s="77"/>
      <c r="M93" s="78"/>
      <c r="N93" s="71"/>
      <c r="O93" s="432" t="str">
        <f t="shared" si="5"/>
        <v/>
      </c>
    </row>
    <row r="94" spans="2:15" x14ac:dyDescent="0.4">
      <c r="B94" s="74"/>
      <c r="C94" s="60"/>
      <c r="D94" s="426" t="str">
        <f>IF(C94="","",VLOOKUP(C94,団体基本情報!$B$13:$D$22,3,FALSE))</f>
        <v/>
      </c>
      <c r="E94" s="427" t="str">
        <f t="shared" si="3"/>
        <v/>
      </c>
      <c r="F94" s="428" t="str">
        <f t="shared" si="4"/>
        <v/>
      </c>
      <c r="G94" s="129" t="str">
        <f>IF(H94="","",VLOOKUP(H94,プルダウン用リスト!$K$1:$M$15,2,FALSE))</f>
        <v/>
      </c>
      <c r="H94" s="76"/>
      <c r="I94" s="61"/>
      <c r="J94" s="76"/>
      <c r="K94" s="146"/>
      <c r="L94" s="77"/>
      <c r="M94" s="78"/>
      <c r="N94" s="71"/>
      <c r="O94" s="432" t="str">
        <f t="shared" si="5"/>
        <v/>
      </c>
    </row>
    <row r="95" spans="2:15" x14ac:dyDescent="0.4">
      <c r="B95" s="74"/>
      <c r="C95" s="60"/>
      <c r="D95" s="426" t="str">
        <f>IF(C95="","",VLOOKUP(C95,団体基本情報!$B$13:$D$22,3,FALSE))</f>
        <v/>
      </c>
      <c r="E95" s="427" t="str">
        <f t="shared" si="3"/>
        <v/>
      </c>
      <c r="F95" s="428" t="str">
        <f t="shared" si="4"/>
        <v/>
      </c>
      <c r="G95" s="129" t="str">
        <f>IF(H95="","",VLOOKUP(H95,プルダウン用リスト!$K$1:$M$15,2,FALSE))</f>
        <v/>
      </c>
      <c r="H95" s="76"/>
      <c r="I95" s="61"/>
      <c r="J95" s="76"/>
      <c r="K95" s="146"/>
      <c r="L95" s="77"/>
      <c r="M95" s="78"/>
      <c r="N95" s="71"/>
      <c r="O95" s="432" t="str">
        <f t="shared" si="5"/>
        <v/>
      </c>
    </row>
    <row r="96" spans="2:15" x14ac:dyDescent="0.4">
      <c r="B96" s="74"/>
      <c r="C96" s="60"/>
      <c r="D96" s="426" t="str">
        <f>IF(C96="","",VLOOKUP(C96,団体基本情報!$B$13:$D$22,3,FALSE))</f>
        <v/>
      </c>
      <c r="E96" s="427" t="str">
        <f t="shared" si="3"/>
        <v/>
      </c>
      <c r="F96" s="428" t="str">
        <f t="shared" si="4"/>
        <v/>
      </c>
      <c r="G96" s="129" t="str">
        <f>IF(H96="","",VLOOKUP(H96,プルダウン用リスト!$K$1:$M$15,2,FALSE))</f>
        <v/>
      </c>
      <c r="H96" s="76"/>
      <c r="I96" s="76"/>
      <c r="J96" s="76"/>
      <c r="K96" s="146"/>
      <c r="L96" s="77"/>
      <c r="M96" s="78"/>
      <c r="N96" s="71"/>
      <c r="O96" s="432" t="str">
        <f t="shared" si="5"/>
        <v/>
      </c>
    </row>
    <row r="97" spans="2:15" x14ac:dyDescent="0.4">
      <c r="B97" s="74"/>
      <c r="C97" s="60"/>
      <c r="D97" s="426" t="str">
        <f>IF(C97="","",VLOOKUP(C97,団体基本情報!$B$13:$D$22,3,FALSE))</f>
        <v/>
      </c>
      <c r="E97" s="427" t="str">
        <f t="shared" si="3"/>
        <v/>
      </c>
      <c r="F97" s="428" t="str">
        <f t="shared" si="4"/>
        <v/>
      </c>
      <c r="G97" s="129" t="str">
        <f>IF(H97="","",VLOOKUP(H97,プルダウン用リスト!$K$1:$M$15,2,FALSE))</f>
        <v/>
      </c>
      <c r="H97" s="76"/>
      <c r="I97" s="61"/>
      <c r="J97" s="76"/>
      <c r="K97" s="146"/>
      <c r="L97" s="77"/>
      <c r="M97" s="78"/>
      <c r="N97" s="71"/>
      <c r="O97" s="432" t="str">
        <f t="shared" si="5"/>
        <v/>
      </c>
    </row>
    <row r="98" spans="2:15" x14ac:dyDescent="0.4">
      <c r="B98" s="74"/>
      <c r="C98" s="60"/>
      <c r="D98" s="426" t="str">
        <f>IF(C98="","",VLOOKUP(C98,団体基本情報!$B$13:$D$22,3,FALSE))</f>
        <v/>
      </c>
      <c r="E98" s="427" t="str">
        <f t="shared" si="3"/>
        <v/>
      </c>
      <c r="F98" s="428" t="str">
        <f t="shared" si="4"/>
        <v/>
      </c>
      <c r="G98" s="129" t="str">
        <f>IF(H98="","",VLOOKUP(H98,プルダウン用リスト!$K$1:$M$15,2,FALSE))</f>
        <v/>
      </c>
      <c r="H98" s="76"/>
      <c r="I98" s="61"/>
      <c r="J98" s="76"/>
      <c r="K98" s="146"/>
      <c r="L98" s="77"/>
      <c r="M98" s="78"/>
      <c r="N98" s="71"/>
      <c r="O98" s="432" t="str">
        <f t="shared" si="5"/>
        <v/>
      </c>
    </row>
    <row r="99" spans="2:15" x14ac:dyDescent="0.4">
      <c r="B99" s="74"/>
      <c r="C99" s="60"/>
      <c r="D99" s="426" t="str">
        <f>IF(C99="","",VLOOKUP(C99,団体基本情報!$B$13:$D$22,3,FALSE))</f>
        <v/>
      </c>
      <c r="E99" s="427" t="str">
        <f t="shared" si="3"/>
        <v/>
      </c>
      <c r="F99" s="428" t="str">
        <f t="shared" si="4"/>
        <v/>
      </c>
      <c r="G99" s="129" t="str">
        <f>IF(H99="","",VLOOKUP(H99,プルダウン用リスト!$K$1:$M$15,2,FALSE))</f>
        <v/>
      </c>
      <c r="H99" s="76"/>
      <c r="I99" s="76"/>
      <c r="J99" s="76"/>
      <c r="K99" s="146"/>
      <c r="L99" s="77"/>
      <c r="M99" s="78"/>
      <c r="N99" s="71"/>
      <c r="O99" s="432" t="str">
        <f t="shared" si="5"/>
        <v/>
      </c>
    </row>
    <row r="100" spans="2:15" x14ac:dyDescent="0.4">
      <c r="B100" s="74"/>
      <c r="C100" s="60"/>
      <c r="D100" s="426" t="str">
        <f>IF(C100="","",VLOOKUP(C100,団体基本情報!$B$13:$D$22,3,FALSE))</f>
        <v/>
      </c>
      <c r="E100" s="427" t="str">
        <f t="shared" si="3"/>
        <v/>
      </c>
      <c r="F100" s="428" t="str">
        <f t="shared" si="4"/>
        <v/>
      </c>
      <c r="G100" s="129" t="str">
        <f>IF(H100="","",VLOOKUP(H100,プルダウン用リスト!$K$1:$M$15,2,FALSE))</f>
        <v/>
      </c>
      <c r="H100" s="76"/>
      <c r="I100" s="61"/>
      <c r="J100" s="76"/>
      <c r="K100" s="146"/>
      <c r="L100" s="77"/>
      <c r="M100" s="78"/>
      <c r="N100" s="71"/>
      <c r="O100" s="432" t="str">
        <f t="shared" si="5"/>
        <v/>
      </c>
    </row>
    <row r="101" spans="2:15" x14ac:dyDescent="0.4">
      <c r="B101" s="74"/>
      <c r="C101" s="60"/>
      <c r="D101" s="426" t="str">
        <f>IF(C101="","",VLOOKUP(C101,団体基本情報!$B$13:$D$22,3,FALSE))</f>
        <v/>
      </c>
      <c r="E101" s="427" t="str">
        <f t="shared" si="3"/>
        <v/>
      </c>
      <c r="F101" s="428" t="str">
        <f t="shared" si="4"/>
        <v/>
      </c>
      <c r="G101" s="129" t="str">
        <f>IF(H101="","",VLOOKUP(H101,プルダウン用リスト!$K$1:$M$15,2,FALSE))</f>
        <v/>
      </c>
      <c r="H101" s="76"/>
      <c r="I101" s="61"/>
      <c r="J101" s="76"/>
      <c r="K101" s="146"/>
      <c r="L101" s="77"/>
      <c r="M101" s="78"/>
      <c r="N101" s="71"/>
      <c r="O101" s="432" t="str">
        <f t="shared" si="5"/>
        <v/>
      </c>
    </row>
    <row r="102" spans="2:15" x14ac:dyDescent="0.4">
      <c r="B102" s="74"/>
      <c r="C102" s="75"/>
      <c r="D102" s="426" t="str">
        <f>IF(C102="","",VLOOKUP(C102,団体基本情報!$B$13:$D$22,3,FALSE))</f>
        <v/>
      </c>
      <c r="E102" s="427" t="str">
        <f t="shared" si="3"/>
        <v/>
      </c>
      <c r="F102" s="428" t="str">
        <f t="shared" si="4"/>
        <v/>
      </c>
      <c r="G102" s="129" t="str">
        <f>IF(H102="","",VLOOKUP(H102,プルダウン用リスト!$K$1:$M$15,2,FALSE))</f>
        <v/>
      </c>
      <c r="H102" s="76"/>
      <c r="I102" s="76"/>
      <c r="J102" s="76"/>
      <c r="K102" s="146"/>
      <c r="L102" s="77"/>
      <c r="M102" s="78"/>
      <c r="N102" s="71"/>
      <c r="O102" s="432" t="str">
        <f t="shared" si="5"/>
        <v/>
      </c>
    </row>
    <row r="103" spans="2:15" x14ac:dyDescent="0.4">
      <c r="B103" s="74"/>
      <c r="C103" s="60"/>
      <c r="D103" s="426" t="str">
        <f>IF(C103="","",VLOOKUP(C103,団体基本情報!$B$13:$D$22,3,FALSE))</f>
        <v/>
      </c>
      <c r="E103" s="427" t="str">
        <f t="shared" si="3"/>
        <v/>
      </c>
      <c r="F103" s="428" t="str">
        <f t="shared" si="4"/>
        <v/>
      </c>
      <c r="G103" s="129" t="str">
        <f>IF(H103="","",VLOOKUP(H103,プルダウン用リスト!$K$1:$M$15,2,FALSE))</f>
        <v/>
      </c>
      <c r="H103" s="76"/>
      <c r="I103" s="61"/>
      <c r="J103" s="76"/>
      <c r="K103" s="146"/>
      <c r="L103" s="77"/>
      <c r="M103" s="78"/>
      <c r="N103" s="71"/>
      <c r="O103" s="432" t="str">
        <f t="shared" si="5"/>
        <v/>
      </c>
    </row>
    <row r="104" spans="2:15" x14ac:dyDescent="0.4">
      <c r="B104" s="74"/>
      <c r="C104" s="60"/>
      <c r="D104" s="426" t="str">
        <f>IF(C104="","",VLOOKUP(C104,団体基本情報!$B$13:$D$22,3,FALSE))</f>
        <v/>
      </c>
      <c r="E104" s="427" t="str">
        <f t="shared" si="3"/>
        <v/>
      </c>
      <c r="F104" s="428" t="str">
        <f t="shared" si="4"/>
        <v/>
      </c>
      <c r="G104" s="129" t="str">
        <f>IF(H104="","",VLOOKUP(H104,プルダウン用リスト!$K$1:$M$15,2,FALSE))</f>
        <v/>
      </c>
      <c r="H104" s="76"/>
      <c r="I104" s="61"/>
      <c r="J104" s="76"/>
      <c r="K104" s="146"/>
      <c r="L104" s="77"/>
      <c r="M104" s="78"/>
      <c r="N104" s="71"/>
      <c r="O104" s="432" t="str">
        <f t="shared" si="5"/>
        <v/>
      </c>
    </row>
    <row r="105" spans="2:15" x14ac:dyDescent="0.4">
      <c r="B105" s="74"/>
      <c r="C105" s="60"/>
      <c r="D105" s="426" t="str">
        <f>IF(C105="","",VLOOKUP(C105,団体基本情報!$B$13:$D$22,3,FALSE))</f>
        <v/>
      </c>
      <c r="E105" s="427" t="str">
        <f t="shared" si="3"/>
        <v/>
      </c>
      <c r="F105" s="428" t="str">
        <f t="shared" si="4"/>
        <v/>
      </c>
      <c r="G105" s="129" t="str">
        <f>IF(H105="","",VLOOKUP(H105,プルダウン用リスト!$K$1:$M$15,2,FALSE))</f>
        <v/>
      </c>
      <c r="H105" s="76"/>
      <c r="I105" s="76"/>
      <c r="J105" s="76"/>
      <c r="K105" s="146"/>
      <c r="L105" s="77"/>
      <c r="M105" s="78"/>
      <c r="N105" s="71"/>
      <c r="O105" s="432" t="str">
        <f t="shared" si="5"/>
        <v/>
      </c>
    </row>
    <row r="106" spans="2:15" x14ac:dyDescent="0.4">
      <c r="B106" s="74"/>
      <c r="C106" s="60"/>
      <c r="D106" s="426" t="str">
        <f>IF(C106="","",VLOOKUP(C106,団体基本情報!$B$13:$D$22,3,FALSE))</f>
        <v/>
      </c>
      <c r="E106" s="427" t="str">
        <f t="shared" si="3"/>
        <v/>
      </c>
      <c r="F106" s="428" t="str">
        <f t="shared" si="4"/>
        <v/>
      </c>
      <c r="G106" s="129" t="str">
        <f>IF(H106="","",VLOOKUP(H106,プルダウン用リスト!$K$1:$M$15,2,FALSE))</f>
        <v/>
      </c>
      <c r="H106" s="76"/>
      <c r="I106" s="61"/>
      <c r="J106" s="76"/>
      <c r="K106" s="146"/>
      <c r="L106" s="77"/>
      <c r="M106" s="78"/>
      <c r="N106" s="71"/>
      <c r="O106" s="432" t="str">
        <f t="shared" si="5"/>
        <v/>
      </c>
    </row>
    <row r="107" spans="2:15" x14ac:dyDescent="0.4">
      <c r="B107" s="74"/>
      <c r="C107" s="60"/>
      <c r="D107" s="426" t="str">
        <f>IF(C107="","",VLOOKUP(C107,団体基本情報!$B$13:$D$22,3,FALSE))</f>
        <v/>
      </c>
      <c r="E107" s="427" t="str">
        <f t="shared" si="3"/>
        <v/>
      </c>
      <c r="F107" s="428" t="str">
        <f t="shared" si="4"/>
        <v/>
      </c>
      <c r="G107" s="129" t="str">
        <f>IF(H107="","",VLOOKUP(H107,プルダウン用リスト!$K$1:$M$15,2,FALSE))</f>
        <v/>
      </c>
      <c r="H107" s="76"/>
      <c r="I107" s="61"/>
      <c r="J107" s="76"/>
      <c r="K107" s="146"/>
      <c r="L107" s="77"/>
      <c r="M107" s="78"/>
      <c r="N107" s="71"/>
      <c r="O107" s="432" t="str">
        <f t="shared" si="5"/>
        <v/>
      </c>
    </row>
    <row r="108" spans="2:15" x14ac:dyDescent="0.4">
      <c r="B108" s="74"/>
      <c r="C108" s="60"/>
      <c r="D108" s="426" t="str">
        <f>IF(C108="","",VLOOKUP(C108,団体基本情報!$B$13:$D$22,3,FALSE))</f>
        <v/>
      </c>
      <c r="E108" s="427" t="str">
        <f t="shared" si="3"/>
        <v/>
      </c>
      <c r="F108" s="428" t="str">
        <f t="shared" si="4"/>
        <v/>
      </c>
      <c r="G108" s="129" t="str">
        <f>IF(H108="","",VLOOKUP(H108,プルダウン用リスト!$K$1:$M$15,2,FALSE))</f>
        <v/>
      </c>
      <c r="H108" s="76"/>
      <c r="I108" s="76"/>
      <c r="J108" s="76"/>
      <c r="K108" s="146"/>
      <c r="L108" s="77"/>
      <c r="M108" s="78"/>
      <c r="N108" s="71"/>
      <c r="O108" s="432" t="str">
        <f t="shared" si="5"/>
        <v/>
      </c>
    </row>
    <row r="109" spans="2:15" x14ac:dyDescent="0.4">
      <c r="B109" s="74"/>
      <c r="C109" s="60"/>
      <c r="D109" s="426" t="str">
        <f>IF(C109="","",VLOOKUP(C109,団体基本情報!$B$13:$D$22,3,FALSE))</f>
        <v/>
      </c>
      <c r="E109" s="427" t="str">
        <f t="shared" si="3"/>
        <v/>
      </c>
      <c r="F109" s="428" t="str">
        <f t="shared" si="4"/>
        <v/>
      </c>
      <c r="G109" s="129" t="str">
        <f>IF(H109="","",VLOOKUP(H109,プルダウン用リスト!$K$1:$M$15,2,FALSE))</f>
        <v/>
      </c>
      <c r="H109" s="76"/>
      <c r="I109" s="61"/>
      <c r="J109" s="76"/>
      <c r="K109" s="146"/>
      <c r="L109" s="77"/>
      <c r="M109" s="78"/>
      <c r="N109" s="71"/>
      <c r="O109" s="432" t="str">
        <f t="shared" si="5"/>
        <v/>
      </c>
    </row>
    <row r="110" spans="2:15" x14ac:dyDescent="0.4">
      <c r="B110" s="74"/>
      <c r="C110" s="60"/>
      <c r="D110" s="426" t="str">
        <f>IF(C110="","",VLOOKUP(C110,団体基本情報!$B$13:$D$22,3,FALSE))</f>
        <v/>
      </c>
      <c r="E110" s="427" t="str">
        <f t="shared" si="3"/>
        <v/>
      </c>
      <c r="F110" s="428" t="str">
        <f t="shared" si="4"/>
        <v/>
      </c>
      <c r="G110" s="129" t="str">
        <f>IF(H110="","",VLOOKUP(H110,プルダウン用リスト!$K$1:$M$15,2,FALSE))</f>
        <v/>
      </c>
      <c r="H110" s="76"/>
      <c r="I110" s="61"/>
      <c r="J110" s="76"/>
      <c r="K110" s="146"/>
      <c r="L110" s="77"/>
      <c r="M110" s="78"/>
      <c r="N110" s="71"/>
      <c r="O110" s="432" t="str">
        <f t="shared" si="5"/>
        <v/>
      </c>
    </row>
    <row r="111" spans="2:15" x14ac:dyDescent="0.4">
      <c r="B111" s="74"/>
      <c r="C111" s="60"/>
      <c r="D111" s="426" t="str">
        <f>IF(C111="","",VLOOKUP(C111,団体基本情報!$B$13:$D$22,3,FALSE))</f>
        <v/>
      </c>
      <c r="E111" s="427" t="str">
        <f t="shared" si="3"/>
        <v/>
      </c>
      <c r="F111" s="428" t="str">
        <f t="shared" si="4"/>
        <v/>
      </c>
      <c r="G111" s="129" t="str">
        <f>IF(H111="","",VLOOKUP(H111,プルダウン用リスト!$K$1:$M$15,2,FALSE))</f>
        <v/>
      </c>
      <c r="H111" s="76"/>
      <c r="I111" s="76"/>
      <c r="J111" s="76"/>
      <c r="K111" s="146"/>
      <c r="L111" s="77"/>
      <c r="M111" s="78"/>
      <c r="N111" s="71"/>
      <c r="O111" s="432" t="str">
        <f t="shared" si="5"/>
        <v/>
      </c>
    </row>
    <row r="112" spans="2:15" x14ac:dyDescent="0.4">
      <c r="B112" s="74"/>
      <c r="C112" s="60"/>
      <c r="D112" s="426" t="str">
        <f>IF(C112="","",VLOOKUP(C112,団体基本情報!$B$13:$D$22,3,FALSE))</f>
        <v/>
      </c>
      <c r="E112" s="427" t="str">
        <f t="shared" si="3"/>
        <v/>
      </c>
      <c r="F112" s="428" t="str">
        <f t="shared" si="4"/>
        <v/>
      </c>
      <c r="G112" s="129" t="str">
        <f>IF(H112="","",VLOOKUP(H112,プルダウン用リスト!$K$1:$M$15,2,FALSE))</f>
        <v/>
      </c>
      <c r="H112" s="76"/>
      <c r="I112" s="61"/>
      <c r="J112" s="76"/>
      <c r="K112" s="146"/>
      <c r="L112" s="77"/>
      <c r="M112" s="78"/>
      <c r="N112" s="71"/>
      <c r="O112" s="432" t="str">
        <f t="shared" si="5"/>
        <v/>
      </c>
    </row>
    <row r="113" spans="2:15" x14ac:dyDescent="0.4">
      <c r="B113" s="74"/>
      <c r="C113" s="60"/>
      <c r="D113" s="426" t="str">
        <f>IF(C113="","",VLOOKUP(C113,団体基本情報!$B$13:$D$22,3,FALSE))</f>
        <v/>
      </c>
      <c r="E113" s="427" t="str">
        <f t="shared" si="3"/>
        <v/>
      </c>
      <c r="F113" s="428" t="str">
        <f t="shared" si="4"/>
        <v/>
      </c>
      <c r="G113" s="129" t="str">
        <f>IF(H113="","",VLOOKUP(H113,プルダウン用リスト!$K$1:$M$15,2,FALSE))</f>
        <v/>
      </c>
      <c r="H113" s="76"/>
      <c r="I113" s="61"/>
      <c r="J113" s="76"/>
      <c r="K113" s="146"/>
      <c r="L113" s="77"/>
      <c r="M113" s="78"/>
      <c r="N113" s="71"/>
      <c r="O113" s="432" t="str">
        <f t="shared" si="5"/>
        <v/>
      </c>
    </row>
    <row r="114" spans="2:15" x14ac:dyDescent="0.4">
      <c r="B114" s="74"/>
      <c r="C114" s="75"/>
      <c r="D114" s="426" t="str">
        <f>IF(C114="","",VLOOKUP(C114,団体基本情報!$B$13:$D$22,3,FALSE))</f>
        <v/>
      </c>
      <c r="E114" s="427" t="str">
        <f t="shared" si="3"/>
        <v/>
      </c>
      <c r="F114" s="428" t="str">
        <f t="shared" si="4"/>
        <v/>
      </c>
      <c r="G114" s="129" t="str">
        <f>IF(H114="","",VLOOKUP(H114,プルダウン用リスト!$K$1:$M$15,2,FALSE))</f>
        <v/>
      </c>
      <c r="H114" s="76"/>
      <c r="I114" s="76"/>
      <c r="J114" s="76"/>
      <c r="K114" s="146"/>
      <c r="L114" s="77"/>
      <c r="M114" s="78"/>
      <c r="N114" s="71"/>
      <c r="O114" s="432" t="str">
        <f t="shared" si="5"/>
        <v/>
      </c>
    </row>
    <row r="115" spans="2:15" x14ac:dyDescent="0.4">
      <c r="B115" s="74"/>
      <c r="C115" s="60"/>
      <c r="D115" s="426" t="str">
        <f>IF(C115="","",VLOOKUP(C115,団体基本情報!$B$13:$D$22,3,FALSE))</f>
        <v/>
      </c>
      <c r="E115" s="427" t="str">
        <f t="shared" si="3"/>
        <v/>
      </c>
      <c r="F115" s="428" t="str">
        <f t="shared" si="4"/>
        <v/>
      </c>
      <c r="G115" s="129" t="str">
        <f>IF(H115="","",VLOOKUP(H115,プルダウン用リスト!$K$1:$M$15,2,FALSE))</f>
        <v/>
      </c>
      <c r="H115" s="76"/>
      <c r="I115" s="61"/>
      <c r="J115" s="76"/>
      <c r="K115" s="146"/>
      <c r="L115" s="77"/>
      <c r="M115" s="78"/>
      <c r="N115" s="71"/>
      <c r="O115" s="432" t="str">
        <f t="shared" si="5"/>
        <v/>
      </c>
    </row>
    <row r="116" spans="2:15" x14ac:dyDescent="0.4">
      <c r="B116" s="74"/>
      <c r="C116" s="60"/>
      <c r="D116" s="426" t="str">
        <f>IF(C116="","",VLOOKUP(C116,団体基本情報!$B$13:$D$22,3,FALSE))</f>
        <v/>
      </c>
      <c r="E116" s="427" t="str">
        <f t="shared" si="3"/>
        <v/>
      </c>
      <c r="F116" s="428" t="str">
        <f t="shared" si="4"/>
        <v/>
      </c>
      <c r="G116" s="129" t="str">
        <f>IF(H116="","",VLOOKUP(H116,プルダウン用リスト!$K$1:$M$15,2,FALSE))</f>
        <v/>
      </c>
      <c r="H116" s="76"/>
      <c r="I116" s="61"/>
      <c r="J116" s="76"/>
      <c r="K116" s="146"/>
      <c r="L116" s="77"/>
      <c r="M116" s="78"/>
      <c r="N116" s="71"/>
      <c r="O116" s="432" t="str">
        <f t="shared" si="5"/>
        <v/>
      </c>
    </row>
    <row r="117" spans="2:15" x14ac:dyDescent="0.4">
      <c r="B117" s="74"/>
      <c r="C117" s="60"/>
      <c r="D117" s="426" t="str">
        <f>IF(C117="","",VLOOKUP(C117,団体基本情報!$B$13:$D$22,3,FALSE))</f>
        <v/>
      </c>
      <c r="E117" s="427" t="str">
        <f t="shared" si="3"/>
        <v/>
      </c>
      <c r="F117" s="428" t="str">
        <f t="shared" si="4"/>
        <v/>
      </c>
      <c r="G117" s="129" t="str">
        <f>IF(H117="","",VLOOKUP(H117,プルダウン用リスト!$K$1:$M$15,2,FALSE))</f>
        <v/>
      </c>
      <c r="H117" s="76"/>
      <c r="I117" s="76"/>
      <c r="J117" s="76"/>
      <c r="K117" s="146"/>
      <c r="L117" s="77"/>
      <c r="M117" s="78"/>
      <c r="N117" s="71"/>
      <c r="O117" s="432" t="str">
        <f t="shared" si="5"/>
        <v/>
      </c>
    </row>
    <row r="118" spans="2:15" x14ac:dyDescent="0.4">
      <c r="B118" s="74"/>
      <c r="C118" s="60"/>
      <c r="D118" s="426" t="str">
        <f>IF(C118="","",VLOOKUP(C118,団体基本情報!$B$13:$D$22,3,FALSE))</f>
        <v/>
      </c>
      <c r="E118" s="427" t="str">
        <f t="shared" si="3"/>
        <v/>
      </c>
      <c r="F118" s="428" t="str">
        <f t="shared" si="4"/>
        <v/>
      </c>
      <c r="G118" s="129" t="str">
        <f>IF(H118="","",VLOOKUP(H118,プルダウン用リスト!$K$1:$M$15,2,FALSE))</f>
        <v/>
      </c>
      <c r="H118" s="76"/>
      <c r="I118" s="61"/>
      <c r="J118" s="76"/>
      <c r="K118" s="146"/>
      <c r="L118" s="77"/>
      <c r="M118" s="78"/>
      <c r="N118" s="71"/>
      <c r="O118" s="432" t="str">
        <f t="shared" si="5"/>
        <v/>
      </c>
    </row>
    <row r="119" spans="2:15" x14ac:dyDescent="0.4">
      <c r="B119" s="74"/>
      <c r="C119" s="60"/>
      <c r="D119" s="426" t="str">
        <f>IF(C119="","",VLOOKUP(C119,団体基本情報!$B$13:$D$22,3,FALSE))</f>
        <v/>
      </c>
      <c r="E119" s="427" t="str">
        <f t="shared" si="3"/>
        <v/>
      </c>
      <c r="F119" s="428" t="str">
        <f t="shared" si="4"/>
        <v/>
      </c>
      <c r="G119" s="129" t="str">
        <f>IF(H119="","",VLOOKUP(H119,プルダウン用リスト!$K$1:$M$15,2,FALSE))</f>
        <v/>
      </c>
      <c r="H119" s="76"/>
      <c r="I119" s="61"/>
      <c r="J119" s="76"/>
      <c r="K119" s="146"/>
      <c r="L119" s="77"/>
      <c r="M119" s="78"/>
      <c r="N119" s="71"/>
      <c r="O119" s="432" t="str">
        <f t="shared" si="5"/>
        <v/>
      </c>
    </row>
    <row r="120" spans="2:15" x14ac:dyDescent="0.4">
      <c r="B120" s="74"/>
      <c r="C120" s="60"/>
      <c r="D120" s="426" t="str">
        <f>IF(C120="","",VLOOKUP(C120,団体基本情報!$B$13:$D$22,3,FALSE))</f>
        <v/>
      </c>
      <c r="E120" s="427" t="str">
        <f t="shared" si="3"/>
        <v/>
      </c>
      <c r="F120" s="428" t="str">
        <f t="shared" si="4"/>
        <v/>
      </c>
      <c r="G120" s="129" t="str">
        <f>IF(H120="","",VLOOKUP(H120,プルダウン用リスト!$K$1:$M$15,2,FALSE))</f>
        <v/>
      </c>
      <c r="H120" s="76"/>
      <c r="I120" s="76"/>
      <c r="J120" s="76"/>
      <c r="K120" s="146"/>
      <c r="L120" s="77"/>
      <c r="M120" s="78"/>
      <c r="N120" s="71"/>
      <c r="O120" s="432" t="str">
        <f t="shared" si="5"/>
        <v/>
      </c>
    </row>
    <row r="121" spans="2:15" x14ac:dyDescent="0.4">
      <c r="B121" s="74"/>
      <c r="C121" s="60"/>
      <c r="D121" s="426" t="str">
        <f>IF(C121="","",VLOOKUP(C121,団体基本情報!$B$13:$D$22,3,FALSE))</f>
        <v/>
      </c>
      <c r="E121" s="427" t="str">
        <f t="shared" si="3"/>
        <v/>
      </c>
      <c r="F121" s="428" t="str">
        <f t="shared" si="4"/>
        <v/>
      </c>
      <c r="G121" s="129" t="str">
        <f>IF(H121="","",VLOOKUP(H121,プルダウン用リスト!$K$1:$M$15,2,FALSE))</f>
        <v/>
      </c>
      <c r="H121" s="76"/>
      <c r="I121" s="61"/>
      <c r="J121" s="76"/>
      <c r="K121" s="146"/>
      <c r="L121" s="77"/>
      <c r="M121" s="78"/>
      <c r="N121" s="71"/>
      <c r="O121" s="432" t="str">
        <f t="shared" si="5"/>
        <v/>
      </c>
    </row>
    <row r="122" spans="2:15" x14ac:dyDescent="0.4">
      <c r="B122" s="74"/>
      <c r="C122" s="60"/>
      <c r="D122" s="426" t="str">
        <f>IF(C122="","",VLOOKUP(C122,団体基本情報!$B$13:$D$22,3,FALSE))</f>
        <v/>
      </c>
      <c r="E122" s="427" t="str">
        <f t="shared" si="3"/>
        <v/>
      </c>
      <c r="F122" s="428" t="str">
        <f t="shared" si="4"/>
        <v/>
      </c>
      <c r="G122" s="129" t="str">
        <f>IF(H122="","",VLOOKUP(H122,プルダウン用リスト!$K$1:$M$15,2,FALSE))</f>
        <v/>
      </c>
      <c r="H122" s="76"/>
      <c r="I122" s="61"/>
      <c r="J122" s="76"/>
      <c r="K122" s="146"/>
      <c r="L122" s="77"/>
      <c r="M122" s="78"/>
      <c r="N122" s="71"/>
      <c r="O122" s="432" t="str">
        <f t="shared" si="5"/>
        <v/>
      </c>
    </row>
    <row r="123" spans="2:15" x14ac:dyDescent="0.4">
      <c r="B123" s="74"/>
      <c r="C123" s="60"/>
      <c r="D123" s="426" t="str">
        <f>IF(C123="","",VLOOKUP(C123,団体基本情報!$B$13:$D$22,3,FALSE))</f>
        <v/>
      </c>
      <c r="E123" s="427" t="str">
        <f t="shared" si="3"/>
        <v/>
      </c>
      <c r="F123" s="428" t="str">
        <f t="shared" si="4"/>
        <v/>
      </c>
      <c r="G123" s="129" t="str">
        <f>IF(H123="","",VLOOKUP(H123,プルダウン用リスト!$K$1:$M$15,2,FALSE))</f>
        <v/>
      </c>
      <c r="H123" s="76"/>
      <c r="I123" s="76"/>
      <c r="J123" s="76"/>
      <c r="K123" s="146"/>
      <c r="L123" s="77"/>
      <c r="M123" s="78"/>
      <c r="N123" s="71"/>
      <c r="O123" s="432" t="str">
        <f t="shared" si="5"/>
        <v/>
      </c>
    </row>
    <row r="124" spans="2:15" x14ac:dyDescent="0.4">
      <c r="B124" s="74"/>
      <c r="C124" s="60"/>
      <c r="D124" s="426" t="str">
        <f>IF(C124="","",VLOOKUP(C124,団体基本情報!$B$13:$D$22,3,FALSE))</f>
        <v/>
      </c>
      <c r="E124" s="427" t="str">
        <f t="shared" si="3"/>
        <v/>
      </c>
      <c r="F124" s="428" t="str">
        <f t="shared" si="4"/>
        <v/>
      </c>
      <c r="G124" s="129" t="str">
        <f>IF(H124="","",VLOOKUP(H124,プルダウン用リスト!$K$1:$M$15,2,FALSE))</f>
        <v/>
      </c>
      <c r="H124" s="76"/>
      <c r="I124" s="61"/>
      <c r="J124" s="76"/>
      <c r="K124" s="146"/>
      <c r="L124" s="77"/>
      <c r="M124" s="78"/>
      <c r="N124" s="71"/>
      <c r="O124" s="432" t="str">
        <f t="shared" si="5"/>
        <v/>
      </c>
    </row>
    <row r="125" spans="2:15" x14ac:dyDescent="0.4">
      <c r="B125" s="74"/>
      <c r="C125" s="60"/>
      <c r="D125" s="426" t="str">
        <f>IF(C125="","",VLOOKUP(C125,団体基本情報!$B$13:$D$22,3,FALSE))</f>
        <v/>
      </c>
      <c r="E125" s="427" t="str">
        <f t="shared" si="3"/>
        <v/>
      </c>
      <c r="F125" s="428" t="str">
        <f t="shared" si="4"/>
        <v/>
      </c>
      <c r="G125" s="129" t="str">
        <f>IF(H125="","",VLOOKUP(H125,プルダウン用リスト!$K$1:$M$15,2,FALSE))</f>
        <v/>
      </c>
      <c r="H125" s="76"/>
      <c r="I125" s="61"/>
      <c r="J125" s="76"/>
      <c r="K125" s="146"/>
      <c r="L125" s="77"/>
      <c r="M125" s="78"/>
      <c r="N125" s="71"/>
      <c r="O125" s="432" t="str">
        <f t="shared" si="5"/>
        <v/>
      </c>
    </row>
    <row r="126" spans="2:15" x14ac:dyDescent="0.4">
      <c r="B126" s="74"/>
      <c r="C126" s="75"/>
      <c r="D126" s="426" t="str">
        <f>IF(C126="","",VLOOKUP(C126,団体基本情報!$B$13:$D$22,3,FALSE))</f>
        <v/>
      </c>
      <c r="E126" s="427" t="str">
        <f t="shared" si="3"/>
        <v/>
      </c>
      <c r="F126" s="428" t="str">
        <f t="shared" si="4"/>
        <v/>
      </c>
      <c r="G126" s="129" t="str">
        <f>IF(H126="","",VLOOKUP(H126,プルダウン用リスト!$K$1:$M$15,2,FALSE))</f>
        <v/>
      </c>
      <c r="H126" s="76"/>
      <c r="I126" s="76"/>
      <c r="J126" s="76"/>
      <c r="K126" s="146"/>
      <c r="L126" s="77"/>
      <c r="M126" s="78"/>
      <c r="N126" s="71"/>
      <c r="O126" s="432" t="str">
        <f t="shared" si="5"/>
        <v/>
      </c>
    </row>
    <row r="127" spans="2:15" x14ac:dyDescent="0.4">
      <c r="B127" s="74"/>
      <c r="C127" s="60"/>
      <c r="D127" s="426" t="str">
        <f>IF(C127="","",VLOOKUP(C127,団体基本情報!$B$13:$D$22,3,FALSE))</f>
        <v/>
      </c>
      <c r="E127" s="427" t="str">
        <f t="shared" si="3"/>
        <v/>
      </c>
      <c r="F127" s="428" t="str">
        <f t="shared" si="4"/>
        <v/>
      </c>
      <c r="G127" s="129" t="str">
        <f>IF(H127="","",VLOOKUP(H127,プルダウン用リスト!$K$1:$M$15,2,FALSE))</f>
        <v/>
      </c>
      <c r="H127" s="76"/>
      <c r="I127" s="61"/>
      <c r="J127" s="76"/>
      <c r="K127" s="146"/>
      <c r="L127" s="77"/>
      <c r="M127" s="78"/>
      <c r="N127" s="71"/>
      <c r="O127" s="432" t="str">
        <f t="shared" si="5"/>
        <v/>
      </c>
    </row>
    <row r="128" spans="2:15" x14ac:dyDescent="0.4">
      <c r="B128" s="74"/>
      <c r="C128" s="60"/>
      <c r="D128" s="426" t="str">
        <f>IF(C128="","",VLOOKUP(C128,団体基本情報!$B$13:$D$22,3,FALSE))</f>
        <v/>
      </c>
      <c r="E128" s="427" t="str">
        <f t="shared" si="3"/>
        <v/>
      </c>
      <c r="F128" s="428" t="str">
        <f t="shared" si="4"/>
        <v/>
      </c>
      <c r="G128" s="129" t="str">
        <f>IF(H128="","",VLOOKUP(H128,プルダウン用リスト!$K$1:$M$15,2,FALSE))</f>
        <v/>
      </c>
      <c r="H128" s="76"/>
      <c r="I128" s="61"/>
      <c r="J128" s="76"/>
      <c r="K128" s="146"/>
      <c r="L128" s="77"/>
      <c r="M128" s="78"/>
      <c r="N128" s="71"/>
      <c r="O128" s="432" t="str">
        <f t="shared" si="5"/>
        <v/>
      </c>
    </row>
    <row r="129" spans="2:15" x14ac:dyDescent="0.4">
      <c r="B129" s="74"/>
      <c r="C129" s="60"/>
      <c r="D129" s="426" t="str">
        <f>IF(C129="","",VLOOKUP(C129,団体基本情報!$B$13:$D$22,3,FALSE))</f>
        <v/>
      </c>
      <c r="E129" s="427" t="str">
        <f t="shared" si="3"/>
        <v/>
      </c>
      <c r="F129" s="428" t="str">
        <f t="shared" si="4"/>
        <v/>
      </c>
      <c r="G129" s="129" t="str">
        <f>IF(H129="","",VLOOKUP(H129,プルダウン用リスト!$K$1:$M$15,2,FALSE))</f>
        <v/>
      </c>
      <c r="H129" s="76"/>
      <c r="I129" s="76"/>
      <c r="J129" s="76"/>
      <c r="K129" s="146"/>
      <c r="L129" s="77"/>
      <c r="M129" s="78"/>
      <c r="N129" s="71"/>
      <c r="O129" s="432" t="str">
        <f t="shared" si="5"/>
        <v/>
      </c>
    </row>
    <row r="130" spans="2:15" x14ac:dyDescent="0.4">
      <c r="B130" s="74"/>
      <c r="C130" s="60"/>
      <c r="D130" s="426" t="str">
        <f>IF(C130="","",VLOOKUP(C130,団体基本情報!$B$13:$D$22,3,FALSE))</f>
        <v/>
      </c>
      <c r="E130" s="427" t="str">
        <f t="shared" si="3"/>
        <v/>
      </c>
      <c r="F130" s="428" t="str">
        <f t="shared" si="4"/>
        <v/>
      </c>
      <c r="G130" s="129" t="str">
        <f>IF(H130="","",VLOOKUP(H130,プルダウン用リスト!$K$1:$M$15,2,FALSE))</f>
        <v/>
      </c>
      <c r="H130" s="76"/>
      <c r="I130" s="61"/>
      <c r="J130" s="76"/>
      <c r="K130" s="146"/>
      <c r="L130" s="77"/>
      <c r="M130" s="78"/>
      <c r="N130" s="71"/>
      <c r="O130" s="432" t="str">
        <f t="shared" si="5"/>
        <v/>
      </c>
    </row>
    <row r="131" spans="2:15" x14ac:dyDescent="0.4">
      <c r="B131" s="74"/>
      <c r="C131" s="60"/>
      <c r="D131" s="426" t="str">
        <f>IF(C131="","",VLOOKUP(C131,団体基本情報!$B$13:$D$22,3,FALSE))</f>
        <v/>
      </c>
      <c r="E131" s="427" t="str">
        <f t="shared" si="3"/>
        <v/>
      </c>
      <c r="F131" s="428" t="str">
        <f t="shared" si="4"/>
        <v/>
      </c>
      <c r="G131" s="129" t="str">
        <f>IF(H131="","",VLOOKUP(H131,プルダウン用リスト!$K$1:$M$15,2,FALSE))</f>
        <v/>
      </c>
      <c r="H131" s="76"/>
      <c r="I131" s="61"/>
      <c r="J131" s="76"/>
      <c r="K131" s="146"/>
      <c r="L131" s="77"/>
      <c r="M131" s="78"/>
      <c r="N131" s="71"/>
      <c r="O131" s="432" t="str">
        <f t="shared" si="5"/>
        <v/>
      </c>
    </row>
    <row r="132" spans="2:15" x14ac:dyDescent="0.4">
      <c r="B132" s="74"/>
      <c r="C132" s="60"/>
      <c r="D132" s="426" t="str">
        <f>IF(C132="","",VLOOKUP(C132,団体基本情報!$B$13:$D$22,3,FALSE))</f>
        <v/>
      </c>
      <c r="E132" s="427" t="str">
        <f t="shared" si="3"/>
        <v/>
      </c>
      <c r="F132" s="428" t="str">
        <f t="shared" si="4"/>
        <v/>
      </c>
      <c r="G132" s="129" t="str">
        <f>IF(H132="","",VLOOKUP(H132,プルダウン用リスト!$K$1:$M$15,2,FALSE))</f>
        <v/>
      </c>
      <c r="H132" s="76"/>
      <c r="I132" s="76"/>
      <c r="J132" s="76"/>
      <c r="K132" s="146"/>
      <c r="L132" s="77"/>
      <c r="M132" s="78"/>
      <c r="N132" s="71"/>
      <c r="O132" s="432" t="str">
        <f t="shared" si="5"/>
        <v/>
      </c>
    </row>
    <row r="133" spans="2:15" x14ac:dyDescent="0.4">
      <c r="B133" s="74"/>
      <c r="C133" s="60"/>
      <c r="D133" s="426" t="str">
        <f>IF(C133="","",VLOOKUP(C133,団体基本情報!$B$13:$D$22,3,FALSE))</f>
        <v/>
      </c>
      <c r="E133" s="427" t="str">
        <f t="shared" si="3"/>
        <v/>
      </c>
      <c r="F133" s="428" t="str">
        <f t="shared" si="4"/>
        <v/>
      </c>
      <c r="G133" s="129" t="str">
        <f>IF(H133="","",VLOOKUP(H133,プルダウン用リスト!$K$1:$M$15,2,FALSE))</f>
        <v/>
      </c>
      <c r="H133" s="76"/>
      <c r="I133" s="61"/>
      <c r="J133" s="76"/>
      <c r="K133" s="146"/>
      <c r="L133" s="77"/>
      <c r="M133" s="78"/>
      <c r="N133" s="71"/>
      <c r="O133" s="432" t="str">
        <f t="shared" si="5"/>
        <v/>
      </c>
    </row>
    <row r="134" spans="2:15" x14ac:dyDescent="0.4">
      <c r="B134" s="74"/>
      <c r="C134" s="60"/>
      <c r="D134" s="426" t="str">
        <f>IF(C134="","",VLOOKUP(C134,団体基本情報!$B$13:$D$22,3,FALSE))</f>
        <v/>
      </c>
      <c r="E134" s="427" t="str">
        <f t="shared" si="3"/>
        <v/>
      </c>
      <c r="F134" s="428" t="str">
        <f t="shared" si="4"/>
        <v/>
      </c>
      <c r="G134" s="129" t="str">
        <f>IF(H134="","",VLOOKUP(H134,プルダウン用リスト!$K$1:$M$15,2,FALSE))</f>
        <v/>
      </c>
      <c r="H134" s="76"/>
      <c r="I134" s="61"/>
      <c r="J134" s="76"/>
      <c r="K134" s="146"/>
      <c r="L134" s="77"/>
      <c r="M134" s="78"/>
      <c r="N134" s="71"/>
      <c r="O134" s="432" t="str">
        <f t="shared" si="5"/>
        <v/>
      </c>
    </row>
    <row r="135" spans="2:15" x14ac:dyDescent="0.4">
      <c r="B135" s="74"/>
      <c r="C135" s="60"/>
      <c r="D135" s="426" t="str">
        <f>IF(C135="","",VLOOKUP(C135,団体基本情報!$B$13:$D$22,3,FALSE))</f>
        <v/>
      </c>
      <c r="E135" s="427" t="str">
        <f t="shared" ref="E135:E198" si="6">IF(F135="","",IF(F135="謝金","01.",IF(F135="旅費","02.",IF(F135="その他","04.","03."))))</f>
        <v/>
      </c>
      <c r="F135" s="428" t="str">
        <f t="shared" ref="F135:F198" si="7">IF(H135="","",IF(H135="謝金","謝金",IF(H135="旅費","旅費",IF(H135="対象外経費","その他","所費"))))</f>
        <v/>
      </c>
      <c r="G135" s="129" t="str">
        <f>IF(H135="","",VLOOKUP(H135,プルダウン用リスト!$K$1:$M$15,2,FALSE))</f>
        <v/>
      </c>
      <c r="H135" s="76"/>
      <c r="I135" s="76"/>
      <c r="J135" s="76"/>
      <c r="K135" s="146"/>
      <c r="L135" s="77"/>
      <c r="M135" s="78"/>
      <c r="N135" s="71"/>
      <c r="O135" s="432" t="str">
        <f t="shared" ref="O135:O198" si="8">IF(H135="対象外経費",M135,IF(N135="","",M135-N135))</f>
        <v/>
      </c>
    </row>
    <row r="136" spans="2:15" x14ac:dyDescent="0.4">
      <c r="B136" s="74"/>
      <c r="C136" s="60"/>
      <c r="D136" s="426" t="str">
        <f>IF(C136="","",VLOOKUP(C136,団体基本情報!$B$13:$D$22,3,FALSE))</f>
        <v/>
      </c>
      <c r="E136" s="427" t="str">
        <f t="shared" si="6"/>
        <v/>
      </c>
      <c r="F136" s="428" t="str">
        <f t="shared" si="7"/>
        <v/>
      </c>
      <c r="G136" s="129" t="str">
        <f>IF(H136="","",VLOOKUP(H136,プルダウン用リスト!$K$1:$M$15,2,FALSE))</f>
        <v/>
      </c>
      <c r="H136" s="76"/>
      <c r="I136" s="61"/>
      <c r="J136" s="76"/>
      <c r="K136" s="146"/>
      <c r="L136" s="77"/>
      <c r="M136" s="78"/>
      <c r="N136" s="71"/>
      <c r="O136" s="432" t="str">
        <f t="shared" si="8"/>
        <v/>
      </c>
    </row>
    <row r="137" spans="2:15" x14ac:dyDescent="0.4">
      <c r="B137" s="74"/>
      <c r="C137" s="60"/>
      <c r="D137" s="426" t="str">
        <f>IF(C137="","",VLOOKUP(C137,団体基本情報!$B$13:$D$22,3,FALSE))</f>
        <v/>
      </c>
      <c r="E137" s="427" t="str">
        <f t="shared" si="6"/>
        <v/>
      </c>
      <c r="F137" s="428" t="str">
        <f t="shared" si="7"/>
        <v/>
      </c>
      <c r="G137" s="129" t="str">
        <f>IF(H137="","",VLOOKUP(H137,プルダウン用リスト!$K$1:$M$15,2,FALSE))</f>
        <v/>
      </c>
      <c r="H137" s="76"/>
      <c r="I137" s="61"/>
      <c r="J137" s="76"/>
      <c r="K137" s="146"/>
      <c r="L137" s="77"/>
      <c r="M137" s="78"/>
      <c r="N137" s="71"/>
      <c r="O137" s="432" t="str">
        <f t="shared" si="8"/>
        <v/>
      </c>
    </row>
    <row r="138" spans="2:15" x14ac:dyDescent="0.4">
      <c r="B138" s="74"/>
      <c r="C138" s="75"/>
      <c r="D138" s="426" t="str">
        <f>IF(C138="","",VLOOKUP(C138,団体基本情報!$B$13:$D$22,3,FALSE))</f>
        <v/>
      </c>
      <c r="E138" s="427" t="str">
        <f t="shared" si="6"/>
        <v/>
      </c>
      <c r="F138" s="428" t="str">
        <f t="shared" si="7"/>
        <v/>
      </c>
      <c r="G138" s="129" t="str">
        <f>IF(H138="","",VLOOKUP(H138,プルダウン用リスト!$K$1:$M$15,2,FALSE))</f>
        <v/>
      </c>
      <c r="H138" s="76"/>
      <c r="I138" s="76"/>
      <c r="J138" s="76"/>
      <c r="K138" s="146"/>
      <c r="L138" s="77"/>
      <c r="M138" s="78"/>
      <c r="N138" s="71"/>
      <c r="O138" s="432" t="str">
        <f t="shared" si="8"/>
        <v/>
      </c>
    </row>
    <row r="139" spans="2:15" x14ac:dyDescent="0.4">
      <c r="B139" s="74"/>
      <c r="C139" s="60"/>
      <c r="D139" s="426" t="str">
        <f>IF(C139="","",VLOOKUP(C139,団体基本情報!$B$13:$D$22,3,FALSE))</f>
        <v/>
      </c>
      <c r="E139" s="427" t="str">
        <f t="shared" si="6"/>
        <v/>
      </c>
      <c r="F139" s="428" t="str">
        <f t="shared" si="7"/>
        <v/>
      </c>
      <c r="G139" s="129" t="str">
        <f>IF(H139="","",VLOOKUP(H139,プルダウン用リスト!$K$1:$M$15,2,FALSE))</f>
        <v/>
      </c>
      <c r="H139" s="76"/>
      <c r="I139" s="61"/>
      <c r="J139" s="76"/>
      <c r="K139" s="146"/>
      <c r="L139" s="77"/>
      <c r="M139" s="78"/>
      <c r="N139" s="71"/>
      <c r="O139" s="432" t="str">
        <f t="shared" si="8"/>
        <v/>
      </c>
    </row>
    <row r="140" spans="2:15" x14ac:dyDescent="0.4">
      <c r="B140" s="74"/>
      <c r="C140" s="60"/>
      <c r="D140" s="426" t="str">
        <f>IF(C140="","",VLOOKUP(C140,団体基本情報!$B$13:$D$22,3,FALSE))</f>
        <v/>
      </c>
      <c r="E140" s="427" t="str">
        <f t="shared" si="6"/>
        <v/>
      </c>
      <c r="F140" s="428" t="str">
        <f t="shared" si="7"/>
        <v/>
      </c>
      <c r="G140" s="129" t="str">
        <f>IF(H140="","",VLOOKUP(H140,プルダウン用リスト!$K$1:$M$15,2,FALSE))</f>
        <v/>
      </c>
      <c r="H140" s="76"/>
      <c r="I140" s="61"/>
      <c r="J140" s="76"/>
      <c r="K140" s="146"/>
      <c r="L140" s="77"/>
      <c r="M140" s="78"/>
      <c r="N140" s="71"/>
      <c r="O140" s="432" t="str">
        <f t="shared" si="8"/>
        <v/>
      </c>
    </row>
    <row r="141" spans="2:15" x14ac:dyDescent="0.4">
      <c r="B141" s="74"/>
      <c r="C141" s="60"/>
      <c r="D141" s="426" t="str">
        <f>IF(C141="","",VLOOKUP(C141,団体基本情報!$B$13:$D$22,3,FALSE))</f>
        <v/>
      </c>
      <c r="E141" s="427" t="str">
        <f t="shared" si="6"/>
        <v/>
      </c>
      <c r="F141" s="428" t="str">
        <f t="shared" si="7"/>
        <v/>
      </c>
      <c r="G141" s="129" t="str">
        <f>IF(H141="","",VLOOKUP(H141,プルダウン用リスト!$K$1:$M$15,2,FALSE))</f>
        <v/>
      </c>
      <c r="H141" s="76"/>
      <c r="I141" s="76"/>
      <c r="J141" s="76"/>
      <c r="K141" s="146"/>
      <c r="L141" s="77"/>
      <c r="M141" s="78"/>
      <c r="N141" s="71"/>
      <c r="O141" s="432" t="str">
        <f t="shared" si="8"/>
        <v/>
      </c>
    </row>
    <row r="142" spans="2:15" x14ac:dyDescent="0.4">
      <c r="B142" s="74"/>
      <c r="C142" s="60"/>
      <c r="D142" s="426" t="str">
        <f>IF(C142="","",VLOOKUP(C142,団体基本情報!$B$13:$D$22,3,FALSE))</f>
        <v/>
      </c>
      <c r="E142" s="427" t="str">
        <f t="shared" si="6"/>
        <v/>
      </c>
      <c r="F142" s="428" t="str">
        <f t="shared" si="7"/>
        <v/>
      </c>
      <c r="G142" s="129" t="str">
        <f>IF(H142="","",VLOOKUP(H142,プルダウン用リスト!$K$1:$M$15,2,FALSE))</f>
        <v/>
      </c>
      <c r="H142" s="76"/>
      <c r="I142" s="61"/>
      <c r="J142" s="76"/>
      <c r="K142" s="146"/>
      <c r="L142" s="77"/>
      <c r="M142" s="78"/>
      <c r="N142" s="71"/>
      <c r="O142" s="432" t="str">
        <f t="shared" si="8"/>
        <v/>
      </c>
    </row>
    <row r="143" spans="2:15" x14ac:dyDescent="0.4">
      <c r="B143" s="74"/>
      <c r="C143" s="60"/>
      <c r="D143" s="426" t="str">
        <f>IF(C143="","",VLOOKUP(C143,団体基本情報!$B$13:$D$22,3,FALSE))</f>
        <v/>
      </c>
      <c r="E143" s="427" t="str">
        <f t="shared" si="6"/>
        <v/>
      </c>
      <c r="F143" s="428" t="str">
        <f t="shared" si="7"/>
        <v/>
      </c>
      <c r="G143" s="129" t="str">
        <f>IF(H143="","",VLOOKUP(H143,プルダウン用リスト!$K$1:$M$15,2,FALSE))</f>
        <v/>
      </c>
      <c r="H143" s="76"/>
      <c r="I143" s="61"/>
      <c r="J143" s="76"/>
      <c r="K143" s="146"/>
      <c r="L143" s="77"/>
      <c r="M143" s="78"/>
      <c r="N143" s="71"/>
      <c r="O143" s="432" t="str">
        <f t="shared" si="8"/>
        <v/>
      </c>
    </row>
    <row r="144" spans="2:15" x14ac:dyDescent="0.4">
      <c r="B144" s="74"/>
      <c r="C144" s="60"/>
      <c r="D144" s="426" t="str">
        <f>IF(C144="","",VLOOKUP(C144,団体基本情報!$B$13:$D$22,3,FALSE))</f>
        <v/>
      </c>
      <c r="E144" s="427" t="str">
        <f t="shared" si="6"/>
        <v/>
      </c>
      <c r="F144" s="428" t="str">
        <f t="shared" si="7"/>
        <v/>
      </c>
      <c r="G144" s="129" t="str">
        <f>IF(H144="","",VLOOKUP(H144,プルダウン用リスト!$K$1:$M$15,2,FALSE))</f>
        <v/>
      </c>
      <c r="H144" s="76"/>
      <c r="I144" s="76"/>
      <c r="J144" s="76"/>
      <c r="K144" s="146"/>
      <c r="L144" s="77"/>
      <c r="M144" s="78"/>
      <c r="N144" s="71"/>
      <c r="O144" s="432" t="str">
        <f t="shared" si="8"/>
        <v/>
      </c>
    </row>
    <row r="145" spans="2:15" x14ac:dyDescent="0.4">
      <c r="B145" s="74"/>
      <c r="C145" s="60"/>
      <c r="D145" s="426" t="str">
        <f>IF(C145="","",VLOOKUP(C145,団体基本情報!$B$13:$D$22,3,FALSE))</f>
        <v/>
      </c>
      <c r="E145" s="427" t="str">
        <f t="shared" si="6"/>
        <v/>
      </c>
      <c r="F145" s="428" t="str">
        <f t="shared" si="7"/>
        <v/>
      </c>
      <c r="G145" s="129" t="str">
        <f>IF(H145="","",VLOOKUP(H145,プルダウン用リスト!$K$1:$M$15,2,FALSE))</f>
        <v/>
      </c>
      <c r="H145" s="76"/>
      <c r="I145" s="61"/>
      <c r="J145" s="76"/>
      <c r="K145" s="146"/>
      <c r="L145" s="77"/>
      <c r="M145" s="78"/>
      <c r="N145" s="71"/>
      <c r="O145" s="432" t="str">
        <f t="shared" si="8"/>
        <v/>
      </c>
    </row>
    <row r="146" spans="2:15" x14ac:dyDescent="0.4">
      <c r="B146" s="74"/>
      <c r="C146" s="60"/>
      <c r="D146" s="426" t="str">
        <f>IF(C146="","",VLOOKUP(C146,団体基本情報!$B$13:$D$22,3,FALSE))</f>
        <v/>
      </c>
      <c r="E146" s="427" t="str">
        <f t="shared" si="6"/>
        <v/>
      </c>
      <c r="F146" s="428" t="str">
        <f t="shared" si="7"/>
        <v/>
      </c>
      <c r="G146" s="129" t="str">
        <f>IF(H146="","",VLOOKUP(H146,プルダウン用リスト!$K$1:$M$15,2,FALSE))</f>
        <v/>
      </c>
      <c r="H146" s="76"/>
      <c r="I146" s="61"/>
      <c r="J146" s="76"/>
      <c r="K146" s="146"/>
      <c r="L146" s="77"/>
      <c r="M146" s="78"/>
      <c r="N146" s="71"/>
      <c r="O146" s="432" t="str">
        <f t="shared" si="8"/>
        <v/>
      </c>
    </row>
    <row r="147" spans="2:15" x14ac:dyDescent="0.4">
      <c r="B147" s="74"/>
      <c r="C147" s="60"/>
      <c r="D147" s="426" t="str">
        <f>IF(C147="","",VLOOKUP(C147,団体基本情報!$B$13:$D$22,3,FALSE))</f>
        <v/>
      </c>
      <c r="E147" s="427" t="str">
        <f t="shared" si="6"/>
        <v/>
      </c>
      <c r="F147" s="428" t="str">
        <f t="shared" si="7"/>
        <v/>
      </c>
      <c r="G147" s="129" t="str">
        <f>IF(H147="","",VLOOKUP(H147,プルダウン用リスト!$K$1:$M$15,2,FALSE))</f>
        <v/>
      </c>
      <c r="H147" s="76"/>
      <c r="I147" s="76"/>
      <c r="J147" s="76"/>
      <c r="K147" s="146"/>
      <c r="L147" s="77"/>
      <c r="M147" s="78"/>
      <c r="N147" s="71"/>
      <c r="O147" s="432" t="str">
        <f t="shared" si="8"/>
        <v/>
      </c>
    </row>
    <row r="148" spans="2:15" x14ac:dyDescent="0.4">
      <c r="B148" s="74"/>
      <c r="C148" s="60"/>
      <c r="D148" s="426" t="str">
        <f>IF(C148="","",VLOOKUP(C148,団体基本情報!$B$13:$D$22,3,FALSE))</f>
        <v/>
      </c>
      <c r="E148" s="427" t="str">
        <f t="shared" si="6"/>
        <v/>
      </c>
      <c r="F148" s="428" t="str">
        <f t="shared" si="7"/>
        <v/>
      </c>
      <c r="G148" s="129" t="str">
        <f>IF(H148="","",VLOOKUP(H148,プルダウン用リスト!$K$1:$M$15,2,FALSE))</f>
        <v/>
      </c>
      <c r="H148" s="76"/>
      <c r="I148" s="61"/>
      <c r="J148" s="76"/>
      <c r="K148" s="146"/>
      <c r="L148" s="77"/>
      <c r="M148" s="78"/>
      <c r="N148" s="71"/>
      <c r="O148" s="432" t="str">
        <f t="shared" si="8"/>
        <v/>
      </c>
    </row>
    <row r="149" spans="2:15" x14ac:dyDescent="0.4">
      <c r="B149" s="74"/>
      <c r="C149" s="60"/>
      <c r="D149" s="426" t="str">
        <f>IF(C149="","",VLOOKUP(C149,団体基本情報!$B$13:$D$22,3,FALSE))</f>
        <v/>
      </c>
      <c r="E149" s="427" t="str">
        <f t="shared" si="6"/>
        <v/>
      </c>
      <c r="F149" s="428" t="str">
        <f t="shared" si="7"/>
        <v/>
      </c>
      <c r="G149" s="129" t="str">
        <f>IF(H149="","",VLOOKUP(H149,プルダウン用リスト!$K$1:$M$15,2,FALSE))</f>
        <v/>
      </c>
      <c r="H149" s="76"/>
      <c r="I149" s="61"/>
      <c r="J149" s="76"/>
      <c r="K149" s="146"/>
      <c r="L149" s="77"/>
      <c r="M149" s="78"/>
      <c r="N149" s="71"/>
      <c r="O149" s="432" t="str">
        <f t="shared" si="8"/>
        <v/>
      </c>
    </row>
    <row r="150" spans="2:15" x14ac:dyDescent="0.4">
      <c r="B150" s="74"/>
      <c r="C150" s="75"/>
      <c r="D150" s="426" t="str">
        <f>IF(C150="","",VLOOKUP(C150,団体基本情報!$B$13:$D$22,3,FALSE))</f>
        <v/>
      </c>
      <c r="E150" s="427" t="str">
        <f t="shared" si="6"/>
        <v/>
      </c>
      <c r="F150" s="428" t="str">
        <f t="shared" si="7"/>
        <v/>
      </c>
      <c r="G150" s="129" t="str">
        <f>IF(H150="","",VLOOKUP(H150,プルダウン用リスト!$K$1:$M$15,2,FALSE))</f>
        <v/>
      </c>
      <c r="H150" s="76"/>
      <c r="I150" s="76"/>
      <c r="J150" s="76"/>
      <c r="K150" s="146"/>
      <c r="L150" s="77"/>
      <c r="M150" s="78"/>
      <c r="N150" s="71"/>
      <c r="O150" s="432" t="str">
        <f t="shared" si="8"/>
        <v/>
      </c>
    </row>
    <row r="151" spans="2:15" x14ac:dyDescent="0.4">
      <c r="B151" s="74"/>
      <c r="C151" s="60"/>
      <c r="D151" s="426" t="str">
        <f>IF(C151="","",VLOOKUP(C151,団体基本情報!$B$13:$D$22,3,FALSE))</f>
        <v/>
      </c>
      <c r="E151" s="427" t="str">
        <f t="shared" si="6"/>
        <v/>
      </c>
      <c r="F151" s="428" t="str">
        <f t="shared" si="7"/>
        <v/>
      </c>
      <c r="G151" s="129" t="str">
        <f>IF(H151="","",VLOOKUP(H151,プルダウン用リスト!$K$1:$M$15,2,FALSE))</f>
        <v/>
      </c>
      <c r="H151" s="76"/>
      <c r="I151" s="61"/>
      <c r="J151" s="76"/>
      <c r="K151" s="146"/>
      <c r="L151" s="77"/>
      <c r="M151" s="78"/>
      <c r="N151" s="71"/>
      <c r="O151" s="432" t="str">
        <f t="shared" si="8"/>
        <v/>
      </c>
    </row>
    <row r="152" spans="2:15" x14ac:dyDescent="0.4">
      <c r="B152" s="74"/>
      <c r="C152" s="60"/>
      <c r="D152" s="426" t="str">
        <f>IF(C152="","",VLOOKUP(C152,団体基本情報!$B$13:$D$22,3,FALSE))</f>
        <v/>
      </c>
      <c r="E152" s="427" t="str">
        <f t="shared" si="6"/>
        <v/>
      </c>
      <c r="F152" s="428" t="str">
        <f t="shared" si="7"/>
        <v/>
      </c>
      <c r="G152" s="129" t="str">
        <f>IF(H152="","",VLOOKUP(H152,プルダウン用リスト!$K$1:$M$15,2,FALSE))</f>
        <v/>
      </c>
      <c r="H152" s="76"/>
      <c r="I152" s="61"/>
      <c r="J152" s="76"/>
      <c r="K152" s="146"/>
      <c r="L152" s="77"/>
      <c r="M152" s="78"/>
      <c r="N152" s="71"/>
      <c r="O152" s="432" t="str">
        <f t="shared" si="8"/>
        <v/>
      </c>
    </row>
    <row r="153" spans="2:15" x14ac:dyDescent="0.4">
      <c r="B153" s="74"/>
      <c r="C153" s="60"/>
      <c r="D153" s="426" t="str">
        <f>IF(C153="","",VLOOKUP(C153,団体基本情報!$B$13:$D$22,3,FALSE))</f>
        <v/>
      </c>
      <c r="E153" s="427" t="str">
        <f t="shared" si="6"/>
        <v/>
      </c>
      <c r="F153" s="428" t="str">
        <f t="shared" si="7"/>
        <v/>
      </c>
      <c r="G153" s="129" t="str">
        <f>IF(H153="","",VLOOKUP(H153,プルダウン用リスト!$K$1:$M$15,2,FALSE))</f>
        <v/>
      </c>
      <c r="H153" s="76"/>
      <c r="I153" s="76"/>
      <c r="J153" s="76"/>
      <c r="K153" s="146"/>
      <c r="L153" s="77"/>
      <c r="M153" s="78"/>
      <c r="N153" s="71"/>
      <c r="O153" s="432" t="str">
        <f t="shared" si="8"/>
        <v/>
      </c>
    </row>
    <row r="154" spans="2:15" x14ac:dyDescent="0.4">
      <c r="B154" s="74"/>
      <c r="C154" s="60"/>
      <c r="D154" s="426" t="str">
        <f>IF(C154="","",VLOOKUP(C154,団体基本情報!$B$13:$D$22,3,FALSE))</f>
        <v/>
      </c>
      <c r="E154" s="427" t="str">
        <f t="shared" si="6"/>
        <v/>
      </c>
      <c r="F154" s="428" t="str">
        <f t="shared" si="7"/>
        <v/>
      </c>
      <c r="G154" s="129" t="str">
        <f>IF(H154="","",VLOOKUP(H154,プルダウン用リスト!$K$1:$M$15,2,FALSE))</f>
        <v/>
      </c>
      <c r="H154" s="76"/>
      <c r="I154" s="61"/>
      <c r="J154" s="76"/>
      <c r="K154" s="146"/>
      <c r="L154" s="77"/>
      <c r="M154" s="78"/>
      <c r="N154" s="71"/>
      <c r="O154" s="432" t="str">
        <f t="shared" si="8"/>
        <v/>
      </c>
    </row>
    <row r="155" spans="2:15" x14ac:dyDescent="0.4">
      <c r="B155" s="74"/>
      <c r="C155" s="60"/>
      <c r="D155" s="426" t="str">
        <f>IF(C155="","",VLOOKUP(C155,団体基本情報!$B$13:$D$22,3,FALSE))</f>
        <v/>
      </c>
      <c r="E155" s="427" t="str">
        <f t="shared" si="6"/>
        <v/>
      </c>
      <c r="F155" s="428" t="str">
        <f t="shared" si="7"/>
        <v/>
      </c>
      <c r="G155" s="129" t="str">
        <f>IF(H155="","",VLOOKUP(H155,プルダウン用リスト!$K$1:$M$15,2,FALSE))</f>
        <v/>
      </c>
      <c r="H155" s="76"/>
      <c r="I155" s="61"/>
      <c r="J155" s="76"/>
      <c r="K155" s="146"/>
      <c r="L155" s="77"/>
      <c r="M155" s="78"/>
      <c r="N155" s="71"/>
      <c r="O155" s="432" t="str">
        <f t="shared" si="8"/>
        <v/>
      </c>
    </row>
    <row r="156" spans="2:15" x14ac:dyDescent="0.4">
      <c r="B156" s="74"/>
      <c r="C156" s="60"/>
      <c r="D156" s="426" t="str">
        <f>IF(C156="","",VLOOKUP(C156,団体基本情報!$B$13:$D$22,3,FALSE))</f>
        <v/>
      </c>
      <c r="E156" s="427" t="str">
        <f t="shared" si="6"/>
        <v/>
      </c>
      <c r="F156" s="428" t="str">
        <f t="shared" si="7"/>
        <v/>
      </c>
      <c r="G156" s="129" t="str">
        <f>IF(H156="","",VLOOKUP(H156,プルダウン用リスト!$K$1:$M$15,2,FALSE))</f>
        <v/>
      </c>
      <c r="H156" s="76"/>
      <c r="I156" s="76"/>
      <c r="J156" s="76"/>
      <c r="K156" s="146"/>
      <c r="L156" s="77"/>
      <c r="M156" s="78"/>
      <c r="N156" s="71"/>
      <c r="O156" s="432" t="str">
        <f t="shared" si="8"/>
        <v/>
      </c>
    </row>
    <row r="157" spans="2:15" x14ac:dyDescent="0.4">
      <c r="B157" s="74"/>
      <c r="C157" s="60"/>
      <c r="D157" s="426" t="str">
        <f>IF(C157="","",VLOOKUP(C157,団体基本情報!$B$13:$D$22,3,FALSE))</f>
        <v/>
      </c>
      <c r="E157" s="427" t="str">
        <f t="shared" si="6"/>
        <v/>
      </c>
      <c r="F157" s="428" t="str">
        <f t="shared" si="7"/>
        <v/>
      </c>
      <c r="G157" s="129" t="str">
        <f>IF(H157="","",VLOOKUP(H157,プルダウン用リスト!$K$1:$M$15,2,FALSE))</f>
        <v/>
      </c>
      <c r="H157" s="76"/>
      <c r="I157" s="61"/>
      <c r="J157" s="76"/>
      <c r="K157" s="146"/>
      <c r="L157" s="77"/>
      <c r="M157" s="78"/>
      <c r="N157" s="71"/>
      <c r="O157" s="432" t="str">
        <f t="shared" si="8"/>
        <v/>
      </c>
    </row>
    <row r="158" spans="2:15" x14ac:dyDescent="0.4">
      <c r="B158" s="74"/>
      <c r="C158" s="60"/>
      <c r="D158" s="426" t="str">
        <f>IF(C158="","",VLOOKUP(C158,団体基本情報!$B$13:$D$22,3,FALSE))</f>
        <v/>
      </c>
      <c r="E158" s="427" t="str">
        <f t="shared" si="6"/>
        <v/>
      </c>
      <c r="F158" s="428" t="str">
        <f t="shared" si="7"/>
        <v/>
      </c>
      <c r="G158" s="129" t="str">
        <f>IF(H158="","",VLOOKUP(H158,プルダウン用リスト!$K$1:$M$15,2,FALSE))</f>
        <v/>
      </c>
      <c r="H158" s="76"/>
      <c r="I158" s="61"/>
      <c r="J158" s="76"/>
      <c r="K158" s="146"/>
      <c r="L158" s="77"/>
      <c r="M158" s="78"/>
      <c r="N158" s="71"/>
      <c r="O158" s="432" t="str">
        <f t="shared" si="8"/>
        <v/>
      </c>
    </row>
    <row r="159" spans="2:15" x14ac:dyDescent="0.4">
      <c r="B159" s="74"/>
      <c r="C159" s="60"/>
      <c r="D159" s="426" t="str">
        <f>IF(C159="","",VLOOKUP(C159,団体基本情報!$B$13:$D$22,3,FALSE))</f>
        <v/>
      </c>
      <c r="E159" s="427" t="str">
        <f t="shared" si="6"/>
        <v/>
      </c>
      <c r="F159" s="428" t="str">
        <f t="shared" si="7"/>
        <v/>
      </c>
      <c r="G159" s="129" t="str">
        <f>IF(H159="","",VLOOKUP(H159,プルダウン用リスト!$K$1:$M$15,2,FALSE))</f>
        <v/>
      </c>
      <c r="H159" s="76"/>
      <c r="I159" s="76"/>
      <c r="J159" s="76"/>
      <c r="K159" s="146"/>
      <c r="L159" s="77"/>
      <c r="M159" s="78"/>
      <c r="N159" s="71"/>
      <c r="O159" s="432" t="str">
        <f t="shared" si="8"/>
        <v/>
      </c>
    </row>
    <row r="160" spans="2:15" x14ac:dyDescent="0.4">
      <c r="B160" s="74"/>
      <c r="C160" s="60"/>
      <c r="D160" s="426" t="str">
        <f>IF(C160="","",VLOOKUP(C160,団体基本情報!$B$13:$D$22,3,FALSE))</f>
        <v/>
      </c>
      <c r="E160" s="427" t="str">
        <f t="shared" si="6"/>
        <v/>
      </c>
      <c r="F160" s="428" t="str">
        <f t="shared" si="7"/>
        <v/>
      </c>
      <c r="G160" s="129" t="str">
        <f>IF(H160="","",VLOOKUP(H160,プルダウン用リスト!$K$1:$M$15,2,FALSE))</f>
        <v/>
      </c>
      <c r="H160" s="76"/>
      <c r="I160" s="61"/>
      <c r="J160" s="76"/>
      <c r="K160" s="146"/>
      <c r="L160" s="77"/>
      <c r="M160" s="78"/>
      <c r="N160" s="71"/>
      <c r="O160" s="432" t="str">
        <f t="shared" si="8"/>
        <v/>
      </c>
    </row>
    <row r="161" spans="2:15" x14ac:dyDescent="0.4">
      <c r="B161" s="74"/>
      <c r="C161" s="60"/>
      <c r="D161" s="426" t="str">
        <f>IF(C161="","",VLOOKUP(C161,団体基本情報!$B$13:$D$22,3,FALSE))</f>
        <v/>
      </c>
      <c r="E161" s="427" t="str">
        <f t="shared" si="6"/>
        <v/>
      </c>
      <c r="F161" s="428" t="str">
        <f t="shared" si="7"/>
        <v/>
      </c>
      <c r="G161" s="129" t="str">
        <f>IF(H161="","",VLOOKUP(H161,プルダウン用リスト!$K$1:$M$15,2,FALSE))</f>
        <v/>
      </c>
      <c r="H161" s="76"/>
      <c r="I161" s="61"/>
      <c r="J161" s="76"/>
      <c r="K161" s="146"/>
      <c r="L161" s="77"/>
      <c r="M161" s="78"/>
      <c r="N161" s="71"/>
      <c r="O161" s="432" t="str">
        <f t="shared" si="8"/>
        <v/>
      </c>
    </row>
    <row r="162" spans="2:15" x14ac:dyDescent="0.4">
      <c r="B162" s="74"/>
      <c r="C162" s="75"/>
      <c r="D162" s="426" t="str">
        <f>IF(C162="","",VLOOKUP(C162,団体基本情報!$B$13:$D$22,3,FALSE))</f>
        <v/>
      </c>
      <c r="E162" s="427" t="str">
        <f t="shared" si="6"/>
        <v/>
      </c>
      <c r="F162" s="428" t="str">
        <f t="shared" si="7"/>
        <v/>
      </c>
      <c r="G162" s="129" t="str">
        <f>IF(H162="","",VLOOKUP(H162,プルダウン用リスト!$K$1:$M$15,2,FALSE))</f>
        <v/>
      </c>
      <c r="H162" s="76"/>
      <c r="I162" s="76"/>
      <c r="J162" s="76"/>
      <c r="K162" s="146"/>
      <c r="L162" s="77"/>
      <c r="M162" s="78"/>
      <c r="N162" s="71"/>
      <c r="O162" s="432" t="str">
        <f t="shared" si="8"/>
        <v/>
      </c>
    </row>
    <row r="163" spans="2:15" x14ac:dyDescent="0.4">
      <c r="B163" s="74"/>
      <c r="C163" s="60"/>
      <c r="D163" s="426" t="str">
        <f>IF(C163="","",VLOOKUP(C163,団体基本情報!$B$13:$D$22,3,FALSE))</f>
        <v/>
      </c>
      <c r="E163" s="427" t="str">
        <f t="shared" si="6"/>
        <v/>
      </c>
      <c r="F163" s="428" t="str">
        <f t="shared" si="7"/>
        <v/>
      </c>
      <c r="G163" s="129" t="str">
        <f>IF(H163="","",VLOOKUP(H163,プルダウン用リスト!$K$1:$M$15,2,FALSE))</f>
        <v/>
      </c>
      <c r="H163" s="76"/>
      <c r="I163" s="61"/>
      <c r="J163" s="76"/>
      <c r="K163" s="146"/>
      <c r="L163" s="77"/>
      <c r="M163" s="78"/>
      <c r="N163" s="71"/>
      <c r="O163" s="432" t="str">
        <f t="shared" si="8"/>
        <v/>
      </c>
    </row>
    <row r="164" spans="2:15" x14ac:dyDescent="0.4">
      <c r="B164" s="74"/>
      <c r="C164" s="60"/>
      <c r="D164" s="426" t="str">
        <f>IF(C164="","",VLOOKUP(C164,団体基本情報!$B$13:$D$22,3,FALSE))</f>
        <v/>
      </c>
      <c r="E164" s="427" t="str">
        <f t="shared" si="6"/>
        <v/>
      </c>
      <c r="F164" s="428" t="str">
        <f t="shared" si="7"/>
        <v/>
      </c>
      <c r="G164" s="129" t="str">
        <f>IF(H164="","",VLOOKUP(H164,プルダウン用リスト!$K$1:$M$15,2,FALSE))</f>
        <v/>
      </c>
      <c r="H164" s="76"/>
      <c r="I164" s="61"/>
      <c r="J164" s="76"/>
      <c r="K164" s="146"/>
      <c r="L164" s="77"/>
      <c r="M164" s="78"/>
      <c r="N164" s="71"/>
      <c r="O164" s="432" t="str">
        <f t="shared" si="8"/>
        <v/>
      </c>
    </row>
    <row r="165" spans="2:15" x14ac:dyDescent="0.4">
      <c r="B165" s="74"/>
      <c r="C165" s="60"/>
      <c r="D165" s="426" t="str">
        <f>IF(C165="","",VLOOKUP(C165,団体基本情報!$B$13:$D$22,3,FALSE))</f>
        <v/>
      </c>
      <c r="E165" s="427" t="str">
        <f t="shared" si="6"/>
        <v/>
      </c>
      <c r="F165" s="428" t="str">
        <f t="shared" si="7"/>
        <v/>
      </c>
      <c r="G165" s="129" t="str">
        <f>IF(H165="","",VLOOKUP(H165,プルダウン用リスト!$K$1:$M$15,2,FALSE))</f>
        <v/>
      </c>
      <c r="H165" s="76"/>
      <c r="I165" s="76"/>
      <c r="J165" s="76"/>
      <c r="K165" s="146"/>
      <c r="L165" s="77"/>
      <c r="M165" s="78"/>
      <c r="N165" s="71"/>
      <c r="O165" s="432" t="str">
        <f t="shared" si="8"/>
        <v/>
      </c>
    </row>
    <row r="166" spans="2:15" x14ac:dyDescent="0.4">
      <c r="B166" s="74"/>
      <c r="C166" s="60"/>
      <c r="D166" s="426" t="str">
        <f>IF(C166="","",VLOOKUP(C166,団体基本情報!$B$13:$D$22,3,FALSE))</f>
        <v/>
      </c>
      <c r="E166" s="427" t="str">
        <f t="shared" si="6"/>
        <v/>
      </c>
      <c r="F166" s="428" t="str">
        <f t="shared" si="7"/>
        <v/>
      </c>
      <c r="G166" s="129" t="str">
        <f>IF(H166="","",VLOOKUP(H166,プルダウン用リスト!$K$1:$M$15,2,FALSE))</f>
        <v/>
      </c>
      <c r="H166" s="76"/>
      <c r="I166" s="61"/>
      <c r="J166" s="76"/>
      <c r="K166" s="146"/>
      <c r="L166" s="77"/>
      <c r="M166" s="78"/>
      <c r="N166" s="71"/>
      <c r="O166" s="432" t="str">
        <f t="shared" si="8"/>
        <v/>
      </c>
    </row>
    <row r="167" spans="2:15" x14ac:dyDescent="0.4">
      <c r="B167" s="74"/>
      <c r="C167" s="60"/>
      <c r="D167" s="426" t="str">
        <f>IF(C167="","",VLOOKUP(C167,団体基本情報!$B$13:$D$22,3,FALSE))</f>
        <v/>
      </c>
      <c r="E167" s="427" t="str">
        <f t="shared" si="6"/>
        <v/>
      </c>
      <c r="F167" s="428" t="str">
        <f t="shared" si="7"/>
        <v/>
      </c>
      <c r="G167" s="129" t="str">
        <f>IF(H167="","",VLOOKUP(H167,プルダウン用リスト!$K$1:$M$15,2,FALSE))</f>
        <v/>
      </c>
      <c r="H167" s="76"/>
      <c r="I167" s="61"/>
      <c r="J167" s="76"/>
      <c r="K167" s="146"/>
      <c r="L167" s="77"/>
      <c r="M167" s="78"/>
      <c r="N167" s="71"/>
      <c r="O167" s="432" t="str">
        <f t="shared" si="8"/>
        <v/>
      </c>
    </row>
    <row r="168" spans="2:15" x14ac:dyDescent="0.4">
      <c r="B168" s="74"/>
      <c r="C168" s="60"/>
      <c r="D168" s="426" t="str">
        <f>IF(C168="","",VLOOKUP(C168,団体基本情報!$B$13:$D$22,3,FALSE))</f>
        <v/>
      </c>
      <c r="E168" s="427" t="str">
        <f t="shared" si="6"/>
        <v/>
      </c>
      <c r="F168" s="428" t="str">
        <f t="shared" si="7"/>
        <v/>
      </c>
      <c r="G168" s="129" t="str">
        <f>IF(H168="","",VLOOKUP(H168,プルダウン用リスト!$K$1:$M$15,2,FALSE))</f>
        <v/>
      </c>
      <c r="H168" s="76"/>
      <c r="I168" s="76"/>
      <c r="J168" s="76"/>
      <c r="K168" s="146"/>
      <c r="L168" s="77"/>
      <c r="M168" s="78"/>
      <c r="N168" s="71"/>
      <c r="O168" s="432" t="str">
        <f t="shared" si="8"/>
        <v/>
      </c>
    </row>
    <row r="169" spans="2:15" x14ac:dyDescent="0.4">
      <c r="B169" s="74"/>
      <c r="C169" s="60"/>
      <c r="D169" s="426" t="str">
        <f>IF(C169="","",VLOOKUP(C169,団体基本情報!$B$13:$D$22,3,FALSE))</f>
        <v/>
      </c>
      <c r="E169" s="427" t="str">
        <f t="shared" si="6"/>
        <v/>
      </c>
      <c r="F169" s="428" t="str">
        <f t="shared" si="7"/>
        <v/>
      </c>
      <c r="G169" s="129" t="str">
        <f>IF(H169="","",VLOOKUP(H169,プルダウン用リスト!$K$1:$M$15,2,FALSE))</f>
        <v/>
      </c>
      <c r="H169" s="76"/>
      <c r="I169" s="61"/>
      <c r="J169" s="76"/>
      <c r="K169" s="146"/>
      <c r="L169" s="77"/>
      <c r="M169" s="78"/>
      <c r="N169" s="71"/>
      <c r="O169" s="432" t="str">
        <f t="shared" si="8"/>
        <v/>
      </c>
    </row>
    <row r="170" spans="2:15" x14ac:dyDescent="0.4">
      <c r="B170" s="74"/>
      <c r="C170" s="60"/>
      <c r="D170" s="426" t="str">
        <f>IF(C170="","",VLOOKUP(C170,団体基本情報!$B$13:$D$22,3,FALSE))</f>
        <v/>
      </c>
      <c r="E170" s="427" t="str">
        <f t="shared" si="6"/>
        <v/>
      </c>
      <c r="F170" s="428" t="str">
        <f t="shared" si="7"/>
        <v/>
      </c>
      <c r="G170" s="129" t="str">
        <f>IF(H170="","",VLOOKUP(H170,プルダウン用リスト!$K$1:$M$15,2,FALSE))</f>
        <v/>
      </c>
      <c r="H170" s="76"/>
      <c r="I170" s="61"/>
      <c r="J170" s="76"/>
      <c r="K170" s="146"/>
      <c r="L170" s="77"/>
      <c r="M170" s="78"/>
      <c r="N170" s="71"/>
      <c r="O170" s="432" t="str">
        <f t="shared" si="8"/>
        <v/>
      </c>
    </row>
    <row r="171" spans="2:15" x14ac:dyDescent="0.4">
      <c r="B171" s="74"/>
      <c r="C171" s="60"/>
      <c r="D171" s="426" t="str">
        <f>IF(C171="","",VLOOKUP(C171,団体基本情報!$B$13:$D$22,3,FALSE))</f>
        <v/>
      </c>
      <c r="E171" s="427" t="str">
        <f t="shared" si="6"/>
        <v/>
      </c>
      <c r="F171" s="428" t="str">
        <f t="shared" si="7"/>
        <v/>
      </c>
      <c r="G171" s="129" t="str">
        <f>IF(H171="","",VLOOKUP(H171,プルダウン用リスト!$K$1:$M$15,2,FALSE))</f>
        <v/>
      </c>
      <c r="H171" s="76"/>
      <c r="I171" s="76"/>
      <c r="J171" s="76"/>
      <c r="K171" s="146"/>
      <c r="L171" s="77"/>
      <c r="M171" s="78"/>
      <c r="N171" s="71"/>
      <c r="O171" s="432" t="str">
        <f t="shared" si="8"/>
        <v/>
      </c>
    </row>
    <row r="172" spans="2:15" x14ac:dyDescent="0.4">
      <c r="B172" s="74"/>
      <c r="C172" s="60"/>
      <c r="D172" s="426" t="str">
        <f>IF(C172="","",VLOOKUP(C172,団体基本情報!$B$13:$D$22,3,FALSE))</f>
        <v/>
      </c>
      <c r="E172" s="427" t="str">
        <f t="shared" si="6"/>
        <v/>
      </c>
      <c r="F172" s="428" t="str">
        <f t="shared" si="7"/>
        <v/>
      </c>
      <c r="G172" s="129" t="str">
        <f>IF(H172="","",VLOOKUP(H172,プルダウン用リスト!$K$1:$M$15,2,FALSE))</f>
        <v/>
      </c>
      <c r="H172" s="76"/>
      <c r="I172" s="61"/>
      <c r="J172" s="76"/>
      <c r="K172" s="146"/>
      <c r="L172" s="77"/>
      <c r="M172" s="78"/>
      <c r="N172" s="71"/>
      <c r="O172" s="432" t="str">
        <f t="shared" si="8"/>
        <v/>
      </c>
    </row>
    <row r="173" spans="2:15" x14ac:dyDescent="0.4">
      <c r="B173" s="74"/>
      <c r="C173" s="60"/>
      <c r="D173" s="426" t="str">
        <f>IF(C173="","",VLOOKUP(C173,団体基本情報!$B$13:$D$22,3,FALSE))</f>
        <v/>
      </c>
      <c r="E173" s="427" t="str">
        <f t="shared" si="6"/>
        <v/>
      </c>
      <c r="F173" s="428" t="str">
        <f t="shared" si="7"/>
        <v/>
      </c>
      <c r="G173" s="129" t="str">
        <f>IF(H173="","",VLOOKUP(H173,プルダウン用リスト!$K$1:$M$15,2,FALSE))</f>
        <v/>
      </c>
      <c r="H173" s="76"/>
      <c r="I173" s="61"/>
      <c r="J173" s="76"/>
      <c r="K173" s="146"/>
      <c r="L173" s="77"/>
      <c r="M173" s="78"/>
      <c r="N173" s="71"/>
      <c r="O173" s="432" t="str">
        <f t="shared" si="8"/>
        <v/>
      </c>
    </row>
    <row r="174" spans="2:15" x14ac:dyDescent="0.4">
      <c r="B174" s="74"/>
      <c r="C174" s="75"/>
      <c r="D174" s="426" t="str">
        <f>IF(C174="","",VLOOKUP(C174,団体基本情報!$B$13:$D$22,3,FALSE))</f>
        <v/>
      </c>
      <c r="E174" s="427" t="str">
        <f t="shared" si="6"/>
        <v/>
      </c>
      <c r="F174" s="428" t="str">
        <f t="shared" si="7"/>
        <v/>
      </c>
      <c r="G174" s="129" t="str">
        <f>IF(H174="","",VLOOKUP(H174,プルダウン用リスト!$K$1:$M$15,2,FALSE))</f>
        <v/>
      </c>
      <c r="H174" s="76"/>
      <c r="I174" s="76"/>
      <c r="J174" s="76"/>
      <c r="K174" s="146"/>
      <c r="L174" s="77"/>
      <c r="M174" s="78"/>
      <c r="N174" s="71"/>
      <c r="O174" s="432" t="str">
        <f t="shared" si="8"/>
        <v/>
      </c>
    </row>
    <row r="175" spans="2:15" x14ac:dyDescent="0.4">
      <c r="B175" s="74"/>
      <c r="C175" s="60"/>
      <c r="D175" s="426" t="str">
        <f>IF(C175="","",VLOOKUP(C175,団体基本情報!$B$13:$D$22,3,FALSE))</f>
        <v/>
      </c>
      <c r="E175" s="427" t="str">
        <f t="shared" si="6"/>
        <v/>
      </c>
      <c r="F175" s="428" t="str">
        <f t="shared" si="7"/>
        <v/>
      </c>
      <c r="G175" s="129" t="str">
        <f>IF(H175="","",VLOOKUP(H175,プルダウン用リスト!$K$1:$M$15,2,FALSE))</f>
        <v/>
      </c>
      <c r="H175" s="76"/>
      <c r="I175" s="61"/>
      <c r="J175" s="76"/>
      <c r="K175" s="146"/>
      <c r="L175" s="77"/>
      <c r="M175" s="78"/>
      <c r="N175" s="71"/>
      <c r="O175" s="432" t="str">
        <f t="shared" si="8"/>
        <v/>
      </c>
    </row>
    <row r="176" spans="2:15" x14ac:dyDescent="0.4">
      <c r="B176" s="74"/>
      <c r="C176" s="60"/>
      <c r="D176" s="426" t="str">
        <f>IF(C176="","",VLOOKUP(C176,団体基本情報!$B$13:$D$22,3,FALSE))</f>
        <v/>
      </c>
      <c r="E176" s="427" t="str">
        <f t="shared" si="6"/>
        <v/>
      </c>
      <c r="F176" s="428" t="str">
        <f t="shared" si="7"/>
        <v/>
      </c>
      <c r="G176" s="129" t="str">
        <f>IF(H176="","",VLOOKUP(H176,プルダウン用リスト!$K$1:$M$15,2,FALSE))</f>
        <v/>
      </c>
      <c r="H176" s="76"/>
      <c r="I176" s="61"/>
      <c r="J176" s="76"/>
      <c r="K176" s="146"/>
      <c r="L176" s="77"/>
      <c r="M176" s="78"/>
      <c r="N176" s="71"/>
      <c r="O176" s="432" t="str">
        <f t="shared" si="8"/>
        <v/>
      </c>
    </row>
    <row r="177" spans="2:15" x14ac:dyDescent="0.4">
      <c r="B177" s="74"/>
      <c r="C177" s="60"/>
      <c r="D177" s="426" t="str">
        <f>IF(C177="","",VLOOKUP(C177,団体基本情報!$B$13:$D$22,3,FALSE))</f>
        <v/>
      </c>
      <c r="E177" s="427" t="str">
        <f t="shared" si="6"/>
        <v/>
      </c>
      <c r="F177" s="428" t="str">
        <f t="shared" si="7"/>
        <v/>
      </c>
      <c r="G177" s="129" t="str">
        <f>IF(H177="","",VLOOKUP(H177,プルダウン用リスト!$K$1:$M$15,2,FALSE))</f>
        <v/>
      </c>
      <c r="H177" s="76"/>
      <c r="I177" s="76"/>
      <c r="J177" s="76"/>
      <c r="K177" s="146"/>
      <c r="L177" s="77"/>
      <c r="M177" s="78"/>
      <c r="N177" s="71"/>
      <c r="O177" s="432" t="str">
        <f t="shared" si="8"/>
        <v/>
      </c>
    </row>
    <row r="178" spans="2:15" x14ac:dyDescent="0.4">
      <c r="B178" s="74"/>
      <c r="C178" s="60"/>
      <c r="D178" s="426" t="str">
        <f>IF(C178="","",VLOOKUP(C178,団体基本情報!$B$13:$D$22,3,FALSE))</f>
        <v/>
      </c>
      <c r="E178" s="427" t="str">
        <f t="shared" si="6"/>
        <v/>
      </c>
      <c r="F178" s="428" t="str">
        <f t="shared" si="7"/>
        <v/>
      </c>
      <c r="G178" s="129" t="str">
        <f>IF(H178="","",VLOOKUP(H178,プルダウン用リスト!$K$1:$M$15,2,FALSE))</f>
        <v/>
      </c>
      <c r="H178" s="76"/>
      <c r="I178" s="61"/>
      <c r="J178" s="76"/>
      <c r="K178" s="146"/>
      <c r="L178" s="77"/>
      <c r="M178" s="78"/>
      <c r="N178" s="71"/>
      <c r="O178" s="432" t="str">
        <f t="shared" si="8"/>
        <v/>
      </c>
    </row>
    <row r="179" spans="2:15" x14ac:dyDescent="0.4">
      <c r="B179" s="74"/>
      <c r="C179" s="60"/>
      <c r="D179" s="426" t="str">
        <f>IF(C179="","",VLOOKUP(C179,団体基本情報!$B$13:$D$22,3,FALSE))</f>
        <v/>
      </c>
      <c r="E179" s="427" t="str">
        <f t="shared" si="6"/>
        <v/>
      </c>
      <c r="F179" s="428" t="str">
        <f t="shared" si="7"/>
        <v/>
      </c>
      <c r="G179" s="129" t="str">
        <f>IF(H179="","",VLOOKUP(H179,プルダウン用リスト!$K$1:$M$15,2,FALSE))</f>
        <v/>
      </c>
      <c r="H179" s="76"/>
      <c r="I179" s="61"/>
      <c r="J179" s="76"/>
      <c r="K179" s="146"/>
      <c r="L179" s="77"/>
      <c r="M179" s="78"/>
      <c r="N179" s="71"/>
      <c r="O179" s="432" t="str">
        <f t="shared" si="8"/>
        <v/>
      </c>
    </row>
    <row r="180" spans="2:15" x14ac:dyDescent="0.4">
      <c r="B180" s="74"/>
      <c r="C180" s="60"/>
      <c r="D180" s="426" t="str">
        <f>IF(C180="","",VLOOKUP(C180,団体基本情報!$B$13:$D$22,3,FALSE))</f>
        <v/>
      </c>
      <c r="E180" s="427" t="str">
        <f t="shared" si="6"/>
        <v/>
      </c>
      <c r="F180" s="428" t="str">
        <f t="shared" si="7"/>
        <v/>
      </c>
      <c r="G180" s="129" t="str">
        <f>IF(H180="","",VLOOKUP(H180,プルダウン用リスト!$K$1:$M$15,2,FALSE))</f>
        <v/>
      </c>
      <c r="H180" s="76"/>
      <c r="I180" s="76"/>
      <c r="J180" s="76"/>
      <c r="K180" s="146"/>
      <c r="L180" s="77"/>
      <c r="M180" s="78"/>
      <c r="N180" s="71"/>
      <c r="O180" s="432" t="str">
        <f t="shared" si="8"/>
        <v/>
      </c>
    </row>
    <row r="181" spans="2:15" x14ac:dyDescent="0.4">
      <c r="B181" s="74"/>
      <c r="C181" s="60"/>
      <c r="D181" s="426" t="str">
        <f>IF(C181="","",VLOOKUP(C181,団体基本情報!$B$13:$D$22,3,FALSE))</f>
        <v/>
      </c>
      <c r="E181" s="427" t="str">
        <f t="shared" si="6"/>
        <v/>
      </c>
      <c r="F181" s="428" t="str">
        <f t="shared" si="7"/>
        <v/>
      </c>
      <c r="G181" s="129" t="str">
        <f>IF(H181="","",VLOOKUP(H181,プルダウン用リスト!$K$1:$M$15,2,FALSE))</f>
        <v/>
      </c>
      <c r="H181" s="76"/>
      <c r="I181" s="61"/>
      <c r="J181" s="76"/>
      <c r="K181" s="146"/>
      <c r="L181" s="77"/>
      <c r="M181" s="78"/>
      <c r="N181" s="71"/>
      <c r="O181" s="432" t="str">
        <f t="shared" si="8"/>
        <v/>
      </c>
    </row>
    <row r="182" spans="2:15" x14ac:dyDescent="0.4">
      <c r="B182" s="74"/>
      <c r="C182" s="60"/>
      <c r="D182" s="426" t="str">
        <f>IF(C182="","",VLOOKUP(C182,団体基本情報!$B$13:$D$22,3,FALSE))</f>
        <v/>
      </c>
      <c r="E182" s="427" t="str">
        <f t="shared" si="6"/>
        <v/>
      </c>
      <c r="F182" s="428" t="str">
        <f t="shared" si="7"/>
        <v/>
      </c>
      <c r="G182" s="129" t="str">
        <f>IF(H182="","",VLOOKUP(H182,プルダウン用リスト!$K$1:$M$15,2,FALSE))</f>
        <v/>
      </c>
      <c r="H182" s="76"/>
      <c r="I182" s="61"/>
      <c r="J182" s="76"/>
      <c r="K182" s="146"/>
      <c r="L182" s="77"/>
      <c r="M182" s="78"/>
      <c r="N182" s="71"/>
      <c r="O182" s="432" t="str">
        <f t="shared" si="8"/>
        <v/>
      </c>
    </row>
    <row r="183" spans="2:15" x14ac:dyDescent="0.4">
      <c r="B183" s="74"/>
      <c r="C183" s="60"/>
      <c r="D183" s="426" t="str">
        <f>IF(C183="","",VLOOKUP(C183,団体基本情報!$B$13:$D$22,3,FALSE))</f>
        <v/>
      </c>
      <c r="E183" s="427" t="str">
        <f t="shared" si="6"/>
        <v/>
      </c>
      <c r="F183" s="428" t="str">
        <f t="shared" si="7"/>
        <v/>
      </c>
      <c r="G183" s="129" t="str">
        <f>IF(H183="","",VLOOKUP(H183,プルダウン用リスト!$K$1:$M$15,2,FALSE))</f>
        <v/>
      </c>
      <c r="H183" s="76"/>
      <c r="I183" s="76"/>
      <c r="J183" s="76"/>
      <c r="K183" s="146"/>
      <c r="L183" s="77"/>
      <c r="M183" s="78"/>
      <c r="N183" s="71"/>
      <c r="O183" s="432" t="str">
        <f t="shared" si="8"/>
        <v/>
      </c>
    </row>
    <row r="184" spans="2:15" x14ac:dyDescent="0.4">
      <c r="B184" s="74"/>
      <c r="C184" s="60"/>
      <c r="D184" s="426" t="str">
        <f>IF(C184="","",VLOOKUP(C184,団体基本情報!$B$13:$D$22,3,FALSE))</f>
        <v/>
      </c>
      <c r="E184" s="427" t="str">
        <f t="shared" si="6"/>
        <v/>
      </c>
      <c r="F184" s="428" t="str">
        <f t="shared" si="7"/>
        <v/>
      </c>
      <c r="G184" s="129" t="str">
        <f>IF(H184="","",VLOOKUP(H184,プルダウン用リスト!$K$1:$M$15,2,FALSE))</f>
        <v/>
      </c>
      <c r="H184" s="76"/>
      <c r="I184" s="61"/>
      <c r="J184" s="76"/>
      <c r="K184" s="146"/>
      <c r="L184" s="77"/>
      <c r="M184" s="78"/>
      <c r="N184" s="71"/>
      <c r="O184" s="432" t="str">
        <f t="shared" si="8"/>
        <v/>
      </c>
    </row>
    <row r="185" spans="2:15" x14ac:dyDescent="0.4">
      <c r="B185" s="74"/>
      <c r="C185" s="60"/>
      <c r="D185" s="426" t="str">
        <f>IF(C185="","",VLOOKUP(C185,団体基本情報!$B$13:$D$22,3,FALSE))</f>
        <v/>
      </c>
      <c r="E185" s="427" t="str">
        <f t="shared" si="6"/>
        <v/>
      </c>
      <c r="F185" s="428" t="str">
        <f t="shared" si="7"/>
        <v/>
      </c>
      <c r="G185" s="129" t="str">
        <f>IF(H185="","",VLOOKUP(H185,プルダウン用リスト!$K$1:$M$15,2,FALSE))</f>
        <v/>
      </c>
      <c r="H185" s="76"/>
      <c r="I185" s="61"/>
      <c r="J185" s="76"/>
      <c r="K185" s="146"/>
      <c r="L185" s="77"/>
      <c r="M185" s="78"/>
      <c r="N185" s="71"/>
      <c r="O185" s="432" t="str">
        <f t="shared" si="8"/>
        <v/>
      </c>
    </row>
    <row r="186" spans="2:15" x14ac:dyDescent="0.4">
      <c r="B186" s="74"/>
      <c r="C186" s="75"/>
      <c r="D186" s="426" t="str">
        <f>IF(C186="","",VLOOKUP(C186,団体基本情報!$B$13:$D$22,3,FALSE))</f>
        <v/>
      </c>
      <c r="E186" s="427" t="str">
        <f t="shared" si="6"/>
        <v/>
      </c>
      <c r="F186" s="428" t="str">
        <f t="shared" si="7"/>
        <v/>
      </c>
      <c r="G186" s="129" t="str">
        <f>IF(H186="","",VLOOKUP(H186,プルダウン用リスト!$K$1:$M$15,2,FALSE))</f>
        <v/>
      </c>
      <c r="H186" s="76"/>
      <c r="I186" s="76"/>
      <c r="J186" s="76"/>
      <c r="K186" s="146"/>
      <c r="L186" s="77"/>
      <c r="M186" s="78"/>
      <c r="N186" s="71"/>
      <c r="O186" s="432" t="str">
        <f t="shared" si="8"/>
        <v/>
      </c>
    </row>
    <row r="187" spans="2:15" x14ac:dyDescent="0.4">
      <c r="B187" s="74"/>
      <c r="C187" s="60"/>
      <c r="D187" s="426" t="str">
        <f>IF(C187="","",VLOOKUP(C187,団体基本情報!$B$13:$D$22,3,FALSE))</f>
        <v/>
      </c>
      <c r="E187" s="427" t="str">
        <f t="shared" si="6"/>
        <v/>
      </c>
      <c r="F187" s="428" t="str">
        <f t="shared" si="7"/>
        <v/>
      </c>
      <c r="G187" s="129" t="str">
        <f>IF(H187="","",VLOOKUP(H187,プルダウン用リスト!$K$1:$M$15,2,FALSE))</f>
        <v/>
      </c>
      <c r="H187" s="76"/>
      <c r="I187" s="61"/>
      <c r="J187" s="76"/>
      <c r="K187" s="146"/>
      <c r="L187" s="77"/>
      <c r="M187" s="78"/>
      <c r="N187" s="71"/>
      <c r="O187" s="432" t="str">
        <f t="shared" si="8"/>
        <v/>
      </c>
    </row>
    <row r="188" spans="2:15" x14ac:dyDescent="0.4">
      <c r="B188" s="74"/>
      <c r="C188" s="60"/>
      <c r="D188" s="426" t="str">
        <f>IF(C188="","",VLOOKUP(C188,団体基本情報!$B$13:$D$22,3,FALSE))</f>
        <v/>
      </c>
      <c r="E188" s="427" t="str">
        <f t="shared" si="6"/>
        <v/>
      </c>
      <c r="F188" s="428" t="str">
        <f t="shared" si="7"/>
        <v/>
      </c>
      <c r="G188" s="129" t="str">
        <f>IF(H188="","",VLOOKUP(H188,プルダウン用リスト!$K$1:$M$15,2,FALSE))</f>
        <v/>
      </c>
      <c r="H188" s="76"/>
      <c r="I188" s="61"/>
      <c r="J188" s="76"/>
      <c r="K188" s="146"/>
      <c r="L188" s="77"/>
      <c r="M188" s="78"/>
      <c r="N188" s="71"/>
      <c r="O188" s="432" t="str">
        <f t="shared" si="8"/>
        <v/>
      </c>
    </row>
    <row r="189" spans="2:15" x14ac:dyDescent="0.4">
      <c r="B189" s="74"/>
      <c r="C189" s="60"/>
      <c r="D189" s="426" t="str">
        <f>IF(C189="","",VLOOKUP(C189,団体基本情報!$B$13:$D$22,3,FALSE))</f>
        <v/>
      </c>
      <c r="E189" s="427" t="str">
        <f t="shared" si="6"/>
        <v/>
      </c>
      <c r="F189" s="428" t="str">
        <f t="shared" si="7"/>
        <v/>
      </c>
      <c r="G189" s="129" t="str">
        <f>IF(H189="","",VLOOKUP(H189,プルダウン用リスト!$K$1:$M$15,2,FALSE))</f>
        <v/>
      </c>
      <c r="H189" s="76"/>
      <c r="I189" s="76"/>
      <c r="J189" s="76"/>
      <c r="K189" s="146"/>
      <c r="L189" s="77"/>
      <c r="M189" s="78"/>
      <c r="N189" s="71"/>
      <c r="O189" s="432" t="str">
        <f t="shared" si="8"/>
        <v/>
      </c>
    </row>
    <row r="190" spans="2:15" x14ac:dyDescent="0.4">
      <c r="B190" s="74"/>
      <c r="C190" s="60"/>
      <c r="D190" s="426" t="str">
        <f>IF(C190="","",VLOOKUP(C190,団体基本情報!$B$13:$D$22,3,FALSE))</f>
        <v/>
      </c>
      <c r="E190" s="427" t="str">
        <f t="shared" si="6"/>
        <v/>
      </c>
      <c r="F190" s="428" t="str">
        <f t="shared" si="7"/>
        <v/>
      </c>
      <c r="G190" s="129" t="str">
        <f>IF(H190="","",VLOOKUP(H190,プルダウン用リスト!$K$1:$M$15,2,FALSE))</f>
        <v/>
      </c>
      <c r="H190" s="76"/>
      <c r="I190" s="61"/>
      <c r="J190" s="76"/>
      <c r="K190" s="146"/>
      <c r="L190" s="77"/>
      <c r="M190" s="78"/>
      <c r="N190" s="71"/>
      <c r="O190" s="432" t="str">
        <f t="shared" si="8"/>
        <v/>
      </c>
    </row>
    <row r="191" spans="2:15" x14ac:dyDescent="0.4">
      <c r="B191" s="74"/>
      <c r="C191" s="60"/>
      <c r="D191" s="426" t="str">
        <f>IF(C191="","",VLOOKUP(C191,団体基本情報!$B$13:$D$22,3,FALSE))</f>
        <v/>
      </c>
      <c r="E191" s="427" t="str">
        <f t="shared" si="6"/>
        <v/>
      </c>
      <c r="F191" s="428" t="str">
        <f t="shared" si="7"/>
        <v/>
      </c>
      <c r="G191" s="129" t="str">
        <f>IF(H191="","",VLOOKUP(H191,プルダウン用リスト!$K$1:$M$15,2,FALSE))</f>
        <v/>
      </c>
      <c r="H191" s="76"/>
      <c r="I191" s="61"/>
      <c r="J191" s="76"/>
      <c r="K191" s="146"/>
      <c r="L191" s="77"/>
      <c r="M191" s="78"/>
      <c r="N191" s="71"/>
      <c r="O191" s="432" t="str">
        <f t="shared" si="8"/>
        <v/>
      </c>
    </row>
    <row r="192" spans="2:15" x14ac:dyDescent="0.4">
      <c r="B192" s="74"/>
      <c r="C192" s="60"/>
      <c r="D192" s="426" t="str">
        <f>IF(C192="","",VLOOKUP(C192,団体基本情報!$B$13:$D$22,3,FALSE))</f>
        <v/>
      </c>
      <c r="E192" s="427" t="str">
        <f t="shared" si="6"/>
        <v/>
      </c>
      <c r="F192" s="428" t="str">
        <f t="shared" si="7"/>
        <v/>
      </c>
      <c r="G192" s="129" t="str">
        <f>IF(H192="","",VLOOKUP(H192,プルダウン用リスト!$K$1:$M$15,2,FALSE))</f>
        <v/>
      </c>
      <c r="H192" s="76"/>
      <c r="I192" s="76"/>
      <c r="J192" s="76"/>
      <c r="K192" s="146"/>
      <c r="L192" s="77"/>
      <c r="M192" s="78"/>
      <c r="N192" s="71"/>
      <c r="O192" s="432" t="str">
        <f t="shared" si="8"/>
        <v/>
      </c>
    </row>
    <row r="193" spans="2:15" x14ac:dyDescent="0.4">
      <c r="B193" s="74"/>
      <c r="C193" s="60"/>
      <c r="D193" s="426" t="str">
        <f>IF(C193="","",VLOOKUP(C193,団体基本情報!$B$13:$D$22,3,FALSE))</f>
        <v/>
      </c>
      <c r="E193" s="427" t="str">
        <f t="shared" si="6"/>
        <v/>
      </c>
      <c r="F193" s="428" t="str">
        <f t="shared" si="7"/>
        <v/>
      </c>
      <c r="G193" s="129" t="str">
        <f>IF(H193="","",VLOOKUP(H193,プルダウン用リスト!$K$1:$M$15,2,FALSE))</f>
        <v/>
      </c>
      <c r="H193" s="76"/>
      <c r="I193" s="61"/>
      <c r="J193" s="76"/>
      <c r="K193" s="146"/>
      <c r="L193" s="77"/>
      <c r="M193" s="78"/>
      <c r="N193" s="71"/>
      <c r="O193" s="432" t="str">
        <f t="shared" si="8"/>
        <v/>
      </c>
    </row>
    <row r="194" spans="2:15" x14ac:dyDescent="0.4">
      <c r="B194" s="74"/>
      <c r="C194" s="60"/>
      <c r="D194" s="426" t="str">
        <f>IF(C194="","",VLOOKUP(C194,団体基本情報!$B$13:$D$22,3,FALSE))</f>
        <v/>
      </c>
      <c r="E194" s="427" t="str">
        <f t="shared" si="6"/>
        <v/>
      </c>
      <c r="F194" s="428" t="str">
        <f t="shared" si="7"/>
        <v/>
      </c>
      <c r="G194" s="129" t="str">
        <f>IF(H194="","",VLOOKUP(H194,プルダウン用リスト!$K$1:$M$15,2,FALSE))</f>
        <v/>
      </c>
      <c r="H194" s="76"/>
      <c r="I194" s="61"/>
      <c r="J194" s="76"/>
      <c r="K194" s="146"/>
      <c r="L194" s="77"/>
      <c r="M194" s="78"/>
      <c r="N194" s="71"/>
      <c r="O194" s="432" t="str">
        <f t="shared" si="8"/>
        <v/>
      </c>
    </row>
    <row r="195" spans="2:15" x14ac:dyDescent="0.4">
      <c r="B195" s="74"/>
      <c r="C195" s="60"/>
      <c r="D195" s="426" t="str">
        <f>IF(C195="","",VLOOKUP(C195,団体基本情報!$B$13:$D$22,3,FALSE))</f>
        <v/>
      </c>
      <c r="E195" s="427" t="str">
        <f t="shared" si="6"/>
        <v/>
      </c>
      <c r="F195" s="428" t="str">
        <f t="shared" si="7"/>
        <v/>
      </c>
      <c r="G195" s="129" t="str">
        <f>IF(H195="","",VLOOKUP(H195,プルダウン用リスト!$K$1:$M$15,2,FALSE))</f>
        <v/>
      </c>
      <c r="H195" s="76"/>
      <c r="I195" s="76"/>
      <c r="J195" s="76"/>
      <c r="K195" s="146"/>
      <c r="L195" s="77"/>
      <c r="M195" s="78"/>
      <c r="N195" s="71"/>
      <c r="O195" s="432" t="str">
        <f t="shared" si="8"/>
        <v/>
      </c>
    </row>
    <row r="196" spans="2:15" x14ac:dyDescent="0.4">
      <c r="B196" s="74"/>
      <c r="C196" s="60"/>
      <c r="D196" s="426" t="str">
        <f>IF(C196="","",VLOOKUP(C196,団体基本情報!$B$13:$D$22,3,FALSE))</f>
        <v/>
      </c>
      <c r="E196" s="427" t="str">
        <f t="shared" si="6"/>
        <v/>
      </c>
      <c r="F196" s="428" t="str">
        <f t="shared" si="7"/>
        <v/>
      </c>
      <c r="G196" s="129" t="str">
        <f>IF(H196="","",VLOOKUP(H196,プルダウン用リスト!$K$1:$M$15,2,FALSE))</f>
        <v/>
      </c>
      <c r="H196" s="76"/>
      <c r="I196" s="61"/>
      <c r="J196" s="76"/>
      <c r="K196" s="146"/>
      <c r="L196" s="77"/>
      <c r="M196" s="78"/>
      <c r="N196" s="71"/>
      <c r="O196" s="432" t="str">
        <f t="shared" si="8"/>
        <v/>
      </c>
    </row>
    <row r="197" spans="2:15" x14ac:dyDescent="0.4">
      <c r="B197" s="74"/>
      <c r="C197" s="60"/>
      <c r="D197" s="426" t="str">
        <f>IF(C197="","",VLOOKUP(C197,団体基本情報!$B$13:$D$22,3,FALSE))</f>
        <v/>
      </c>
      <c r="E197" s="427" t="str">
        <f t="shared" si="6"/>
        <v/>
      </c>
      <c r="F197" s="428" t="str">
        <f t="shared" si="7"/>
        <v/>
      </c>
      <c r="G197" s="129" t="str">
        <f>IF(H197="","",VLOOKUP(H197,プルダウン用リスト!$K$1:$M$15,2,FALSE))</f>
        <v/>
      </c>
      <c r="H197" s="76"/>
      <c r="I197" s="61"/>
      <c r="J197" s="76"/>
      <c r="K197" s="146"/>
      <c r="L197" s="77"/>
      <c r="M197" s="78"/>
      <c r="N197" s="71"/>
      <c r="O197" s="432" t="str">
        <f t="shared" si="8"/>
        <v/>
      </c>
    </row>
    <row r="198" spans="2:15" x14ac:dyDescent="0.4">
      <c r="B198" s="74"/>
      <c r="C198" s="75"/>
      <c r="D198" s="426" t="str">
        <f>IF(C198="","",VLOOKUP(C198,団体基本情報!$B$13:$D$22,3,FALSE))</f>
        <v/>
      </c>
      <c r="E198" s="427" t="str">
        <f t="shared" si="6"/>
        <v/>
      </c>
      <c r="F198" s="428" t="str">
        <f t="shared" si="7"/>
        <v/>
      </c>
      <c r="G198" s="129" t="str">
        <f>IF(H198="","",VLOOKUP(H198,プルダウン用リスト!$K$1:$M$15,2,FALSE))</f>
        <v/>
      </c>
      <c r="H198" s="76"/>
      <c r="I198" s="76"/>
      <c r="J198" s="76"/>
      <c r="K198" s="146"/>
      <c r="L198" s="77"/>
      <c r="M198" s="78"/>
      <c r="N198" s="71"/>
      <c r="O198" s="432" t="str">
        <f t="shared" si="8"/>
        <v/>
      </c>
    </row>
    <row r="199" spans="2:15" x14ac:dyDescent="0.4">
      <c r="B199" s="74"/>
      <c r="C199" s="60"/>
      <c r="D199" s="426" t="str">
        <f>IF(C199="","",VLOOKUP(C199,団体基本情報!$B$13:$D$22,3,FALSE))</f>
        <v/>
      </c>
      <c r="E199" s="427" t="str">
        <f t="shared" ref="E199:E262" si="9">IF(F199="","",IF(F199="謝金","01.",IF(F199="旅費","02.",IF(F199="その他","04.","03."))))</f>
        <v/>
      </c>
      <c r="F199" s="428" t="str">
        <f t="shared" ref="F199:F262" si="10">IF(H199="","",IF(H199="謝金","謝金",IF(H199="旅費","旅費",IF(H199="対象外経費","その他","所費"))))</f>
        <v/>
      </c>
      <c r="G199" s="129" t="str">
        <f>IF(H199="","",VLOOKUP(H199,プルダウン用リスト!$K$1:$M$15,2,FALSE))</f>
        <v/>
      </c>
      <c r="H199" s="76"/>
      <c r="I199" s="61"/>
      <c r="J199" s="76"/>
      <c r="K199" s="146"/>
      <c r="L199" s="77"/>
      <c r="M199" s="78"/>
      <c r="N199" s="71"/>
      <c r="O199" s="432" t="str">
        <f t="shared" ref="O199:O262" si="11">IF(H199="対象外経費",M199,IF(N199="","",M199-N199))</f>
        <v/>
      </c>
    </row>
    <row r="200" spans="2:15" x14ac:dyDescent="0.4">
      <c r="B200" s="74"/>
      <c r="C200" s="60"/>
      <c r="D200" s="426" t="str">
        <f>IF(C200="","",VLOOKUP(C200,団体基本情報!$B$13:$D$22,3,FALSE))</f>
        <v/>
      </c>
      <c r="E200" s="427" t="str">
        <f t="shared" si="9"/>
        <v/>
      </c>
      <c r="F200" s="428" t="str">
        <f t="shared" si="10"/>
        <v/>
      </c>
      <c r="G200" s="129" t="str">
        <f>IF(H200="","",VLOOKUP(H200,プルダウン用リスト!$K$1:$M$15,2,FALSE))</f>
        <v/>
      </c>
      <c r="H200" s="76"/>
      <c r="I200" s="61"/>
      <c r="J200" s="76"/>
      <c r="K200" s="146"/>
      <c r="L200" s="77"/>
      <c r="M200" s="78"/>
      <c r="N200" s="71"/>
      <c r="O200" s="432" t="str">
        <f t="shared" si="11"/>
        <v/>
      </c>
    </row>
    <row r="201" spans="2:15" x14ac:dyDescent="0.4">
      <c r="B201" s="74"/>
      <c r="C201" s="60"/>
      <c r="D201" s="426" t="str">
        <f>IF(C201="","",VLOOKUP(C201,団体基本情報!$B$13:$D$22,3,FALSE))</f>
        <v/>
      </c>
      <c r="E201" s="427" t="str">
        <f t="shared" si="9"/>
        <v/>
      </c>
      <c r="F201" s="428" t="str">
        <f t="shared" si="10"/>
        <v/>
      </c>
      <c r="G201" s="129" t="str">
        <f>IF(H201="","",VLOOKUP(H201,プルダウン用リスト!$K$1:$M$15,2,FALSE))</f>
        <v/>
      </c>
      <c r="H201" s="76"/>
      <c r="I201" s="76"/>
      <c r="J201" s="76"/>
      <c r="K201" s="146"/>
      <c r="L201" s="77"/>
      <c r="M201" s="78"/>
      <c r="N201" s="71"/>
      <c r="O201" s="432" t="str">
        <f t="shared" si="11"/>
        <v/>
      </c>
    </row>
    <row r="202" spans="2:15" x14ac:dyDescent="0.4">
      <c r="B202" s="74"/>
      <c r="C202" s="60"/>
      <c r="D202" s="426" t="str">
        <f>IF(C202="","",VLOOKUP(C202,団体基本情報!$B$13:$D$22,3,FALSE))</f>
        <v/>
      </c>
      <c r="E202" s="427" t="str">
        <f t="shared" si="9"/>
        <v/>
      </c>
      <c r="F202" s="428" t="str">
        <f t="shared" si="10"/>
        <v/>
      </c>
      <c r="G202" s="129" t="str">
        <f>IF(H202="","",VLOOKUP(H202,プルダウン用リスト!$K$1:$M$15,2,FALSE))</f>
        <v/>
      </c>
      <c r="H202" s="76"/>
      <c r="I202" s="61"/>
      <c r="J202" s="76"/>
      <c r="K202" s="146"/>
      <c r="L202" s="77"/>
      <c r="M202" s="78"/>
      <c r="N202" s="71"/>
      <c r="O202" s="432" t="str">
        <f t="shared" si="11"/>
        <v/>
      </c>
    </row>
    <row r="203" spans="2:15" x14ac:dyDescent="0.4">
      <c r="B203" s="74"/>
      <c r="C203" s="60"/>
      <c r="D203" s="426" t="str">
        <f>IF(C203="","",VLOOKUP(C203,団体基本情報!$B$13:$D$22,3,FALSE))</f>
        <v/>
      </c>
      <c r="E203" s="427" t="str">
        <f t="shared" si="9"/>
        <v/>
      </c>
      <c r="F203" s="428" t="str">
        <f t="shared" si="10"/>
        <v/>
      </c>
      <c r="G203" s="129" t="str">
        <f>IF(H203="","",VLOOKUP(H203,プルダウン用リスト!$K$1:$M$15,2,FALSE))</f>
        <v/>
      </c>
      <c r="H203" s="76"/>
      <c r="I203" s="61"/>
      <c r="J203" s="76"/>
      <c r="K203" s="146"/>
      <c r="L203" s="77"/>
      <c r="M203" s="78"/>
      <c r="N203" s="71"/>
      <c r="O203" s="432" t="str">
        <f t="shared" si="11"/>
        <v/>
      </c>
    </row>
    <row r="204" spans="2:15" x14ac:dyDescent="0.4">
      <c r="B204" s="74"/>
      <c r="C204" s="60"/>
      <c r="D204" s="426" t="str">
        <f>IF(C204="","",VLOOKUP(C204,団体基本情報!$B$13:$D$22,3,FALSE))</f>
        <v/>
      </c>
      <c r="E204" s="427" t="str">
        <f t="shared" si="9"/>
        <v/>
      </c>
      <c r="F204" s="428" t="str">
        <f t="shared" si="10"/>
        <v/>
      </c>
      <c r="G204" s="129" t="str">
        <f>IF(H204="","",VLOOKUP(H204,プルダウン用リスト!$K$1:$M$15,2,FALSE))</f>
        <v/>
      </c>
      <c r="H204" s="76"/>
      <c r="I204" s="76"/>
      <c r="J204" s="76"/>
      <c r="K204" s="146"/>
      <c r="L204" s="77"/>
      <c r="M204" s="78"/>
      <c r="N204" s="71"/>
      <c r="O204" s="432" t="str">
        <f t="shared" si="11"/>
        <v/>
      </c>
    </row>
    <row r="205" spans="2:15" x14ac:dyDescent="0.4">
      <c r="B205" s="74"/>
      <c r="C205" s="60"/>
      <c r="D205" s="426" t="str">
        <f>IF(C205="","",VLOOKUP(C205,団体基本情報!$B$13:$D$22,3,FALSE))</f>
        <v/>
      </c>
      <c r="E205" s="427" t="str">
        <f t="shared" si="9"/>
        <v/>
      </c>
      <c r="F205" s="428" t="str">
        <f t="shared" si="10"/>
        <v/>
      </c>
      <c r="G205" s="129" t="str">
        <f>IF(H205="","",VLOOKUP(H205,プルダウン用リスト!$K$1:$M$15,2,FALSE))</f>
        <v/>
      </c>
      <c r="H205" s="76"/>
      <c r="I205" s="61"/>
      <c r="J205" s="76"/>
      <c r="K205" s="146"/>
      <c r="L205" s="77"/>
      <c r="M205" s="78"/>
      <c r="N205" s="71"/>
      <c r="O205" s="432" t="str">
        <f t="shared" si="11"/>
        <v/>
      </c>
    </row>
    <row r="206" spans="2:15" x14ac:dyDescent="0.4">
      <c r="B206" s="74"/>
      <c r="C206" s="60"/>
      <c r="D206" s="426" t="str">
        <f>IF(C206="","",VLOOKUP(C206,団体基本情報!$B$13:$D$22,3,FALSE))</f>
        <v/>
      </c>
      <c r="E206" s="427" t="str">
        <f t="shared" si="9"/>
        <v/>
      </c>
      <c r="F206" s="428" t="str">
        <f t="shared" si="10"/>
        <v/>
      </c>
      <c r="G206" s="129" t="str">
        <f>IF(H206="","",VLOOKUP(H206,プルダウン用リスト!$K$1:$M$15,2,FALSE))</f>
        <v/>
      </c>
      <c r="H206" s="76"/>
      <c r="I206" s="61"/>
      <c r="J206" s="76"/>
      <c r="K206" s="146"/>
      <c r="L206" s="77"/>
      <c r="M206" s="78"/>
      <c r="N206" s="71"/>
      <c r="O206" s="432" t="str">
        <f t="shared" si="11"/>
        <v/>
      </c>
    </row>
    <row r="207" spans="2:15" x14ac:dyDescent="0.4">
      <c r="B207" s="74"/>
      <c r="C207" s="60"/>
      <c r="D207" s="426" t="str">
        <f>IF(C207="","",VLOOKUP(C207,団体基本情報!$B$13:$D$22,3,FALSE))</f>
        <v/>
      </c>
      <c r="E207" s="427" t="str">
        <f t="shared" si="9"/>
        <v/>
      </c>
      <c r="F207" s="428" t="str">
        <f t="shared" si="10"/>
        <v/>
      </c>
      <c r="G207" s="129" t="str">
        <f>IF(H207="","",VLOOKUP(H207,プルダウン用リスト!$K$1:$M$15,2,FALSE))</f>
        <v/>
      </c>
      <c r="H207" s="76"/>
      <c r="I207" s="76"/>
      <c r="J207" s="76"/>
      <c r="K207" s="146"/>
      <c r="L207" s="77"/>
      <c r="M207" s="78"/>
      <c r="N207" s="71"/>
      <c r="O207" s="432" t="str">
        <f t="shared" si="11"/>
        <v/>
      </c>
    </row>
    <row r="208" spans="2:15" x14ac:dyDescent="0.4">
      <c r="B208" s="74"/>
      <c r="C208" s="60"/>
      <c r="D208" s="426" t="str">
        <f>IF(C208="","",VLOOKUP(C208,団体基本情報!$B$13:$D$22,3,FALSE))</f>
        <v/>
      </c>
      <c r="E208" s="427" t="str">
        <f t="shared" si="9"/>
        <v/>
      </c>
      <c r="F208" s="428" t="str">
        <f t="shared" si="10"/>
        <v/>
      </c>
      <c r="G208" s="129" t="str">
        <f>IF(H208="","",VLOOKUP(H208,プルダウン用リスト!$K$1:$M$15,2,FALSE))</f>
        <v/>
      </c>
      <c r="H208" s="76"/>
      <c r="I208" s="61"/>
      <c r="J208" s="76"/>
      <c r="K208" s="146"/>
      <c r="L208" s="77"/>
      <c r="M208" s="78"/>
      <c r="N208" s="71"/>
      <c r="O208" s="432" t="str">
        <f t="shared" si="11"/>
        <v/>
      </c>
    </row>
    <row r="209" spans="2:15" x14ac:dyDescent="0.4">
      <c r="B209" s="74"/>
      <c r="C209" s="60"/>
      <c r="D209" s="426" t="str">
        <f>IF(C209="","",VLOOKUP(C209,団体基本情報!$B$13:$D$22,3,FALSE))</f>
        <v/>
      </c>
      <c r="E209" s="427" t="str">
        <f t="shared" si="9"/>
        <v/>
      </c>
      <c r="F209" s="428" t="str">
        <f t="shared" si="10"/>
        <v/>
      </c>
      <c r="G209" s="129" t="str">
        <f>IF(H209="","",VLOOKUP(H209,プルダウン用リスト!$K$1:$M$15,2,FALSE))</f>
        <v/>
      </c>
      <c r="H209" s="76"/>
      <c r="I209" s="61"/>
      <c r="J209" s="76"/>
      <c r="K209" s="146"/>
      <c r="L209" s="77"/>
      <c r="M209" s="78"/>
      <c r="N209" s="71"/>
      <c r="O209" s="432" t="str">
        <f t="shared" si="11"/>
        <v/>
      </c>
    </row>
    <row r="210" spans="2:15" x14ac:dyDescent="0.4">
      <c r="B210" s="74"/>
      <c r="C210" s="75"/>
      <c r="D210" s="426" t="str">
        <f>IF(C210="","",VLOOKUP(C210,団体基本情報!$B$13:$D$22,3,FALSE))</f>
        <v/>
      </c>
      <c r="E210" s="427" t="str">
        <f t="shared" si="9"/>
        <v/>
      </c>
      <c r="F210" s="428" t="str">
        <f t="shared" si="10"/>
        <v/>
      </c>
      <c r="G210" s="129" t="str">
        <f>IF(H210="","",VLOOKUP(H210,プルダウン用リスト!$K$1:$M$15,2,FALSE))</f>
        <v/>
      </c>
      <c r="H210" s="76"/>
      <c r="I210" s="76"/>
      <c r="J210" s="76"/>
      <c r="K210" s="146"/>
      <c r="L210" s="77"/>
      <c r="M210" s="78"/>
      <c r="N210" s="71"/>
      <c r="O210" s="432" t="str">
        <f t="shared" si="11"/>
        <v/>
      </c>
    </row>
    <row r="211" spans="2:15" x14ac:dyDescent="0.4">
      <c r="B211" s="74"/>
      <c r="C211" s="60"/>
      <c r="D211" s="426" t="str">
        <f>IF(C211="","",VLOOKUP(C211,団体基本情報!$B$13:$D$22,3,FALSE))</f>
        <v/>
      </c>
      <c r="E211" s="427" t="str">
        <f t="shared" si="9"/>
        <v/>
      </c>
      <c r="F211" s="428" t="str">
        <f t="shared" si="10"/>
        <v/>
      </c>
      <c r="G211" s="129" t="str">
        <f>IF(H211="","",VLOOKUP(H211,プルダウン用リスト!$K$1:$M$15,2,FALSE))</f>
        <v/>
      </c>
      <c r="H211" s="76"/>
      <c r="I211" s="61"/>
      <c r="J211" s="76"/>
      <c r="K211" s="146"/>
      <c r="L211" s="77"/>
      <c r="M211" s="78"/>
      <c r="N211" s="71"/>
      <c r="O211" s="432" t="str">
        <f t="shared" si="11"/>
        <v/>
      </c>
    </row>
    <row r="212" spans="2:15" x14ac:dyDescent="0.4">
      <c r="B212" s="74"/>
      <c r="C212" s="60"/>
      <c r="D212" s="426" t="str">
        <f>IF(C212="","",VLOOKUP(C212,団体基本情報!$B$13:$D$22,3,FALSE))</f>
        <v/>
      </c>
      <c r="E212" s="427" t="str">
        <f t="shared" si="9"/>
        <v/>
      </c>
      <c r="F212" s="428" t="str">
        <f t="shared" si="10"/>
        <v/>
      </c>
      <c r="G212" s="129" t="str">
        <f>IF(H212="","",VLOOKUP(H212,プルダウン用リスト!$K$1:$M$15,2,FALSE))</f>
        <v/>
      </c>
      <c r="H212" s="76"/>
      <c r="I212" s="61"/>
      <c r="J212" s="76"/>
      <c r="K212" s="146"/>
      <c r="L212" s="77"/>
      <c r="M212" s="78"/>
      <c r="N212" s="71"/>
      <c r="O212" s="432" t="str">
        <f t="shared" si="11"/>
        <v/>
      </c>
    </row>
    <row r="213" spans="2:15" x14ac:dyDescent="0.4">
      <c r="B213" s="74"/>
      <c r="C213" s="60"/>
      <c r="D213" s="426" t="str">
        <f>IF(C213="","",VLOOKUP(C213,団体基本情報!$B$13:$D$22,3,FALSE))</f>
        <v/>
      </c>
      <c r="E213" s="427" t="str">
        <f t="shared" si="9"/>
        <v/>
      </c>
      <c r="F213" s="428" t="str">
        <f t="shared" si="10"/>
        <v/>
      </c>
      <c r="G213" s="129" t="str">
        <f>IF(H213="","",VLOOKUP(H213,プルダウン用リスト!$K$1:$M$15,2,FALSE))</f>
        <v/>
      </c>
      <c r="H213" s="76"/>
      <c r="I213" s="76"/>
      <c r="J213" s="76"/>
      <c r="K213" s="146"/>
      <c r="L213" s="77"/>
      <c r="M213" s="78"/>
      <c r="N213" s="71"/>
      <c r="O213" s="432" t="str">
        <f t="shared" si="11"/>
        <v/>
      </c>
    </row>
    <row r="214" spans="2:15" x14ac:dyDescent="0.4">
      <c r="B214" s="74"/>
      <c r="C214" s="60"/>
      <c r="D214" s="426" t="str">
        <f>IF(C214="","",VLOOKUP(C214,団体基本情報!$B$13:$D$22,3,FALSE))</f>
        <v/>
      </c>
      <c r="E214" s="427" t="str">
        <f t="shared" si="9"/>
        <v/>
      </c>
      <c r="F214" s="428" t="str">
        <f t="shared" si="10"/>
        <v/>
      </c>
      <c r="G214" s="129" t="str">
        <f>IF(H214="","",VLOOKUP(H214,プルダウン用リスト!$K$1:$M$15,2,FALSE))</f>
        <v/>
      </c>
      <c r="H214" s="76"/>
      <c r="I214" s="61"/>
      <c r="J214" s="76"/>
      <c r="K214" s="146"/>
      <c r="L214" s="77"/>
      <c r="M214" s="78"/>
      <c r="N214" s="71"/>
      <c r="O214" s="432" t="str">
        <f t="shared" si="11"/>
        <v/>
      </c>
    </row>
    <row r="215" spans="2:15" x14ac:dyDescent="0.4">
      <c r="B215" s="74"/>
      <c r="C215" s="60"/>
      <c r="D215" s="426" t="str">
        <f>IF(C215="","",VLOOKUP(C215,団体基本情報!$B$13:$D$22,3,FALSE))</f>
        <v/>
      </c>
      <c r="E215" s="427" t="str">
        <f t="shared" si="9"/>
        <v/>
      </c>
      <c r="F215" s="428" t="str">
        <f t="shared" si="10"/>
        <v/>
      </c>
      <c r="G215" s="129" t="str">
        <f>IF(H215="","",VLOOKUP(H215,プルダウン用リスト!$K$1:$M$15,2,FALSE))</f>
        <v/>
      </c>
      <c r="H215" s="76"/>
      <c r="I215" s="61"/>
      <c r="J215" s="76"/>
      <c r="K215" s="146"/>
      <c r="L215" s="77"/>
      <c r="M215" s="78"/>
      <c r="N215" s="71"/>
      <c r="O215" s="432" t="str">
        <f t="shared" si="11"/>
        <v/>
      </c>
    </row>
    <row r="216" spans="2:15" x14ac:dyDescent="0.4">
      <c r="B216" s="74"/>
      <c r="C216" s="60"/>
      <c r="D216" s="426" t="str">
        <f>IF(C216="","",VLOOKUP(C216,団体基本情報!$B$13:$D$22,3,FALSE))</f>
        <v/>
      </c>
      <c r="E216" s="427" t="str">
        <f t="shared" si="9"/>
        <v/>
      </c>
      <c r="F216" s="428" t="str">
        <f t="shared" si="10"/>
        <v/>
      </c>
      <c r="G216" s="129" t="str">
        <f>IF(H216="","",VLOOKUP(H216,プルダウン用リスト!$K$1:$M$15,2,FALSE))</f>
        <v/>
      </c>
      <c r="H216" s="76"/>
      <c r="I216" s="76"/>
      <c r="J216" s="76"/>
      <c r="K216" s="146"/>
      <c r="L216" s="77"/>
      <c r="M216" s="78"/>
      <c r="N216" s="71"/>
      <c r="O216" s="432" t="str">
        <f t="shared" si="11"/>
        <v/>
      </c>
    </row>
    <row r="217" spans="2:15" x14ac:dyDescent="0.4">
      <c r="B217" s="74"/>
      <c r="C217" s="60"/>
      <c r="D217" s="426" t="str">
        <f>IF(C217="","",VLOOKUP(C217,団体基本情報!$B$13:$D$22,3,FALSE))</f>
        <v/>
      </c>
      <c r="E217" s="427" t="str">
        <f t="shared" si="9"/>
        <v/>
      </c>
      <c r="F217" s="428" t="str">
        <f t="shared" si="10"/>
        <v/>
      </c>
      <c r="G217" s="129" t="str">
        <f>IF(H217="","",VLOOKUP(H217,プルダウン用リスト!$K$1:$M$15,2,FALSE))</f>
        <v/>
      </c>
      <c r="H217" s="76"/>
      <c r="I217" s="61"/>
      <c r="J217" s="76"/>
      <c r="K217" s="146"/>
      <c r="L217" s="77"/>
      <c r="M217" s="78"/>
      <c r="N217" s="71"/>
      <c r="O217" s="432" t="str">
        <f t="shared" si="11"/>
        <v/>
      </c>
    </row>
    <row r="218" spans="2:15" x14ac:dyDescent="0.4">
      <c r="B218" s="74"/>
      <c r="C218" s="60"/>
      <c r="D218" s="426" t="str">
        <f>IF(C218="","",VLOOKUP(C218,団体基本情報!$B$13:$D$22,3,FALSE))</f>
        <v/>
      </c>
      <c r="E218" s="427" t="str">
        <f t="shared" si="9"/>
        <v/>
      </c>
      <c r="F218" s="428" t="str">
        <f t="shared" si="10"/>
        <v/>
      </c>
      <c r="G218" s="129" t="str">
        <f>IF(H218="","",VLOOKUP(H218,プルダウン用リスト!$K$1:$M$15,2,FALSE))</f>
        <v/>
      </c>
      <c r="H218" s="76"/>
      <c r="I218" s="61"/>
      <c r="J218" s="76"/>
      <c r="K218" s="146"/>
      <c r="L218" s="77"/>
      <c r="M218" s="78"/>
      <c r="N218" s="71"/>
      <c r="O218" s="432" t="str">
        <f t="shared" si="11"/>
        <v/>
      </c>
    </row>
    <row r="219" spans="2:15" x14ac:dyDescent="0.4">
      <c r="B219" s="74"/>
      <c r="C219" s="60"/>
      <c r="D219" s="426" t="str">
        <f>IF(C219="","",VLOOKUP(C219,団体基本情報!$B$13:$D$22,3,FALSE))</f>
        <v/>
      </c>
      <c r="E219" s="427" t="str">
        <f t="shared" si="9"/>
        <v/>
      </c>
      <c r="F219" s="428" t="str">
        <f t="shared" si="10"/>
        <v/>
      </c>
      <c r="G219" s="129" t="str">
        <f>IF(H219="","",VLOOKUP(H219,プルダウン用リスト!$K$1:$M$15,2,FALSE))</f>
        <v/>
      </c>
      <c r="H219" s="76"/>
      <c r="I219" s="76"/>
      <c r="J219" s="76"/>
      <c r="K219" s="146"/>
      <c r="L219" s="77"/>
      <c r="M219" s="78"/>
      <c r="N219" s="71"/>
      <c r="O219" s="432" t="str">
        <f t="shared" si="11"/>
        <v/>
      </c>
    </row>
    <row r="220" spans="2:15" x14ac:dyDescent="0.4">
      <c r="B220" s="74"/>
      <c r="C220" s="60"/>
      <c r="D220" s="426" t="str">
        <f>IF(C220="","",VLOOKUP(C220,団体基本情報!$B$13:$D$22,3,FALSE))</f>
        <v/>
      </c>
      <c r="E220" s="427" t="str">
        <f t="shared" si="9"/>
        <v/>
      </c>
      <c r="F220" s="428" t="str">
        <f t="shared" si="10"/>
        <v/>
      </c>
      <c r="G220" s="129" t="str">
        <f>IF(H220="","",VLOOKUP(H220,プルダウン用リスト!$K$1:$M$15,2,FALSE))</f>
        <v/>
      </c>
      <c r="H220" s="76"/>
      <c r="I220" s="61"/>
      <c r="J220" s="76"/>
      <c r="K220" s="146"/>
      <c r="L220" s="77"/>
      <c r="M220" s="78"/>
      <c r="N220" s="71"/>
      <c r="O220" s="432" t="str">
        <f t="shared" si="11"/>
        <v/>
      </c>
    </row>
    <row r="221" spans="2:15" x14ac:dyDescent="0.4">
      <c r="B221" s="74"/>
      <c r="C221" s="60"/>
      <c r="D221" s="426" t="str">
        <f>IF(C221="","",VLOOKUP(C221,団体基本情報!$B$13:$D$22,3,FALSE))</f>
        <v/>
      </c>
      <c r="E221" s="427" t="str">
        <f t="shared" si="9"/>
        <v/>
      </c>
      <c r="F221" s="428" t="str">
        <f t="shared" si="10"/>
        <v/>
      </c>
      <c r="G221" s="129" t="str">
        <f>IF(H221="","",VLOOKUP(H221,プルダウン用リスト!$K$1:$M$15,2,FALSE))</f>
        <v/>
      </c>
      <c r="H221" s="76"/>
      <c r="I221" s="61"/>
      <c r="J221" s="76"/>
      <c r="K221" s="146"/>
      <c r="L221" s="77"/>
      <c r="M221" s="78"/>
      <c r="N221" s="71"/>
      <c r="O221" s="432" t="str">
        <f t="shared" si="11"/>
        <v/>
      </c>
    </row>
    <row r="222" spans="2:15" x14ac:dyDescent="0.4">
      <c r="B222" s="74"/>
      <c r="C222" s="75"/>
      <c r="D222" s="426" t="str">
        <f>IF(C222="","",VLOOKUP(C222,団体基本情報!$B$13:$D$22,3,FALSE))</f>
        <v/>
      </c>
      <c r="E222" s="427" t="str">
        <f t="shared" si="9"/>
        <v/>
      </c>
      <c r="F222" s="428" t="str">
        <f t="shared" si="10"/>
        <v/>
      </c>
      <c r="G222" s="129" t="str">
        <f>IF(H222="","",VLOOKUP(H222,プルダウン用リスト!$K$1:$M$15,2,FALSE))</f>
        <v/>
      </c>
      <c r="H222" s="76"/>
      <c r="I222" s="76"/>
      <c r="J222" s="76"/>
      <c r="K222" s="146"/>
      <c r="L222" s="77"/>
      <c r="M222" s="78"/>
      <c r="N222" s="71"/>
      <c r="O222" s="432" t="str">
        <f t="shared" si="11"/>
        <v/>
      </c>
    </row>
    <row r="223" spans="2:15" x14ac:dyDescent="0.4">
      <c r="B223" s="74"/>
      <c r="C223" s="60"/>
      <c r="D223" s="426" t="str">
        <f>IF(C223="","",VLOOKUP(C223,団体基本情報!$B$13:$D$22,3,FALSE))</f>
        <v/>
      </c>
      <c r="E223" s="427" t="str">
        <f t="shared" si="9"/>
        <v/>
      </c>
      <c r="F223" s="428" t="str">
        <f t="shared" si="10"/>
        <v/>
      </c>
      <c r="G223" s="129" t="str">
        <f>IF(H223="","",VLOOKUP(H223,プルダウン用リスト!$K$1:$M$15,2,FALSE))</f>
        <v/>
      </c>
      <c r="H223" s="76"/>
      <c r="I223" s="61"/>
      <c r="J223" s="76"/>
      <c r="K223" s="146"/>
      <c r="L223" s="77"/>
      <c r="M223" s="78"/>
      <c r="N223" s="71"/>
      <c r="O223" s="432" t="str">
        <f t="shared" si="11"/>
        <v/>
      </c>
    </row>
    <row r="224" spans="2:15" x14ac:dyDescent="0.4">
      <c r="B224" s="74"/>
      <c r="C224" s="60"/>
      <c r="D224" s="426" t="str">
        <f>IF(C224="","",VLOOKUP(C224,団体基本情報!$B$13:$D$22,3,FALSE))</f>
        <v/>
      </c>
      <c r="E224" s="427" t="str">
        <f t="shared" si="9"/>
        <v/>
      </c>
      <c r="F224" s="428" t="str">
        <f t="shared" si="10"/>
        <v/>
      </c>
      <c r="G224" s="129" t="str">
        <f>IF(H224="","",VLOOKUP(H224,プルダウン用リスト!$K$1:$M$15,2,FALSE))</f>
        <v/>
      </c>
      <c r="H224" s="76"/>
      <c r="I224" s="61"/>
      <c r="J224" s="76"/>
      <c r="K224" s="146"/>
      <c r="L224" s="77"/>
      <c r="M224" s="78"/>
      <c r="N224" s="71"/>
      <c r="O224" s="432" t="str">
        <f t="shared" si="11"/>
        <v/>
      </c>
    </row>
    <row r="225" spans="2:15" x14ac:dyDescent="0.4">
      <c r="B225" s="74"/>
      <c r="C225" s="60"/>
      <c r="D225" s="426" t="str">
        <f>IF(C225="","",VLOOKUP(C225,団体基本情報!$B$13:$D$22,3,FALSE))</f>
        <v/>
      </c>
      <c r="E225" s="427" t="str">
        <f t="shared" si="9"/>
        <v/>
      </c>
      <c r="F225" s="428" t="str">
        <f t="shared" si="10"/>
        <v/>
      </c>
      <c r="G225" s="129" t="str">
        <f>IF(H225="","",VLOOKUP(H225,プルダウン用リスト!$K$1:$M$15,2,FALSE))</f>
        <v/>
      </c>
      <c r="H225" s="76"/>
      <c r="I225" s="76"/>
      <c r="J225" s="76"/>
      <c r="K225" s="146"/>
      <c r="L225" s="77"/>
      <c r="M225" s="78"/>
      <c r="N225" s="71"/>
      <c r="O225" s="432" t="str">
        <f t="shared" si="11"/>
        <v/>
      </c>
    </row>
    <row r="226" spans="2:15" x14ac:dyDescent="0.4">
      <c r="B226" s="74"/>
      <c r="C226" s="60"/>
      <c r="D226" s="426" t="str">
        <f>IF(C226="","",VLOOKUP(C226,団体基本情報!$B$13:$D$22,3,FALSE))</f>
        <v/>
      </c>
      <c r="E226" s="427" t="str">
        <f t="shared" si="9"/>
        <v/>
      </c>
      <c r="F226" s="428" t="str">
        <f t="shared" si="10"/>
        <v/>
      </c>
      <c r="G226" s="129" t="str">
        <f>IF(H226="","",VLOOKUP(H226,プルダウン用リスト!$K$1:$M$15,2,FALSE))</f>
        <v/>
      </c>
      <c r="H226" s="76"/>
      <c r="I226" s="61"/>
      <c r="J226" s="76"/>
      <c r="K226" s="146"/>
      <c r="L226" s="77"/>
      <c r="M226" s="78"/>
      <c r="N226" s="71"/>
      <c r="O226" s="432" t="str">
        <f t="shared" si="11"/>
        <v/>
      </c>
    </row>
    <row r="227" spans="2:15" x14ac:dyDescent="0.4">
      <c r="B227" s="74"/>
      <c r="C227" s="60"/>
      <c r="D227" s="426" t="str">
        <f>IF(C227="","",VLOOKUP(C227,団体基本情報!$B$13:$D$22,3,FALSE))</f>
        <v/>
      </c>
      <c r="E227" s="427" t="str">
        <f t="shared" si="9"/>
        <v/>
      </c>
      <c r="F227" s="428" t="str">
        <f t="shared" si="10"/>
        <v/>
      </c>
      <c r="G227" s="129" t="str">
        <f>IF(H227="","",VLOOKUP(H227,プルダウン用リスト!$K$1:$M$15,2,FALSE))</f>
        <v/>
      </c>
      <c r="H227" s="76"/>
      <c r="I227" s="61"/>
      <c r="J227" s="76"/>
      <c r="K227" s="146"/>
      <c r="L227" s="77"/>
      <c r="M227" s="78"/>
      <c r="N227" s="71"/>
      <c r="O227" s="432" t="str">
        <f t="shared" si="11"/>
        <v/>
      </c>
    </row>
    <row r="228" spans="2:15" x14ac:dyDescent="0.4">
      <c r="B228" s="74"/>
      <c r="C228" s="60"/>
      <c r="D228" s="426" t="str">
        <f>IF(C228="","",VLOOKUP(C228,団体基本情報!$B$13:$D$22,3,FALSE))</f>
        <v/>
      </c>
      <c r="E228" s="427" t="str">
        <f t="shared" si="9"/>
        <v/>
      </c>
      <c r="F228" s="428" t="str">
        <f t="shared" si="10"/>
        <v/>
      </c>
      <c r="G228" s="129" t="str">
        <f>IF(H228="","",VLOOKUP(H228,プルダウン用リスト!$K$1:$M$15,2,FALSE))</f>
        <v/>
      </c>
      <c r="H228" s="76"/>
      <c r="I228" s="76"/>
      <c r="J228" s="76"/>
      <c r="K228" s="146"/>
      <c r="L228" s="77"/>
      <c r="M228" s="78"/>
      <c r="N228" s="71"/>
      <c r="O228" s="432" t="str">
        <f t="shared" si="11"/>
        <v/>
      </c>
    </row>
    <row r="229" spans="2:15" x14ac:dyDescent="0.4">
      <c r="B229" s="74"/>
      <c r="C229" s="60"/>
      <c r="D229" s="426" t="str">
        <f>IF(C229="","",VLOOKUP(C229,団体基本情報!$B$13:$D$22,3,FALSE))</f>
        <v/>
      </c>
      <c r="E229" s="427" t="str">
        <f t="shared" si="9"/>
        <v/>
      </c>
      <c r="F229" s="428" t="str">
        <f t="shared" si="10"/>
        <v/>
      </c>
      <c r="G229" s="129" t="str">
        <f>IF(H229="","",VLOOKUP(H229,プルダウン用リスト!$K$1:$M$15,2,FALSE))</f>
        <v/>
      </c>
      <c r="H229" s="76"/>
      <c r="I229" s="61"/>
      <c r="J229" s="76"/>
      <c r="K229" s="146"/>
      <c r="L229" s="77"/>
      <c r="M229" s="78"/>
      <c r="N229" s="71"/>
      <c r="O229" s="432" t="str">
        <f t="shared" si="11"/>
        <v/>
      </c>
    </row>
    <row r="230" spans="2:15" x14ac:dyDescent="0.4">
      <c r="B230" s="74"/>
      <c r="C230" s="60"/>
      <c r="D230" s="426" t="str">
        <f>IF(C230="","",VLOOKUP(C230,団体基本情報!$B$13:$D$22,3,FALSE))</f>
        <v/>
      </c>
      <c r="E230" s="427" t="str">
        <f t="shared" si="9"/>
        <v/>
      </c>
      <c r="F230" s="428" t="str">
        <f t="shared" si="10"/>
        <v/>
      </c>
      <c r="G230" s="129" t="str">
        <f>IF(H230="","",VLOOKUP(H230,プルダウン用リスト!$K$1:$M$15,2,FALSE))</f>
        <v/>
      </c>
      <c r="H230" s="76"/>
      <c r="I230" s="61"/>
      <c r="J230" s="76"/>
      <c r="K230" s="146"/>
      <c r="L230" s="77"/>
      <c r="M230" s="78"/>
      <c r="N230" s="71"/>
      <c r="O230" s="432" t="str">
        <f t="shared" si="11"/>
        <v/>
      </c>
    </row>
    <row r="231" spans="2:15" x14ac:dyDescent="0.4">
      <c r="B231" s="74"/>
      <c r="C231" s="60"/>
      <c r="D231" s="426" t="str">
        <f>IF(C231="","",VLOOKUP(C231,団体基本情報!$B$13:$D$22,3,FALSE))</f>
        <v/>
      </c>
      <c r="E231" s="427" t="str">
        <f t="shared" si="9"/>
        <v/>
      </c>
      <c r="F231" s="428" t="str">
        <f t="shared" si="10"/>
        <v/>
      </c>
      <c r="G231" s="129" t="str">
        <f>IF(H231="","",VLOOKUP(H231,プルダウン用リスト!$K$1:$M$15,2,FALSE))</f>
        <v/>
      </c>
      <c r="H231" s="76"/>
      <c r="I231" s="76"/>
      <c r="J231" s="76"/>
      <c r="K231" s="146"/>
      <c r="L231" s="77"/>
      <c r="M231" s="78"/>
      <c r="N231" s="71"/>
      <c r="O231" s="432" t="str">
        <f t="shared" si="11"/>
        <v/>
      </c>
    </row>
    <row r="232" spans="2:15" x14ac:dyDescent="0.4">
      <c r="B232" s="74"/>
      <c r="C232" s="60"/>
      <c r="D232" s="426" t="str">
        <f>IF(C232="","",VLOOKUP(C232,団体基本情報!$B$13:$D$22,3,FALSE))</f>
        <v/>
      </c>
      <c r="E232" s="427" t="str">
        <f t="shared" si="9"/>
        <v/>
      </c>
      <c r="F232" s="428" t="str">
        <f t="shared" si="10"/>
        <v/>
      </c>
      <c r="G232" s="129" t="str">
        <f>IF(H232="","",VLOOKUP(H232,プルダウン用リスト!$K$1:$M$15,2,FALSE))</f>
        <v/>
      </c>
      <c r="H232" s="76"/>
      <c r="I232" s="61"/>
      <c r="J232" s="76"/>
      <c r="K232" s="146"/>
      <c r="L232" s="77"/>
      <c r="M232" s="78"/>
      <c r="N232" s="71"/>
      <c r="O232" s="432" t="str">
        <f t="shared" si="11"/>
        <v/>
      </c>
    </row>
    <row r="233" spans="2:15" x14ac:dyDescent="0.4">
      <c r="B233" s="74"/>
      <c r="C233" s="60"/>
      <c r="D233" s="426" t="str">
        <f>IF(C233="","",VLOOKUP(C233,団体基本情報!$B$13:$D$22,3,FALSE))</f>
        <v/>
      </c>
      <c r="E233" s="427" t="str">
        <f t="shared" si="9"/>
        <v/>
      </c>
      <c r="F233" s="428" t="str">
        <f t="shared" si="10"/>
        <v/>
      </c>
      <c r="G233" s="129" t="str">
        <f>IF(H233="","",VLOOKUP(H233,プルダウン用リスト!$K$1:$M$15,2,FALSE))</f>
        <v/>
      </c>
      <c r="H233" s="76"/>
      <c r="I233" s="61"/>
      <c r="J233" s="76"/>
      <c r="K233" s="146"/>
      <c r="L233" s="77"/>
      <c r="M233" s="78"/>
      <c r="N233" s="71"/>
      <c r="O233" s="432" t="str">
        <f t="shared" si="11"/>
        <v/>
      </c>
    </row>
    <row r="234" spans="2:15" x14ac:dyDescent="0.4">
      <c r="B234" s="74"/>
      <c r="C234" s="75"/>
      <c r="D234" s="426" t="str">
        <f>IF(C234="","",VLOOKUP(C234,団体基本情報!$B$13:$D$22,3,FALSE))</f>
        <v/>
      </c>
      <c r="E234" s="427" t="str">
        <f t="shared" si="9"/>
        <v/>
      </c>
      <c r="F234" s="428" t="str">
        <f t="shared" si="10"/>
        <v/>
      </c>
      <c r="G234" s="129" t="str">
        <f>IF(H234="","",VLOOKUP(H234,プルダウン用リスト!$K$1:$M$15,2,FALSE))</f>
        <v/>
      </c>
      <c r="H234" s="76"/>
      <c r="I234" s="76"/>
      <c r="J234" s="76"/>
      <c r="K234" s="146"/>
      <c r="L234" s="77"/>
      <c r="M234" s="78"/>
      <c r="N234" s="71"/>
      <c r="O234" s="432" t="str">
        <f t="shared" si="11"/>
        <v/>
      </c>
    </row>
    <row r="235" spans="2:15" x14ac:dyDescent="0.4">
      <c r="B235" s="74"/>
      <c r="C235" s="60"/>
      <c r="D235" s="426" t="str">
        <f>IF(C235="","",VLOOKUP(C235,団体基本情報!$B$13:$D$22,3,FALSE))</f>
        <v/>
      </c>
      <c r="E235" s="427" t="str">
        <f t="shared" si="9"/>
        <v/>
      </c>
      <c r="F235" s="428" t="str">
        <f t="shared" si="10"/>
        <v/>
      </c>
      <c r="G235" s="129" t="str">
        <f>IF(H235="","",VLOOKUP(H235,プルダウン用リスト!$K$1:$M$15,2,FALSE))</f>
        <v/>
      </c>
      <c r="H235" s="76"/>
      <c r="I235" s="61"/>
      <c r="J235" s="76"/>
      <c r="K235" s="146"/>
      <c r="L235" s="77"/>
      <c r="M235" s="78"/>
      <c r="N235" s="71"/>
      <c r="O235" s="432" t="str">
        <f t="shared" si="11"/>
        <v/>
      </c>
    </row>
    <row r="236" spans="2:15" x14ac:dyDescent="0.4">
      <c r="B236" s="74"/>
      <c r="C236" s="60"/>
      <c r="D236" s="426" t="str">
        <f>IF(C236="","",VLOOKUP(C236,団体基本情報!$B$13:$D$22,3,FALSE))</f>
        <v/>
      </c>
      <c r="E236" s="427" t="str">
        <f t="shared" si="9"/>
        <v/>
      </c>
      <c r="F236" s="428" t="str">
        <f t="shared" si="10"/>
        <v/>
      </c>
      <c r="G236" s="129" t="str">
        <f>IF(H236="","",VLOOKUP(H236,プルダウン用リスト!$K$1:$M$15,2,FALSE))</f>
        <v/>
      </c>
      <c r="H236" s="76"/>
      <c r="I236" s="61"/>
      <c r="J236" s="76"/>
      <c r="K236" s="146"/>
      <c r="L236" s="77"/>
      <c r="M236" s="78"/>
      <c r="N236" s="71"/>
      <c r="O236" s="432" t="str">
        <f t="shared" si="11"/>
        <v/>
      </c>
    </row>
    <row r="237" spans="2:15" x14ac:dyDescent="0.4">
      <c r="B237" s="74"/>
      <c r="C237" s="60"/>
      <c r="D237" s="426" t="str">
        <f>IF(C237="","",VLOOKUP(C237,団体基本情報!$B$13:$D$22,3,FALSE))</f>
        <v/>
      </c>
      <c r="E237" s="427" t="str">
        <f t="shared" si="9"/>
        <v/>
      </c>
      <c r="F237" s="428" t="str">
        <f t="shared" si="10"/>
        <v/>
      </c>
      <c r="G237" s="129" t="str">
        <f>IF(H237="","",VLOOKUP(H237,プルダウン用リスト!$K$1:$M$15,2,FALSE))</f>
        <v/>
      </c>
      <c r="H237" s="76"/>
      <c r="I237" s="76"/>
      <c r="J237" s="76"/>
      <c r="K237" s="146"/>
      <c r="L237" s="77"/>
      <c r="M237" s="78"/>
      <c r="N237" s="71"/>
      <c r="O237" s="432" t="str">
        <f t="shared" si="11"/>
        <v/>
      </c>
    </row>
    <row r="238" spans="2:15" x14ac:dyDescent="0.4">
      <c r="B238" s="74"/>
      <c r="C238" s="60"/>
      <c r="D238" s="426" t="str">
        <f>IF(C238="","",VLOOKUP(C238,団体基本情報!$B$13:$D$22,3,FALSE))</f>
        <v/>
      </c>
      <c r="E238" s="427" t="str">
        <f t="shared" si="9"/>
        <v/>
      </c>
      <c r="F238" s="428" t="str">
        <f t="shared" si="10"/>
        <v/>
      </c>
      <c r="G238" s="129" t="str">
        <f>IF(H238="","",VLOOKUP(H238,プルダウン用リスト!$K$1:$M$15,2,FALSE))</f>
        <v/>
      </c>
      <c r="H238" s="76"/>
      <c r="I238" s="61"/>
      <c r="J238" s="76"/>
      <c r="K238" s="146"/>
      <c r="L238" s="77"/>
      <c r="M238" s="78"/>
      <c r="N238" s="71"/>
      <c r="O238" s="432" t="str">
        <f t="shared" si="11"/>
        <v/>
      </c>
    </row>
    <row r="239" spans="2:15" x14ac:dyDescent="0.4">
      <c r="B239" s="74"/>
      <c r="C239" s="60"/>
      <c r="D239" s="426" t="str">
        <f>IF(C239="","",VLOOKUP(C239,団体基本情報!$B$13:$D$22,3,FALSE))</f>
        <v/>
      </c>
      <c r="E239" s="427" t="str">
        <f t="shared" si="9"/>
        <v/>
      </c>
      <c r="F239" s="428" t="str">
        <f t="shared" si="10"/>
        <v/>
      </c>
      <c r="G239" s="129" t="str">
        <f>IF(H239="","",VLOOKUP(H239,プルダウン用リスト!$K$1:$M$15,2,FALSE))</f>
        <v/>
      </c>
      <c r="H239" s="76"/>
      <c r="I239" s="61"/>
      <c r="J239" s="76"/>
      <c r="K239" s="146"/>
      <c r="L239" s="77"/>
      <c r="M239" s="78"/>
      <c r="N239" s="71"/>
      <c r="O239" s="432" t="str">
        <f t="shared" si="11"/>
        <v/>
      </c>
    </row>
    <row r="240" spans="2:15" x14ac:dyDescent="0.4">
      <c r="B240" s="74"/>
      <c r="C240" s="60"/>
      <c r="D240" s="426" t="str">
        <f>IF(C240="","",VLOOKUP(C240,団体基本情報!$B$13:$D$22,3,FALSE))</f>
        <v/>
      </c>
      <c r="E240" s="427" t="str">
        <f t="shared" si="9"/>
        <v/>
      </c>
      <c r="F240" s="428" t="str">
        <f t="shared" si="10"/>
        <v/>
      </c>
      <c r="G240" s="129" t="str">
        <f>IF(H240="","",VLOOKUP(H240,プルダウン用リスト!$K$1:$M$15,2,FALSE))</f>
        <v/>
      </c>
      <c r="H240" s="76"/>
      <c r="I240" s="76"/>
      <c r="J240" s="76"/>
      <c r="K240" s="146"/>
      <c r="L240" s="77"/>
      <c r="M240" s="78"/>
      <c r="N240" s="71"/>
      <c r="O240" s="432" t="str">
        <f t="shared" si="11"/>
        <v/>
      </c>
    </row>
    <row r="241" spans="2:15" x14ac:dyDescent="0.4">
      <c r="B241" s="74"/>
      <c r="C241" s="60"/>
      <c r="D241" s="426" t="str">
        <f>IF(C241="","",VLOOKUP(C241,団体基本情報!$B$13:$D$22,3,FALSE))</f>
        <v/>
      </c>
      <c r="E241" s="427" t="str">
        <f t="shared" si="9"/>
        <v/>
      </c>
      <c r="F241" s="428" t="str">
        <f t="shared" si="10"/>
        <v/>
      </c>
      <c r="G241" s="129" t="str">
        <f>IF(H241="","",VLOOKUP(H241,プルダウン用リスト!$K$1:$M$15,2,FALSE))</f>
        <v/>
      </c>
      <c r="H241" s="76"/>
      <c r="I241" s="61"/>
      <c r="J241" s="76"/>
      <c r="K241" s="146"/>
      <c r="L241" s="77"/>
      <c r="M241" s="78"/>
      <c r="N241" s="71"/>
      <c r="O241" s="432" t="str">
        <f t="shared" si="11"/>
        <v/>
      </c>
    </row>
    <row r="242" spans="2:15" x14ac:dyDescent="0.4">
      <c r="B242" s="74"/>
      <c r="C242" s="60"/>
      <c r="D242" s="426" t="str">
        <f>IF(C242="","",VLOOKUP(C242,団体基本情報!$B$13:$D$22,3,FALSE))</f>
        <v/>
      </c>
      <c r="E242" s="427" t="str">
        <f t="shared" si="9"/>
        <v/>
      </c>
      <c r="F242" s="428" t="str">
        <f t="shared" si="10"/>
        <v/>
      </c>
      <c r="G242" s="129" t="str">
        <f>IF(H242="","",VLOOKUP(H242,プルダウン用リスト!$K$1:$M$15,2,FALSE))</f>
        <v/>
      </c>
      <c r="H242" s="76"/>
      <c r="I242" s="61"/>
      <c r="J242" s="76"/>
      <c r="K242" s="146"/>
      <c r="L242" s="77"/>
      <c r="M242" s="78"/>
      <c r="N242" s="71"/>
      <c r="O242" s="432" t="str">
        <f t="shared" si="11"/>
        <v/>
      </c>
    </row>
    <row r="243" spans="2:15" x14ac:dyDescent="0.4">
      <c r="B243" s="74"/>
      <c r="C243" s="60"/>
      <c r="D243" s="426" t="str">
        <f>IF(C243="","",VLOOKUP(C243,団体基本情報!$B$13:$D$22,3,FALSE))</f>
        <v/>
      </c>
      <c r="E243" s="427" t="str">
        <f t="shared" si="9"/>
        <v/>
      </c>
      <c r="F243" s="428" t="str">
        <f t="shared" si="10"/>
        <v/>
      </c>
      <c r="G243" s="129" t="str">
        <f>IF(H243="","",VLOOKUP(H243,プルダウン用リスト!$K$1:$M$15,2,FALSE))</f>
        <v/>
      </c>
      <c r="H243" s="76"/>
      <c r="I243" s="76"/>
      <c r="J243" s="76"/>
      <c r="K243" s="146"/>
      <c r="L243" s="77"/>
      <c r="M243" s="78"/>
      <c r="N243" s="71"/>
      <c r="O243" s="432" t="str">
        <f t="shared" si="11"/>
        <v/>
      </c>
    </row>
    <row r="244" spans="2:15" x14ac:dyDescent="0.4">
      <c r="B244" s="74"/>
      <c r="C244" s="60"/>
      <c r="D244" s="426" t="str">
        <f>IF(C244="","",VLOOKUP(C244,団体基本情報!$B$13:$D$22,3,FALSE))</f>
        <v/>
      </c>
      <c r="E244" s="427" t="str">
        <f t="shared" si="9"/>
        <v/>
      </c>
      <c r="F244" s="428" t="str">
        <f t="shared" si="10"/>
        <v/>
      </c>
      <c r="G244" s="129" t="str">
        <f>IF(H244="","",VLOOKUP(H244,プルダウン用リスト!$K$1:$M$15,2,FALSE))</f>
        <v/>
      </c>
      <c r="H244" s="76"/>
      <c r="I244" s="61"/>
      <c r="J244" s="76"/>
      <c r="K244" s="146"/>
      <c r="L244" s="77"/>
      <c r="M244" s="78"/>
      <c r="N244" s="71"/>
      <c r="O244" s="432" t="str">
        <f t="shared" si="11"/>
        <v/>
      </c>
    </row>
    <row r="245" spans="2:15" x14ac:dyDescent="0.4">
      <c r="B245" s="74"/>
      <c r="C245" s="60"/>
      <c r="D245" s="426" t="str">
        <f>IF(C245="","",VLOOKUP(C245,団体基本情報!$B$13:$D$22,3,FALSE))</f>
        <v/>
      </c>
      <c r="E245" s="427" t="str">
        <f t="shared" si="9"/>
        <v/>
      </c>
      <c r="F245" s="428" t="str">
        <f t="shared" si="10"/>
        <v/>
      </c>
      <c r="G245" s="129" t="str">
        <f>IF(H245="","",VLOOKUP(H245,プルダウン用リスト!$K$1:$M$15,2,FALSE))</f>
        <v/>
      </c>
      <c r="H245" s="76"/>
      <c r="I245" s="61"/>
      <c r="J245" s="76"/>
      <c r="K245" s="146"/>
      <c r="L245" s="77"/>
      <c r="M245" s="78"/>
      <c r="N245" s="71"/>
      <c r="O245" s="432" t="str">
        <f t="shared" si="11"/>
        <v/>
      </c>
    </row>
    <row r="246" spans="2:15" x14ac:dyDescent="0.4">
      <c r="B246" s="74"/>
      <c r="C246" s="75"/>
      <c r="D246" s="426" t="str">
        <f>IF(C246="","",VLOOKUP(C246,団体基本情報!$B$13:$D$22,3,FALSE))</f>
        <v/>
      </c>
      <c r="E246" s="427" t="str">
        <f t="shared" si="9"/>
        <v/>
      </c>
      <c r="F246" s="428" t="str">
        <f t="shared" si="10"/>
        <v/>
      </c>
      <c r="G246" s="129" t="str">
        <f>IF(H246="","",VLOOKUP(H246,プルダウン用リスト!$K$1:$M$15,2,FALSE))</f>
        <v/>
      </c>
      <c r="H246" s="76"/>
      <c r="I246" s="76"/>
      <c r="J246" s="76"/>
      <c r="K246" s="146"/>
      <c r="L246" s="77"/>
      <c r="M246" s="78"/>
      <c r="N246" s="71"/>
      <c r="O246" s="432" t="str">
        <f t="shared" si="11"/>
        <v/>
      </c>
    </row>
    <row r="247" spans="2:15" x14ac:dyDescent="0.4">
      <c r="B247" s="74"/>
      <c r="C247" s="60"/>
      <c r="D247" s="426" t="str">
        <f>IF(C247="","",VLOOKUP(C247,団体基本情報!$B$13:$D$22,3,FALSE))</f>
        <v/>
      </c>
      <c r="E247" s="427" t="str">
        <f t="shared" si="9"/>
        <v/>
      </c>
      <c r="F247" s="428" t="str">
        <f t="shared" si="10"/>
        <v/>
      </c>
      <c r="G247" s="129" t="str">
        <f>IF(H247="","",VLOOKUP(H247,プルダウン用リスト!$K$1:$M$15,2,FALSE))</f>
        <v/>
      </c>
      <c r="H247" s="76"/>
      <c r="I247" s="61"/>
      <c r="J247" s="76"/>
      <c r="K247" s="146"/>
      <c r="L247" s="77"/>
      <c r="M247" s="78"/>
      <c r="N247" s="71"/>
      <c r="O247" s="432" t="str">
        <f t="shared" si="11"/>
        <v/>
      </c>
    </row>
    <row r="248" spans="2:15" x14ac:dyDescent="0.4">
      <c r="B248" s="74"/>
      <c r="C248" s="60"/>
      <c r="D248" s="426" t="str">
        <f>IF(C248="","",VLOOKUP(C248,団体基本情報!$B$13:$D$22,3,FALSE))</f>
        <v/>
      </c>
      <c r="E248" s="427" t="str">
        <f t="shared" si="9"/>
        <v/>
      </c>
      <c r="F248" s="428" t="str">
        <f t="shared" si="10"/>
        <v/>
      </c>
      <c r="G248" s="129" t="str">
        <f>IF(H248="","",VLOOKUP(H248,プルダウン用リスト!$K$1:$M$15,2,FALSE))</f>
        <v/>
      </c>
      <c r="H248" s="76"/>
      <c r="I248" s="61"/>
      <c r="J248" s="76"/>
      <c r="K248" s="146"/>
      <c r="L248" s="77"/>
      <c r="M248" s="78"/>
      <c r="N248" s="71"/>
      <c r="O248" s="432" t="str">
        <f t="shared" si="11"/>
        <v/>
      </c>
    </row>
    <row r="249" spans="2:15" x14ac:dyDescent="0.4">
      <c r="B249" s="74"/>
      <c r="C249" s="60"/>
      <c r="D249" s="426" t="str">
        <f>IF(C249="","",VLOOKUP(C249,団体基本情報!$B$13:$D$22,3,FALSE))</f>
        <v/>
      </c>
      <c r="E249" s="427" t="str">
        <f t="shared" si="9"/>
        <v/>
      </c>
      <c r="F249" s="428" t="str">
        <f t="shared" si="10"/>
        <v/>
      </c>
      <c r="G249" s="129" t="str">
        <f>IF(H249="","",VLOOKUP(H249,プルダウン用リスト!$K$1:$M$15,2,FALSE))</f>
        <v/>
      </c>
      <c r="H249" s="76"/>
      <c r="I249" s="76"/>
      <c r="J249" s="76"/>
      <c r="K249" s="146"/>
      <c r="L249" s="77"/>
      <c r="M249" s="78"/>
      <c r="N249" s="71"/>
      <c r="O249" s="432" t="str">
        <f t="shared" si="11"/>
        <v/>
      </c>
    </row>
    <row r="250" spans="2:15" x14ac:dyDescent="0.4">
      <c r="B250" s="74"/>
      <c r="C250" s="60"/>
      <c r="D250" s="426" t="str">
        <f>IF(C250="","",VLOOKUP(C250,団体基本情報!$B$13:$D$22,3,FALSE))</f>
        <v/>
      </c>
      <c r="E250" s="427" t="str">
        <f t="shared" si="9"/>
        <v/>
      </c>
      <c r="F250" s="428" t="str">
        <f t="shared" si="10"/>
        <v/>
      </c>
      <c r="G250" s="129" t="str">
        <f>IF(H250="","",VLOOKUP(H250,プルダウン用リスト!$K$1:$M$15,2,FALSE))</f>
        <v/>
      </c>
      <c r="H250" s="76"/>
      <c r="I250" s="61"/>
      <c r="J250" s="76"/>
      <c r="K250" s="146"/>
      <c r="L250" s="77"/>
      <c r="M250" s="78"/>
      <c r="N250" s="71"/>
      <c r="O250" s="432" t="str">
        <f t="shared" si="11"/>
        <v/>
      </c>
    </row>
    <row r="251" spans="2:15" x14ac:dyDescent="0.4">
      <c r="B251" s="74"/>
      <c r="C251" s="60"/>
      <c r="D251" s="426" t="str">
        <f>IF(C251="","",VLOOKUP(C251,団体基本情報!$B$13:$D$22,3,FALSE))</f>
        <v/>
      </c>
      <c r="E251" s="427" t="str">
        <f t="shared" si="9"/>
        <v/>
      </c>
      <c r="F251" s="428" t="str">
        <f t="shared" si="10"/>
        <v/>
      </c>
      <c r="G251" s="129" t="str">
        <f>IF(H251="","",VLOOKUP(H251,プルダウン用リスト!$K$1:$M$15,2,FALSE))</f>
        <v/>
      </c>
      <c r="H251" s="76"/>
      <c r="I251" s="61"/>
      <c r="J251" s="76"/>
      <c r="K251" s="146"/>
      <c r="L251" s="77"/>
      <c r="M251" s="78"/>
      <c r="N251" s="71"/>
      <c r="O251" s="432" t="str">
        <f t="shared" si="11"/>
        <v/>
      </c>
    </row>
    <row r="252" spans="2:15" x14ac:dyDescent="0.4">
      <c r="B252" s="74"/>
      <c r="C252" s="60"/>
      <c r="D252" s="426" t="str">
        <f>IF(C252="","",VLOOKUP(C252,団体基本情報!$B$13:$D$22,3,FALSE))</f>
        <v/>
      </c>
      <c r="E252" s="427" t="str">
        <f t="shared" si="9"/>
        <v/>
      </c>
      <c r="F252" s="428" t="str">
        <f t="shared" si="10"/>
        <v/>
      </c>
      <c r="G252" s="129" t="str">
        <f>IF(H252="","",VLOOKUP(H252,プルダウン用リスト!$K$1:$M$15,2,FALSE))</f>
        <v/>
      </c>
      <c r="H252" s="76"/>
      <c r="I252" s="76"/>
      <c r="J252" s="76"/>
      <c r="K252" s="146"/>
      <c r="L252" s="77"/>
      <c r="M252" s="78"/>
      <c r="N252" s="71"/>
      <c r="O252" s="432" t="str">
        <f t="shared" si="11"/>
        <v/>
      </c>
    </row>
    <row r="253" spans="2:15" x14ac:dyDescent="0.4">
      <c r="B253" s="74"/>
      <c r="C253" s="60"/>
      <c r="D253" s="426" t="str">
        <f>IF(C253="","",VLOOKUP(C253,団体基本情報!$B$13:$D$22,3,FALSE))</f>
        <v/>
      </c>
      <c r="E253" s="427" t="str">
        <f t="shared" si="9"/>
        <v/>
      </c>
      <c r="F253" s="428" t="str">
        <f t="shared" si="10"/>
        <v/>
      </c>
      <c r="G253" s="129" t="str">
        <f>IF(H253="","",VLOOKUP(H253,プルダウン用リスト!$K$1:$M$15,2,FALSE))</f>
        <v/>
      </c>
      <c r="H253" s="76"/>
      <c r="I253" s="61"/>
      <c r="J253" s="76"/>
      <c r="K253" s="146"/>
      <c r="L253" s="77"/>
      <c r="M253" s="78"/>
      <c r="N253" s="71"/>
      <c r="O253" s="432" t="str">
        <f t="shared" si="11"/>
        <v/>
      </c>
    </row>
    <row r="254" spans="2:15" x14ac:dyDescent="0.4">
      <c r="B254" s="74"/>
      <c r="C254" s="60"/>
      <c r="D254" s="426" t="str">
        <f>IF(C254="","",VLOOKUP(C254,団体基本情報!$B$13:$D$22,3,FALSE))</f>
        <v/>
      </c>
      <c r="E254" s="427" t="str">
        <f t="shared" si="9"/>
        <v/>
      </c>
      <c r="F254" s="428" t="str">
        <f t="shared" si="10"/>
        <v/>
      </c>
      <c r="G254" s="129" t="str">
        <f>IF(H254="","",VLOOKUP(H254,プルダウン用リスト!$K$1:$M$15,2,FALSE))</f>
        <v/>
      </c>
      <c r="H254" s="76"/>
      <c r="I254" s="61"/>
      <c r="J254" s="76"/>
      <c r="K254" s="146"/>
      <c r="L254" s="77"/>
      <c r="M254" s="78"/>
      <c r="N254" s="71"/>
      <c r="O254" s="432" t="str">
        <f t="shared" si="11"/>
        <v/>
      </c>
    </row>
    <row r="255" spans="2:15" x14ac:dyDescent="0.4">
      <c r="B255" s="74"/>
      <c r="C255" s="60"/>
      <c r="D255" s="426" t="str">
        <f>IF(C255="","",VLOOKUP(C255,団体基本情報!$B$13:$D$22,3,FALSE))</f>
        <v/>
      </c>
      <c r="E255" s="427" t="str">
        <f t="shared" si="9"/>
        <v/>
      </c>
      <c r="F255" s="428" t="str">
        <f t="shared" si="10"/>
        <v/>
      </c>
      <c r="G255" s="129" t="str">
        <f>IF(H255="","",VLOOKUP(H255,プルダウン用リスト!$K$1:$M$15,2,FALSE))</f>
        <v/>
      </c>
      <c r="H255" s="76"/>
      <c r="I255" s="76"/>
      <c r="J255" s="76"/>
      <c r="K255" s="146"/>
      <c r="L255" s="77"/>
      <c r="M255" s="78"/>
      <c r="N255" s="71"/>
      <c r="O255" s="432" t="str">
        <f t="shared" si="11"/>
        <v/>
      </c>
    </row>
    <row r="256" spans="2:15" x14ac:dyDescent="0.4">
      <c r="B256" s="74"/>
      <c r="C256" s="60"/>
      <c r="D256" s="426" t="str">
        <f>IF(C256="","",VLOOKUP(C256,団体基本情報!$B$13:$D$22,3,FALSE))</f>
        <v/>
      </c>
      <c r="E256" s="427" t="str">
        <f t="shared" si="9"/>
        <v/>
      </c>
      <c r="F256" s="428" t="str">
        <f t="shared" si="10"/>
        <v/>
      </c>
      <c r="G256" s="129" t="str">
        <f>IF(H256="","",VLOOKUP(H256,プルダウン用リスト!$K$1:$M$15,2,FALSE))</f>
        <v/>
      </c>
      <c r="H256" s="76"/>
      <c r="I256" s="61"/>
      <c r="J256" s="76"/>
      <c r="K256" s="146"/>
      <c r="L256" s="77"/>
      <c r="M256" s="78"/>
      <c r="N256" s="71"/>
      <c r="O256" s="432" t="str">
        <f t="shared" si="11"/>
        <v/>
      </c>
    </row>
    <row r="257" spans="2:15" x14ac:dyDescent="0.4">
      <c r="B257" s="74"/>
      <c r="C257" s="60"/>
      <c r="D257" s="426" t="str">
        <f>IF(C257="","",VLOOKUP(C257,団体基本情報!$B$13:$D$22,3,FALSE))</f>
        <v/>
      </c>
      <c r="E257" s="427" t="str">
        <f t="shared" si="9"/>
        <v/>
      </c>
      <c r="F257" s="428" t="str">
        <f t="shared" si="10"/>
        <v/>
      </c>
      <c r="G257" s="129" t="str">
        <f>IF(H257="","",VLOOKUP(H257,プルダウン用リスト!$K$1:$M$15,2,FALSE))</f>
        <v/>
      </c>
      <c r="H257" s="76"/>
      <c r="I257" s="61"/>
      <c r="J257" s="76"/>
      <c r="K257" s="146"/>
      <c r="L257" s="77"/>
      <c r="M257" s="78"/>
      <c r="N257" s="71"/>
      <c r="O257" s="432" t="str">
        <f t="shared" si="11"/>
        <v/>
      </c>
    </row>
    <row r="258" spans="2:15" x14ac:dyDescent="0.4">
      <c r="B258" s="74"/>
      <c r="C258" s="75"/>
      <c r="D258" s="426" t="str">
        <f>IF(C258="","",VLOOKUP(C258,団体基本情報!$B$13:$D$22,3,FALSE))</f>
        <v/>
      </c>
      <c r="E258" s="427" t="str">
        <f t="shared" si="9"/>
        <v/>
      </c>
      <c r="F258" s="428" t="str">
        <f t="shared" si="10"/>
        <v/>
      </c>
      <c r="G258" s="129" t="str">
        <f>IF(H258="","",VLOOKUP(H258,プルダウン用リスト!$K$1:$M$15,2,FALSE))</f>
        <v/>
      </c>
      <c r="H258" s="76"/>
      <c r="I258" s="76"/>
      <c r="J258" s="76"/>
      <c r="K258" s="146"/>
      <c r="L258" s="77"/>
      <c r="M258" s="78"/>
      <c r="N258" s="71"/>
      <c r="O258" s="432" t="str">
        <f t="shared" si="11"/>
        <v/>
      </c>
    </row>
    <row r="259" spans="2:15" x14ac:dyDescent="0.4">
      <c r="B259" s="74"/>
      <c r="C259" s="60"/>
      <c r="D259" s="426" t="str">
        <f>IF(C259="","",VLOOKUP(C259,団体基本情報!$B$13:$D$22,3,FALSE))</f>
        <v/>
      </c>
      <c r="E259" s="427" t="str">
        <f t="shared" si="9"/>
        <v/>
      </c>
      <c r="F259" s="428" t="str">
        <f t="shared" si="10"/>
        <v/>
      </c>
      <c r="G259" s="129" t="str">
        <f>IF(H259="","",VLOOKUP(H259,プルダウン用リスト!$K$1:$M$15,2,FALSE))</f>
        <v/>
      </c>
      <c r="H259" s="76"/>
      <c r="I259" s="61"/>
      <c r="J259" s="76"/>
      <c r="K259" s="146"/>
      <c r="L259" s="77"/>
      <c r="M259" s="78"/>
      <c r="N259" s="71"/>
      <c r="O259" s="432" t="str">
        <f t="shared" si="11"/>
        <v/>
      </c>
    </row>
    <row r="260" spans="2:15" x14ac:dyDescent="0.4">
      <c r="B260" s="74"/>
      <c r="C260" s="60"/>
      <c r="D260" s="426" t="str">
        <f>IF(C260="","",VLOOKUP(C260,団体基本情報!$B$13:$D$22,3,FALSE))</f>
        <v/>
      </c>
      <c r="E260" s="427" t="str">
        <f t="shared" si="9"/>
        <v/>
      </c>
      <c r="F260" s="428" t="str">
        <f t="shared" si="10"/>
        <v/>
      </c>
      <c r="G260" s="129" t="str">
        <f>IF(H260="","",VLOOKUP(H260,プルダウン用リスト!$K$1:$M$15,2,FALSE))</f>
        <v/>
      </c>
      <c r="H260" s="76"/>
      <c r="I260" s="61"/>
      <c r="J260" s="76"/>
      <c r="K260" s="146"/>
      <c r="L260" s="77"/>
      <c r="M260" s="78"/>
      <c r="N260" s="71"/>
      <c r="O260" s="432" t="str">
        <f t="shared" si="11"/>
        <v/>
      </c>
    </row>
    <row r="261" spans="2:15" x14ac:dyDescent="0.4">
      <c r="B261" s="74"/>
      <c r="C261" s="60"/>
      <c r="D261" s="426" t="str">
        <f>IF(C261="","",VLOOKUP(C261,団体基本情報!$B$13:$D$22,3,FALSE))</f>
        <v/>
      </c>
      <c r="E261" s="427" t="str">
        <f t="shared" si="9"/>
        <v/>
      </c>
      <c r="F261" s="428" t="str">
        <f t="shared" si="10"/>
        <v/>
      </c>
      <c r="G261" s="129" t="str">
        <f>IF(H261="","",VLOOKUP(H261,プルダウン用リスト!$K$1:$M$15,2,FALSE))</f>
        <v/>
      </c>
      <c r="H261" s="76"/>
      <c r="I261" s="76"/>
      <c r="J261" s="76"/>
      <c r="K261" s="146"/>
      <c r="L261" s="77"/>
      <c r="M261" s="78"/>
      <c r="N261" s="71"/>
      <c r="O261" s="432" t="str">
        <f t="shared" si="11"/>
        <v/>
      </c>
    </row>
    <row r="262" spans="2:15" x14ac:dyDescent="0.4">
      <c r="B262" s="74"/>
      <c r="C262" s="60"/>
      <c r="D262" s="426" t="str">
        <f>IF(C262="","",VLOOKUP(C262,団体基本情報!$B$13:$D$22,3,FALSE))</f>
        <v/>
      </c>
      <c r="E262" s="427" t="str">
        <f t="shared" si="9"/>
        <v/>
      </c>
      <c r="F262" s="428" t="str">
        <f t="shared" si="10"/>
        <v/>
      </c>
      <c r="G262" s="129" t="str">
        <f>IF(H262="","",VLOOKUP(H262,プルダウン用リスト!$K$1:$M$15,2,FALSE))</f>
        <v/>
      </c>
      <c r="H262" s="76"/>
      <c r="I262" s="61"/>
      <c r="J262" s="76"/>
      <c r="K262" s="146"/>
      <c r="L262" s="77"/>
      <c r="M262" s="78"/>
      <c r="N262" s="71"/>
      <c r="O262" s="432" t="str">
        <f t="shared" si="11"/>
        <v/>
      </c>
    </row>
    <row r="263" spans="2:15" x14ac:dyDescent="0.4">
      <c r="B263" s="74"/>
      <c r="C263" s="60"/>
      <c r="D263" s="426" t="str">
        <f>IF(C263="","",VLOOKUP(C263,団体基本情報!$B$13:$D$22,3,FALSE))</f>
        <v/>
      </c>
      <c r="E263" s="427" t="str">
        <f t="shared" ref="E263:E326" si="12">IF(F263="","",IF(F263="謝金","01.",IF(F263="旅費","02.",IF(F263="その他","04.","03."))))</f>
        <v/>
      </c>
      <c r="F263" s="428" t="str">
        <f t="shared" ref="F263:F326" si="13">IF(H263="","",IF(H263="謝金","謝金",IF(H263="旅費","旅費",IF(H263="対象外経費","その他","所費"))))</f>
        <v/>
      </c>
      <c r="G263" s="129" t="str">
        <f>IF(H263="","",VLOOKUP(H263,プルダウン用リスト!$K$1:$M$15,2,FALSE))</f>
        <v/>
      </c>
      <c r="H263" s="76"/>
      <c r="I263" s="61"/>
      <c r="J263" s="76"/>
      <c r="K263" s="146"/>
      <c r="L263" s="77"/>
      <c r="M263" s="78"/>
      <c r="N263" s="71"/>
      <c r="O263" s="432" t="str">
        <f t="shared" ref="O263:O326" si="14">IF(H263="対象外経費",M263,IF(N263="","",M263-N263))</f>
        <v/>
      </c>
    </row>
    <row r="264" spans="2:15" x14ac:dyDescent="0.4">
      <c r="B264" s="74"/>
      <c r="C264" s="60"/>
      <c r="D264" s="426" t="str">
        <f>IF(C264="","",VLOOKUP(C264,団体基本情報!$B$13:$D$22,3,FALSE))</f>
        <v/>
      </c>
      <c r="E264" s="427" t="str">
        <f t="shared" si="12"/>
        <v/>
      </c>
      <c r="F264" s="428" t="str">
        <f t="shared" si="13"/>
        <v/>
      </c>
      <c r="G264" s="129" t="str">
        <f>IF(H264="","",VLOOKUP(H264,プルダウン用リスト!$K$1:$M$15,2,FALSE))</f>
        <v/>
      </c>
      <c r="H264" s="76"/>
      <c r="I264" s="76"/>
      <c r="J264" s="76"/>
      <c r="K264" s="146"/>
      <c r="L264" s="77"/>
      <c r="M264" s="78"/>
      <c r="N264" s="71"/>
      <c r="O264" s="432" t="str">
        <f t="shared" si="14"/>
        <v/>
      </c>
    </row>
    <row r="265" spans="2:15" x14ac:dyDescent="0.4">
      <c r="B265" s="74"/>
      <c r="C265" s="60"/>
      <c r="D265" s="426" t="str">
        <f>IF(C265="","",VLOOKUP(C265,団体基本情報!$B$13:$D$22,3,FALSE))</f>
        <v/>
      </c>
      <c r="E265" s="427" t="str">
        <f t="shared" si="12"/>
        <v/>
      </c>
      <c r="F265" s="428" t="str">
        <f t="shared" si="13"/>
        <v/>
      </c>
      <c r="G265" s="129" t="str">
        <f>IF(H265="","",VLOOKUP(H265,プルダウン用リスト!$K$1:$M$15,2,FALSE))</f>
        <v/>
      </c>
      <c r="H265" s="76"/>
      <c r="I265" s="61"/>
      <c r="J265" s="76"/>
      <c r="K265" s="146"/>
      <c r="L265" s="77"/>
      <c r="M265" s="78"/>
      <c r="N265" s="71"/>
      <c r="O265" s="432" t="str">
        <f t="shared" si="14"/>
        <v/>
      </c>
    </row>
    <row r="266" spans="2:15" x14ac:dyDescent="0.4">
      <c r="B266" s="74"/>
      <c r="C266" s="60"/>
      <c r="D266" s="426" t="str">
        <f>IF(C266="","",VLOOKUP(C266,団体基本情報!$B$13:$D$22,3,FALSE))</f>
        <v/>
      </c>
      <c r="E266" s="427" t="str">
        <f t="shared" si="12"/>
        <v/>
      </c>
      <c r="F266" s="428" t="str">
        <f t="shared" si="13"/>
        <v/>
      </c>
      <c r="G266" s="129" t="str">
        <f>IF(H266="","",VLOOKUP(H266,プルダウン用リスト!$K$1:$M$15,2,FALSE))</f>
        <v/>
      </c>
      <c r="H266" s="76"/>
      <c r="I266" s="61"/>
      <c r="J266" s="76"/>
      <c r="K266" s="146"/>
      <c r="L266" s="77"/>
      <c r="M266" s="78"/>
      <c r="N266" s="71"/>
      <c r="O266" s="432" t="str">
        <f t="shared" si="14"/>
        <v/>
      </c>
    </row>
    <row r="267" spans="2:15" x14ac:dyDescent="0.4">
      <c r="B267" s="74"/>
      <c r="C267" s="60"/>
      <c r="D267" s="426" t="str">
        <f>IF(C267="","",VLOOKUP(C267,団体基本情報!$B$13:$D$22,3,FALSE))</f>
        <v/>
      </c>
      <c r="E267" s="427" t="str">
        <f t="shared" si="12"/>
        <v/>
      </c>
      <c r="F267" s="428" t="str">
        <f t="shared" si="13"/>
        <v/>
      </c>
      <c r="G267" s="129" t="str">
        <f>IF(H267="","",VLOOKUP(H267,プルダウン用リスト!$K$1:$M$15,2,FALSE))</f>
        <v/>
      </c>
      <c r="H267" s="76"/>
      <c r="I267" s="76"/>
      <c r="J267" s="76"/>
      <c r="K267" s="146"/>
      <c r="L267" s="77"/>
      <c r="M267" s="78"/>
      <c r="N267" s="71"/>
      <c r="O267" s="432" t="str">
        <f t="shared" si="14"/>
        <v/>
      </c>
    </row>
    <row r="268" spans="2:15" x14ac:dyDescent="0.4">
      <c r="B268" s="74"/>
      <c r="C268" s="60"/>
      <c r="D268" s="426" t="str">
        <f>IF(C268="","",VLOOKUP(C268,団体基本情報!$B$13:$D$22,3,FALSE))</f>
        <v/>
      </c>
      <c r="E268" s="427" t="str">
        <f t="shared" si="12"/>
        <v/>
      </c>
      <c r="F268" s="428" t="str">
        <f t="shared" si="13"/>
        <v/>
      </c>
      <c r="G268" s="129" t="str">
        <f>IF(H268="","",VLOOKUP(H268,プルダウン用リスト!$K$1:$M$15,2,FALSE))</f>
        <v/>
      </c>
      <c r="H268" s="76"/>
      <c r="I268" s="61"/>
      <c r="J268" s="76"/>
      <c r="K268" s="146"/>
      <c r="L268" s="77"/>
      <c r="M268" s="78"/>
      <c r="N268" s="71"/>
      <c r="O268" s="432" t="str">
        <f t="shared" si="14"/>
        <v/>
      </c>
    </row>
    <row r="269" spans="2:15" x14ac:dyDescent="0.4">
      <c r="B269" s="74"/>
      <c r="C269" s="60"/>
      <c r="D269" s="426" t="str">
        <f>IF(C269="","",VLOOKUP(C269,団体基本情報!$B$13:$D$22,3,FALSE))</f>
        <v/>
      </c>
      <c r="E269" s="427" t="str">
        <f t="shared" si="12"/>
        <v/>
      </c>
      <c r="F269" s="428" t="str">
        <f t="shared" si="13"/>
        <v/>
      </c>
      <c r="G269" s="129" t="str">
        <f>IF(H269="","",VLOOKUP(H269,プルダウン用リスト!$K$1:$M$15,2,FALSE))</f>
        <v/>
      </c>
      <c r="H269" s="76"/>
      <c r="I269" s="61"/>
      <c r="J269" s="76"/>
      <c r="K269" s="146"/>
      <c r="L269" s="77"/>
      <c r="M269" s="78"/>
      <c r="N269" s="71"/>
      <c r="O269" s="432" t="str">
        <f t="shared" si="14"/>
        <v/>
      </c>
    </row>
    <row r="270" spans="2:15" x14ac:dyDescent="0.4">
      <c r="B270" s="74"/>
      <c r="C270" s="75"/>
      <c r="D270" s="426" t="str">
        <f>IF(C270="","",VLOOKUP(C270,団体基本情報!$B$13:$D$22,3,FALSE))</f>
        <v/>
      </c>
      <c r="E270" s="427" t="str">
        <f t="shared" si="12"/>
        <v/>
      </c>
      <c r="F270" s="428" t="str">
        <f t="shared" si="13"/>
        <v/>
      </c>
      <c r="G270" s="129" t="str">
        <f>IF(H270="","",VLOOKUP(H270,プルダウン用リスト!$K$1:$M$15,2,FALSE))</f>
        <v/>
      </c>
      <c r="H270" s="76"/>
      <c r="I270" s="76"/>
      <c r="J270" s="76"/>
      <c r="K270" s="146"/>
      <c r="L270" s="77"/>
      <c r="M270" s="78"/>
      <c r="N270" s="71"/>
      <c r="O270" s="432" t="str">
        <f t="shared" si="14"/>
        <v/>
      </c>
    </row>
    <row r="271" spans="2:15" x14ac:dyDescent="0.4">
      <c r="B271" s="74"/>
      <c r="C271" s="60"/>
      <c r="D271" s="426" t="str">
        <f>IF(C271="","",VLOOKUP(C271,団体基本情報!$B$13:$D$22,3,FALSE))</f>
        <v/>
      </c>
      <c r="E271" s="427" t="str">
        <f t="shared" si="12"/>
        <v/>
      </c>
      <c r="F271" s="428" t="str">
        <f t="shared" si="13"/>
        <v/>
      </c>
      <c r="G271" s="129" t="str">
        <f>IF(H271="","",VLOOKUP(H271,プルダウン用リスト!$K$1:$M$15,2,FALSE))</f>
        <v/>
      </c>
      <c r="H271" s="76"/>
      <c r="I271" s="61"/>
      <c r="J271" s="76"/>
      <c r="K271" s="146"/>
      <c r="L271" s="77"/>
      <c r="M271" s="78"/>
      <c r="N271" s="71"/>
      <c r="O271" s="432" t="str">
        <f t="shared" si="14"/>
        <v/>
      </c>
    </row>
    <row r="272" spans="2:15" x14ac:dyDescent="0.4">
      <c r="B272" s="74"/>
      <c r="C272" s="60"/>
      <c r="D272" s="426" t="str">
        <f>IF(C272="","",VLOOKUP(C272,団体基本情報!$B$13:$D$22,3,FALSE))</f>
        <v/>
      </c>
      <c r="E272" s="427" t="str">
        <f t="shared" si="12"/>
        <v/>
      </c>
      <c r="F272" s="428" t="str">
        <f t="shared" si="13"/>
        <v/>
      </c>
      <c r="G272" s="129" t="str">
        <f>IF(H272="","",VLOOKUP(H272,プルダウン用リスト!$K$1:$M$15,2,FALSE))</f>
        <v/>
      </c>
      <c r="H272" s="76"/>
      <c r="I272" s="61"/>
      <c r="J272" s="76"/>
      <c r="K272" s="146"/>
      <c r="L272" s="77"/>
      <c r="M272" s="78"/>
      <c r="N272" s="71"/>
      <c r="O272" s="432" t="str">
        <f t="shared" si="14"/>
        <v/>
      </c>
    </row>
    <row r="273" spans="2:15" x14ac:dyDescent="0.4">
      <c r="B273" s="74"/>
      <c r="C273" s="60"/>
      <c r="D273" s="426" t="str">
        <f>IF(C273="","",VLOOKUP(C273,団体基本情報!$B$13:$D$22,3,FALSE))</f>
        <v/>
      </c>
      <c r="E273" s="427" t="str">
        <f t="shared" si="12"/>
        <v/>
      </c>
      <c r="F273" s="428" t="str">
        <f t="shared" si="13"/>
        <v/>
      </c>
      <c r="G273" s="129" t="str">
        <f>IF(H273="","",VLOOKUP(H273,プルダウン用リスト!$K$1:$M$15,2,FALSE))</f>
        <v/>
      </c>
      <c r="H273" s="76"/>
      <c r="I273" s="76"/>
      <c r="J273" s="76"/>
      <c r="K273" s="146"/>
      <c r="L273" s="77"/>
      <c r="M273" s="78"/>
      <c r="N273" s="71"/>
      <c r="O273" s="432" t="str">
        <f t="shared" si="14"/>
        <v/>
      </c>
    </row>
    <row r="274" spans="2:15" x14ac:dyDescent="0.4">
      <c r="B274" s="74"/>
      <c r="C274" s="60"/>
      <c r="D274" s="426" t="str">
        <f>IF(C274="","",VLOOKUP(C274,団体基本情報!$B$13:$D$22,3,FALSE))</f>
        <v/>
      </c>
      <c r="E274" s="427" t="str">
        <f t="shared" si="12"/>
        <v/>
      </c>
      <c r="F274" s="428" t="str">
        <f t="shared" si="13"/>
        <v/>
      </c>
      <c r="G274" s="129" t="str">
        <f>IF(H274="","",VLOOKUP(H274,プルダウン用リスト!$K$1:$M$15,2,FALSE))</f>
        <v/>
      </c>
      <c r="H274" s="76"/>
      <c r="I274" s="61"/>
      <c r="J274" s="76"/>
      <c r="K274" s="146"/>
      <c r="L274" s="77"/>
      <c r="M274" s="78"/>
      <c r="N274" s="71"/>
      <c r="O274" s="432" t="str">
        <f t="shared" si="14"/>
        <v/>
      </c>
    </row>
    <row r="275" spans="2:15" x14ac:dyDescent="0.4">
      <c r="B275" s="74"/>
      <c r="C275" s="60"/>
      <c r="D275" s="426" t="str">
        <f>IF(C275="","",VLOOKUP(C275,団体基本情報!$B$13:$D$22,3,FALSE))</f>
        <v/>
      </c>
      <c r="E275" s="427" t="str">
        <f t="shared" si="12"/>
        <v/>
      </c>
      <c r="F275" s="428" t="str">
        <f t="shared" si="13"/>
        <v/>
      </c>
      <c r="G275" s="129" t="str">
        <f>IF(H275="","",VLOOKUP(H275,プルダウン用リスト!$K$1:$M$15,2,FALSE))</f>
        <v/>
      </c>
      <c r="H275" s="76"/>
      <c r="I275" s="61"/>
      <c r="J275" s="76"/>
      <c r="K275" s="146"/>
      <c r="L275" s="77"/>
      <c r="M275" s="78"/>
      <c r="N275" s="71"/>
      <c r="O275" s="432" t="str">
        <f t="shared" si="14"/>
        <v/>
      </c>
    </row>
    <row r="276" spans="2:15" x14ac:dyDescent="0.4">
      <c r="B276" s="74"/>
      <c r="C276" s="60"/>
      <c r="D276" s="426" t="str">
        <f>IF(C276="","",VLOOKUP(C276,団体基本情報!$B$13:$D$22,3,FALSE))</f>
        <v/>
      </c>
      <c r="E276" s="427" t="str">
        <f t="shared" si="12"/>
        <v/>
      </c>
      <c r="F276" s="428" t="str">
        <f t="shared" si="13"/>
        <v/>
      </c>
      <c r="G276" s="129" t="str">
        <f>IF(H276="","",VLOOKUP(H276,プルダウン用リスト!$K$1:$M$15,2,FALSE))</f>
        <v/>
      </c>
      <c r="H276" s="76"/>
      <c r="I276" s="76"/>
      <c r="J276" s="76"/>
      <c r="K276" s="146"/>
      <c r="L276" s="77"/>
      <c r="M276" s="78"/>
      <c r="N276" s="71"/>
      <c r="O276" s="432" t="str">
        <f t="shared" si="14"/>
        <v/>
      </c>
    </row>
    <row r="277" spans="2:15" x14ac:dyDescent="0.4">
      <c r="B277" s="74"/>
      <c r="C277" s="60"/>
      <c r="D277" s="426" t="str">
        <f>IF(C277="","",VLOOKUP(C277,団体基本情報!$B$13:$D$22,3,FALSE))</f>
        <v/>
      </c>
      <c r="E277" s="427" t="str">
        <f t="shared" si="12"/>
        <v/>
      </c>
      <c r="F277" s="428" t="str">
        <f t="shared" si="13"/>
        <v/>
      </c>
      <c r="G277" s="129" t="str">
        <f>IF(H277="","",VLOOKUP(H277,プルダウン用リスト!$K$1:$M$15,2,FALSE))</f>
        <v/>
      </c>
      <c r="H277" s="76"/>
      <c r="I277" s="61"/>
      <c r="J277" s="76"/>
      <c r="K277" s="146"/>
      <c r="L277" s="77"/>
      <c r="M277" s="78"/>
      <c r="N277" s="71"/>
      <c r="O277" s="432" t="str">
        <f t="shared" si="14"/>
        <v/>
      </c>
    </row>
    <row r="278" spans="2:15" x14ac:dyDescent="0.4">
      <c r="B278" s="74"/>
      <c r="C278" s="60"/>
      <c r="D278" s="426" t="str">
        <f>IF(C278="","",VLOOKUP(C278,団体基本情報!$B$13:$D$22,3,FALSE))</f>
        <v/>
      </c>
      <c r="E278" s="427" t="str">
        <f t="shared" si="12"/>
        <v/>
      </c>
      <c r="F278" s="428" t="str">
        <f t="shared" si="13"/>
        <v/>
      </c>
      <c r="G278" s="129" t="str">
        <f>IF(H278="","",VLOOKUP(H278,プルダウン用リスト!$K$1:$M$15,2,FALSE))</f>
        <v/>
      </c>
      <c r="H278" s="76"/>
      <c r="I278" s="61"/>
      <c r="J278" s="76"/>
      <c r="K278" s="146"/>
      <c r="L278" s="77"/>
      <c r="M278" s="78"/>
      <c r="N278" s="71"/>
      <c r="O278" s="432" t="str">
        <f t="shared" si="14"/>
        <v/>
      </c>
    </row>
    <row r="279" spans="2:15" x14ac:dyDescent="0.4">
      <c r="B279" s="74"/>
      <c r="C279" s="60"/>
      <c r="D279" s="426" t="str">
        <f>IF(C279="","",VLOOKUP(C279,団体基本情報!$B$13:$D$22,3,FALSE))</f>
        <v/>
      </c>
      <c r="E279" s="427" t="str">
        <f t="shared" si="12"/>
        <v/>
      </c>
      <c r="F279" s="428" t="str">
        <f t="shared" si="13"/>
        <v/>
      </c>
      <c r="G279" s="129" t="str">
        <f>IF(H279="","",VLOOKUP(H279,プルダウン用リスト!$K$1:$M$15,2,FALSE))</f>
        <v/>
      </c>
      <c r="H279" s="76"/>
      <c r="I279" s="76"/>
      <c r="J279" s="76"/>
      <c r="K279" s="146"/>
      <c r="L279" s="77"/>
      <c r="M279" s="78"/>
      <c r="N279" s="71"/>
      <c r="O279" s="432" t="str">
        <f t="shared" si="14"/>
        <v/>
      </c>
    </row>
    <row r="280" spans="2:15" x14ac:dyDescent="0.4">
      <c r="B280" s="74"/>
      <c r="C280" s="60"/>
      <c r="D280" s="426" t="str">
        <f>IF(C280="","",VLOOKUP(C280,団体基本情報!$B$13:$D$22,3,FALSE))</f>
        <v/>
      </c>
      <c r="E280" s="427" t="str">
        <f t="shared" si="12"/>
        <v/>
      </c>
      <c r="F280" s="428" t="str">
        <f t="shared" si="13"/>
        <v/>
      </c>
      <c r="G280" s="129" t="str">
        <f>IF(H280="","",VLOOKUP(H280,プルダウン用リスト!$K$1:$M$15,2,FALSE))</f>
        <v/>
      </c>
      <c r="H280" s="76"/>
      <c r="I280" s="61"/>
      <c r="J280" s="76"/>
      <c r="K280" s="146"/>
      <c r="L280" s="77"/>
      <c r="M280" s="78"/>
      <c r="N280" s="71"/>
      <c r="O280" s="432" t="str">
        <f t="shared" si="14"/>
        <v/>
      </c>
    </row>
    <row r="281" spans="2:15" x14ac:dyDescent="0.4">
      <c r="B281" s="74"/>
      <c r="C281" s="60"/>
      <c r="D281" s="426" t="str">
        <f>IF(C281="","",VLOOKUP(C281,団体基本情報!$B$13:$D$22,3,FALSE))</f>
        <v/>
      </c>
      <c r="E281" s="427" t="str">
        <f t="shared" si="12"/>
        <v/>
      </c>
      <c r="F281" s="428" t="str">
        <f t="shared" si="13"/>
        <v/>
      </c>
      <c r="G281" s="129" t="str">
        <f>IF(H281="","",VLOOKUP(H281,プルダウン用リスト!$K$1:$M$15,2,FALSE))</f>
        <v/>
      </c>
      <c r="H281" s="76"/>
      <c r="I281" s="61"/>
      <c r="J281" s="76"/>
      <c r="K281" s="146"/>
      <c r="L281" s="77"/>
      <c r="M281" s="78"/>
      <c r="N281" s="71"/>
      <c r="O281" s="432" t="str">
        <f t="shared" si="14"/>
        <v/>
      </c>
    </row>
    <row r="282" spans="2:15" x14ac:dyDescent="0.4">
      <c r="B282" s="74"/>
      <c r="C282" s="75"/>
      <c r="D282" s="426" t="str">
        <f>IF(C282="","",VLOOKUP(C282,団体基本情報!$B$13:$D$22,3,FALSE))</f>
        <v/>
      </c>
      <c r="E282" s="427" t="str">
        <f t="shared" si="12"/>
        <v/>
      </c>
      <c r="F282" s="428" t="str">
        <f t="shared" si="13"/>
        <v/>
      </c>
      <c r="G282" s="129" t="str">
        <f>IF(H282="","",VLOOKUP(H282,プルダウン用リスト!$K$1:$M$15,2,FALSE))</f>
        <v/>
      </c>
      <c r="H282" s="76"/>
      <c r="I282" s="76"/>
      <c r="J282" s="76"/>
      <c r="K282" s="146"/>
      <c r="L282" s="77"/>
      <c r="M282" s="78"/>
      <c r="N282" s="71"/>
      <c r="O282" s="432" t="str">
        <f t="shared" si="14"/>
        <v/>
      </c>
    </row>
    <row r="283" spans="2:15" x14ac:dyDescent="0.4">
      <c r="B283" s="74"/>
      <c r="C283" s="60"/>
      <c r="D283" s="426" t="str">
        <f>IF(C283="","",VLOOKUP(C283,団体基本情報!$B$13:$D$22,3,FALSE))</f>
        <v/>
      </c>
      <c r="E283" s="427" t="str">
        <f t="shared" si="12"/>
        <v/>
      </c>
      <c r="F283" s="428" t="str">
        <f t="shared" si="13"/>
        <v/>
      </c>
      <c r="G283" s="129" t="str">
        <f>IF(H283="","",VLOOKUP(H283,プルダウン用リスト!$K$1:$M$15,2,FALSE))</f>
        <v/>
      </c>
      <c r="H283" s="76"/>
      <c r="I283" s="61"/>
      <c r="J283" s="76"/>
      <c r="K283" s="146"/>
      <c r="L283" s="77"/>
      <c r="M283" s="78"/>
      <c r="N283" s="71"/>
      <c r="O283" s="432" t="str">
        <f t="shared" si="14"/>
        <v/>
      </c>
    </row>
    <row r="284" spans="2:15" x14ac:dyDescent="0.4">
      <c r="B284" s="74"/>
      <c r="C284" s="60"/>
      <c r="D284" s="426" t="str">
        <f>IF(C284="","",VLOOKUP(C284,団体基本情報!$B$13:$D$22,3,FALSE))</f>
        <v/>
      </c>
      <c r="E284" s="427" t="str">
        <f t="shared" si="12"/>
        <v/>
      </c>
      <c r="F284" s="428" t="str">
        <f t="shared" si="13"/>
        <v/>
      </c>
      <c r="G284" s="129" t="str">
        <f>IF(H284="","",VLOOKUP(H284,プルダウン用リスト!$K$1:$M$15,2,FALSE))</f>
        <v/>
      </c>
      <c r="H284" s="76"/>
      <c r="I284" s="61"/>
      <c r="J284" s="76"/>
      <c r="K284" s="146"/>
      <c r="L284" s="77"/>
      <c r="M284" s="78"/>
      <c r="N284" s="71"/>
      <c r="O284" s="432" t="str">
        <f t="shared" si="14"/>
        <v/>
      </c>
    </row>
    <row r="285" spans="2:15" x14ac:dyDescent="0.4">
      <c r="B285" s="74"/>
      <c r="C285" s="60"/>
      <c r="D285" s="426" t="str">
        <f>IF(C285="","",VLOOKUP(C285,団体基本情報!$B$13:$D$22,3,FALSE))</f>
        <v/>
      </c>
      <c r="E285" s="427" t="str">
        <f t="shared" si="12"/>
        <v/>
      </c>
      <c r="F285" s="428" t="str">
        <f t="shared" si="13"/>
        <v/>
      </c>
      <c r="G285" s="129" t="str">
        <f>IF(H285="","",VLOOKUP(H285,プルダウン用リスト!$K$1:$M$15,2,FALSE))</f>
        <v/>
      </c>
      <c r="H285" s="76"/>
      <c r="I285" s="76"/>
      <c r="J285" s="76"/>
      <c r="K285" s="146"/>
      <c r="L285" s="77"/>
      <c r="M285" s="78"/>
      <c r="N285" s="71"/>
      <c r="O285" s="432" t="str">
        <f t="shared" si="14"/>
        <v/>
      </c>
    </row>
    <row r="286" spans="2:15" x14ac:dyDescent="0.4">
      <c r="B286" s="74"/>
      <c r="C286" s="60"/>
      <c r="D286" s="426" t="str">
        <f>IF(C286="","",VLOOKUP(C286,団体基本情報!$B$13:$D$22,3,FALSE))</f>
        <v/>
      </c>
      <c r="E286" s="427" t="str">
        <f t="shared" si="12"/>
        <v/>
      </c>
      <c r="F286" s="428" t="str">
        <f t="shared" si="13"/>
        <v/>
      </c>
      <c r="G286" s="129" t="str">
        <f>IF(H286="","",VLOOKUP(H286,プルダウン用リスト!$K$1:$M$15,2,FALSE))</f>
        <v/>
      </c>
      <c r="H286" s="76"/>
      <c r="I286" s="61"/>
      <c r="J286" s="76"/>
      <c r="K286" s="146"/>
      <c r="L286" s="77"/>
      <c r="M286" s="78"/>
      <c r="N286" s="71"/>
      <c r="O286" s="432" t="str">
        <f t="shared" si="14"/>
        <v/>
      </c>
    </row>
    <row r="287" spans="2:15" x14ac:dyDescent="0.4">
      <c r="B287" s="74"/>
      <c r="C287" s="60"/>
      <c r="D287" s="426" t="str">
        <f>IF(C287="","",VLOOKUP(C287,団体基本情報!$B$13:$D$22,3,FALSE))</f>
        <v/>
      </c>
      <c r="E287" s="427" t="str">
        <f t="shared" si="12"/>
        <v/>
      </c>
      <c r="F287" s="428" t="str">
        <f t="shared" si="13"/>
        <v/>
      </c>
      <c r="G287" s="129" t="str">
        <f>IF(H287="","",VLOOKUP(H287,プルダウン用リスト!$K$1:$M$15,2,FALSE))</f>
        <v/>
      </c>
      <c r="H287" s="76"/>
      <c r="I287" s="61"/>
      <c r="J287" s="76"/>
      <c r="K287" s="146"/>
      <c r="L287" s="77"/>
      <c r="M287" s="78"/>
      <c r="N287" s="71"/>
      <c r="O287" s="432" t="str">
        <f t="shared" si="14"/>
        <v/>
      </c>
    </row>
    <row r="288" spans="2:15" x14ac:dyDescent="0.4">
      <c r="B288" s="74"/>
      <c r="C288" s="60"/>
      <c r="D288" s="426" t="str">
        <f>IF(C288="","",VLOOKUP(C288,団体基本情報!$B$13:$D$22,3,FALSE))</f>
        <v/>
      </c>
      <c r="E288" s="427" t="str">
        <f t="shared" si="12"/>
        <v/>
      </c>
      <c r="F288" s="428" t="str">
        <f t="shared" si="13"/>
        <v/>
      </c>
      <c r="G288" s="129" t="str">
        <f>IF(H288="","",VLOOKUP(H288,プルダウン用リスト!$K$1:$M$15,2,FALSE))</f>
        <v/>
      </c>
      <c r="H288" s="76"/>
      <c r="I288" s="76"/>
      <c r="J288" s="76"/>
      <c r="K288" s="146"/>
      <c r="L288" s="77"/>
      <c r="M288" s="78"/>
      <c r="N288" s="71"/>
      <c r="O288" s="432" t="str">
        <f t="shared" si="14"/>
        <v/>
      </c>
    </row>
    <row r="289" spans="2:15" x14ac:dyDescent="0.4">
      <c r="B289" s="74"/>
      <c r="C289" s="60"/>
      <c r="D289" s="426" t="str">
        <f>IF(C289="","",VLOOKUP(C289,団体基本情報!$B$13:$D$22,3,FALSE))</f>
        <v/>
      </c>
      <c r="E289" s="427" t="str">
        <f t="shared" si="12"/>
        <v/>
      </c>
      <c r="F289" s="428" t="str">
        <f t="shared" si="13"/>
        <v/>
      </c>
      <c r="G289" s="129" t="str">
        <f>IF(H289="","",VLOOKUP(H289,プルダウン用リスト!$K$1:$M$15,2,FALSE))</f>
        <v/>
      </c>
      <c r="H289" s="76"/>
      <c r="I289" s="61"/>
      <c r="J289" s="76"/>
      <c r="K289" s="146"/>
      <c r="L289" s="77"/>
      <c r="M289" s="78"/>
      <c r="N289" s="71"/>
      <c r="O289" s="432" t="str">
        <f t="shared" si="14"/>
        <v/>
      </c>
    </row>
    <row r="290" spans="2:15" x14ac:dyDescent="0.4">
      <c r="B290" s="74"/>
      <c r="C290" s="60"/>
      <c r="D290" s="426" t="str">
        <f>IF(C290="","",VLOOKUP(C290,団体基本情報!$B$13:$D$22,3,FALSE))</f>
        <v/>
      </c>
      <c r="E290" s="427" t="str">
        <f t="shared" si="12"/>
        <v/>
      </c>
      <c r="F290" s="428" t="str">
        <f t="shared" si="13"/>
        <v/>
      </c>
      <c r="G290" s="129" t="str">
        <f>IF(H290="","",VLOOKUP(H290,プルダウン用リスト!$K$1:$M$15,2,FALSE))</f>
        <v/>
      </c>
      <c r="H290" s="76"/>
      <c r="I290" s="61"/>
      <c r="J290" s="76"/>
      <c r="K290" s="146"/>
      <c r="L290" s="77"/>
      <c r="M290" s="78"/>
      <c r="N290" s="71"/>
      <c r="O290" s="432" t="str">
        <f t="shared" si="14"/>
        <v/>
      </c>
    </row>
    <row r="291" spans="2:15" x14ac:dyDescent="0.4">
      <c r="B291" s="74"/>
      <c r="C291" s="60"/>
      <c r="D291" s="426" t="str">
        <f>IF(C291="","",VLOOKUP(C291,団体基本情報!$B$13:$D$22,3,FALSE))</f>
        <v/>
      </c>
      <c r="E291" s="427" t="str">
        <f t="shared" si="12"/>
        <v/>
      </c>
      <c r="F291" s="428" t="str">
        <f t="shared" si="13"/>
        <v/>
      </c>
      <c r="G291" s="129" t="str">
        <f>IF(H291="","",VLOOKUP(H291,プルダウン用リスト!$K$1:$M$15,2,FALSE))</f>
        <v/>
      </c>
      <c r="H291" s="76"/>
      <c r="I291" s="76"/>
      <c r="J291" s="76"/>
      <c r="K291" s="146"/>
      <c r="L291" s="77"/>
      <c r="M291" s="78"/>
      <c r="N291" s="71"/>
      <c r="O291" s="432" t="str">
        <f t="shared" si="14"/>
        <v/>
      </c>
    </row>
    <row r="292" spans="2:15" x14ac:dyDescent="0.4">
      <c r="B292" s="74"/>
      <c r="C292" s="60"/>
      <c r="D292" s="426" t="str">
        <f>IF(C292="","",VLOOKUP(C292,団体基本情報!$B$13:$D$22,3,FALSE))</f>
        <v/>
      </c>
      <c r="E292" s="427" t="str">
        <f t="shared" si="12"/>
        <v/>
      </c>
      <c r="F292" s="428" t="str">
        <f t="shared" si="13"/>
        <v/>
      </c>
      <c r="G292" s="129" t="str">
        <f>IF(H292="","",VLOOKUP(H292,プルダウン用リスト!$K$1:$M$15,2,FALSE))</f>
        <v/>
      </c>
      <c r="H292" s="76"/>
      <c r="I292" s="61"/>
      <c r="J292" s="76"/>
      <c r="K292" s="146"/>
      <c r="L292" s="77"/>
      <c r="M292" s="78"/>
      <c r="N292" s="71"/>
      <c r="O292" s="432" t="str">
        <f t="shared" si="14"/>
        <v/>
      </c>
    </row>
    <row r="293" spans="2:15" x14ac:dyDescent="0.4">
      <c r="B293" s="74"/>
      <c r="C293" s="60"/>
      <c r="D293" s="426" t="str">
        <f>IF(C293="","",VLOOKUP(C293,団体基本情報!$B$13:$D$22,3,FALSE))</f>
        <v/>
      </c>
      <c r="E293" s="427" t="str">
        <f t="shared" si="12"/>
        <v/>
      </c>
      <c r="F293" s="428" t="str">
        <f t="shared" si="13"/>
        <v/>
      </c>
      <c r="G293" s="129" t="str">
        <f>IF(H293="","",VLOOKUP(H293,プルダウン用リスト!$K$1:$M$15,2,FALSE))</f>
        <v/>
      </c>
      <c r="H293" s="76"/>
      <c r="I293" s="61"/>
      <c r="J293" s="76"/>
      <c r="K293" s="146"/>
      <c r="L293" s="77"/>
      <c r="M293" s="78"/>
      <c r="N293" s="71"/>
      <c r="O293" s="432" t="str">
        <f t="shared" si="14"/>
        <v/>
      </c>
    </row>
    <row r="294" spans="2:15" x14ac:dyDescent="0.4">
      <c r="B294" s="74"/>
      <c r="C294" s="75"/>
      <c r="D294" s="426" t="str">
        <f>IF(C294="","",VLOOKUP(C294,団体基本情報!$B$13:$D$22,3,FALSE))</f>
        <v/>
      </c>
      <c r="E294" s="427" t="str">
        <f t="shared" si="12"/>
        <v/>
      </c>
      <c r="F294" s="428" t="str">
        <f t="shared" si="13"/>
        <v/>
      </c>
      <c r="G294" s="129" t="str">
        <f>IF(H294="","",VLOOKUP(H294,プルダウン用リスト!$K$1:$M$15,2,FALSE))</f>
        <v/>
      </c>
      <c r="H294" s="76"/>
      <c r="I294" s="76"/>
      <c r="J294" s="76"/>
      <c r="K294" s="146"/>
      <c r="L294" s="77"/>
      <c r="M294" s="78"/>
      <c r="N294" s="71"/>
      <c r="O294" s="432" t="str">
        <f t="shared" si="14"/>
        <v/>
      </c>
    </row>
    <row r="295" spans="2:15" x14ac:dyDescent="0.4">
      <c r="B295" s="74"/>
      <c r="C295" s="60"/>
      <c r="D295" s="426" t="str">
        <f>IF(C295="","",VLOOKUP(C295,団体基本情報!$B$13:$D$22,3,FALSE))</f>
        <v/>
      </c>
      <c r="E295" s="427" t="str">
        <f t="shared" si="12"/>
        <v/>
      </c>
      <c r="F295" s="428" t="str">
        <f t="shared" si="13"/>
        <v/>
      </c>
      <c r="G295" s="129" t="str">
        <f>IF(H295="","",VLOOKUP(H295,プルダウン用リスト!$K$1:$M$15,2,FALSE))</f>
        <v/>
      </c>
      <c r="H295" s="76"/>
      <c r="I295" s="61"/>
      <c r="J295" s="76"/>
      <c r="K295" s="146"/>
      <c r="L295" s="77"/>
      <c r="M295" s="78"/>
      <c r="N295" s="71"/>
      <c r="O295" s="432" t="str">
        <f t="shared" si="14"/>
        <v/>
      </c>
    </row>
    <row r="296" spans="2:15" x14ac:dyDescent="0.4">
      <c r="B296" s="74"/>
      <c r="C296" s="60"/>
      <c r="D296" s="426" t="str">
        <f>IF(C296="","",VLOOKUP(C296,団体基本情報!$B$13:$D$22,3,FALSE))</f>
        <v/>
      </c>
      <c r="E296" s="427" t="str">
        <f t="shared" si="12"/>
        <v/>
      </c>
      <c r="F296" s="428" t="str">
        <f t="shared" si="13"/>
        <v/>
      </c>
      <c r="G296" s="129" t="str">
        <f>IF(H296="","",VLOOKUP(H296,プルダウン用リスト!$K$1:$M$15,2,FALSE))</f>
        <v/>
      </c>
      <c r="H296" s="76"/>
      <c r="I296" s="61"/>
      <c r="J296" s="76"/>
      <c r="K296" s="146"/>
      <c r="L296" s="77"/>
      <c r="M296" s="78"/>
      <c r="N296" s="71"/>
      <c r="O296" s="432" t="str">
        <f t="shared" si="14"/>
        <v/>
      </c>
    </row>
    <row r="297" spans="2:15" x14ac:dyDescent="0.4">
      <c r="B297" s="74"/>
      <c r="C297" s="60"/>
      <c r="D297" s="426" t="str">
        <f>IF(C297="","",VLOOKUP(C297,団体基本情報!$B$13:$D$22,3,FALSE))</f>
        <v/>
      </c>
      <c r="E297" s="427" t="str">
        <f t="shared" si="12"/>
        <v/>
      </c>
      <c r="F297" s="428" t="str">
        <f t="shared" si="13"/>
        <v/>
      </c>
      <c r="G297" s="129" t="str">
        <f>IF(H297="","",VLOOKUP(H297,プルダウン用リスト!$K$1:$M$15,2,FALSE))</f>
        <v/>
      </c>
      <c r="H297" s="76"/>
      <c r="I297" s="76"/>
      <c r="J297" s="76"/>
      <c r="K297" s="146"/>
      <c r="L297" s="77"/>
      <c r="M297" s="78"/>
      <c r="N297" s="71"/>
      <c r="O297" s="432" t="str">
        <f t="shared" si="14"/>
        <v/>
      </c>
    </row>
    <row r="298" spans="2:15" x14ac:dyDescent="0.4">
      <c r="B298" s="74"/>
      <c r="C298" s="60"/>
      <c r="D298" s="426" t="str">
        <f>IF(C298="","",VLOOKUP(C298,団体基本情報!$B$13:$D$22,3,FALSE))</f>
        <v/>
      </c>
      <c r="E298" s="427" t="str">
        <f t="shared" si="12"/>
        <v/>
      </c>
      <c r="F298" s="428" t="str">
        <f t="shared" si="13"/>
        <v/>
      </c>
      <c r="G298" s="129" t="str">
        <f>IF(H298="","",VLOOKUP(H298,プルダウン用リスト!$K$1:$M$15,2,FALSE))</f>
        <v/>
      </c>
      <c r="H298" s="76"/>
      <c r="I298" s="61"/>
      <c r="J298" s="76"/>
      <c r="K298" s="146"/>
      <c r="L298" s="77"/>
      <c r="M298" s="78"/>
      <c r="N298" s="71"/>
      <c r="O298" s="432" t="str">
        <f t="shared" si="14"/>
        <v/>
      </c>
    </row>
    <row r="299" spans="2:15" x14ac:dyDescent="0.4">
      <c r="B299" s="74"/>
      <c r="C299" s="60"/>
      <c r="D299" s="426" t="str">
        <f>IF(C299="","",VLOOKUP(C299,団体基本情報!$B$13:$D$22,3,FALSE))</f>
        <v/>
      </c>
      <c r="E299" s="427" t="str">
        <f t="shared" si="12"/>
        <v/>
      </c>
      <c r="F299" s="428" t="str">
        <f t="shared" si="13"/>
        <v/>
      </c>
      <c r="G299" s="129" t="str">
        <f>IF(H299="","",VLOOKUP(H299,プルダウン用リスト!$K$1:$M$15,2,FALSE))</f>
        <v/>
      </c>
      <c r="H299" s="76"/>
      <c r="I299" s="61"/>
      <c r="J299" s="76"/>
      <c r="K299" s="146"/>
      <c r="L299" s="77"/>
      <c r="M299" s="78"/>
      <c r="N299" s="71"/>
      <c r="O299" s="432" t="str">
        <f t="shared" si="14"/>
        <v/>
      </c>
    </row>
    <row r="300" spans="2:15" x14ac:dyDescent="0.4">
      <c r="B300" s="74"/>
      <c r="C300" s="60"/>
      <c r="D300" s="426" t="str">
        <f>IF(C300="","",VLOOKUP(C300,団体基本情報!$B$13:$D$22,3,FALSE))</f>
        <v/>
      </c>
      <c r="E300" s="427" t="str">
        <f t="shared" si="12"/>
        <v/>
      </c>
      <c r="F300" s="428" t="str">
        <f t="shared" si="13"/>
        <v/>
      </c>
      <c r="G300" s="129" t="str">
        <f>IF(H300="","",VLOOKUP(H300,プルダウン用リスト!$K$1:$M$15,2,FALSE))</f>
        <v/>
      </c>
      <c r="H300" s="76"/>
      <c r="I300" s="76"/>
      <c r="J300" s="76"/>
      <c r="K300" s="146"/>
      <c r="L300" s="77"/>
      <c r="M300" s="78"/>
      <c r="N300" s="71"/>
      <c r="O300" s="432" t="str">
        <f t="shared" si="14"/>
        <v/>
      </c>
    </row>
    <row r="301" spans="2:15" x14ac:dyDescent="0.4">
      <c r="B301" s="74"/>
      <c r="C301" s="60"/>
      <c r="D301" s="426" t="str">
        <f>IF(C301="","",VLOOKUP(C301,団体基本情報!$B$13:$D$22,3,FALSE))</f>
        <v/>
      </c>
      <c r="E301" s="427" t="str">
        <f t="shared" si="12"/>
        <v/>
      </c>
      <c r="F301" s="428" t="str">
        <f t="shared" si="13"/>
        <v/>
      </c>
      <c r="G301" s="129" t="str">
        <f>IF(H301="","",VLOOKUP(H301,プルダウン用リスト!$K$1:$M$15,2,FALSE))</f>
        <v/>
      </c>
      <c r="H301" s="76"/>
      <c r="I301" s="61"/>
      <c r="J301" s="76"/>
      <c r="K301" s="146"/>
      <c r="L301" s="77"/>
      <c r="M301" s="78"/>
      <c r="N301" s="71"/>
      <c r="O301" s="432" t="str">
        <f t="shared" si="14"/>
        <v/>
      </c>
    </row>
    <row r="302" spans="2:15" x14ac:dyDescent="0.4">
      <c r="B302" s="74"/>
      <c r="C302" s="60"/>
      <c r="D302" s="426" t="str">
        <f>IF(C302="","",VLOOKUP(C302,団体基本情報!$B$13:$D$22,3,FALSE))</f>
        <v/>
      </c>
      <c r="E302" s="427" t="str">
        <f t="shared" si="12"/>
        <v/>
      </c>
      <c r="F302" s="428" t="str">
        <f t="shared" si="13"/>
        <v/>
      </c>
      <c r="G302" s="129" t="str">
        <f>IF(H302="","",VLOOKUP(H302,プルダウン用リスト!$K$1:$M$15,2,FALSE))</f>
        <v/>
      </c>
      <c r="H302" s="76"/>
      <c r="I302" s="61"/>
      <c r="J302" s="76"/>
      <c r="K302" s="146"/>
      <c r="L302" s="77"/>
      <c r="M302" s="78"/>
      <c r="N302" s="71"/>
      <c r="O302" s="432" t="str">
        <f t="shared" si="14"/>
        <v/>
      </c>
    </row>
    <row r="303" spans="2:15" x14ac:dyDescent="0.4">
      <c r="B303" s="74"/>
      <c r="C303" s="60"/>
      <c r="D303" s="426" t="str">
        <f>IF(C303="","",VLOOKUP(C303,団体基本情報!$B$13:$D$22,3,FALSE))</f>
        <v/>
      </c>
      <c r="E303" s="427" t="str">
        <f t="shared" si="12"/>
        <v/>
      </c>
      <c r="F303" s="428" t="str">
        <f t="shared" si="13"/>
        <v/>
      </c>
      <c r="G303" s="129" t="str">
        <f>IF(H303="","",VLOOKUP(H303,プルダウン用リスト!$K$1:$M$15,2,FALSE))</f>
        <v/>
      </c>
      <c r="H303" s="76"/>
      <c r="I303" s="76"/>
      <c r="J303" s="76"/>
      <c r="K303" s="146"/>
      <c r="L303" s="77"/>
      <c r="M303" s="78"/>
      <c r="N303" s="71"/>
      <c r="O303" s="432" t="str">
        <f t="shared" si="14"/>
        <v/>
      </c>
    </row>
    <row r="304" spans="2:15" x14ac:dyDescent="0.4">
      <c r="B304" s="74"/>
      <c r="C304" s="60"/>
      <c r="D304" s="426" t="str">
        <f>IF(C304="","",VLOOKUP(C304,団体基本情報!$B$13:$D$22,3,FALSE))</f>
        <v/>
      </c>
      <c r="E304" s="427" t="str">
        <f t="shared" si="12"/>
        <v/>
      </c>
      <c r="F304" s="428" t="str">
        <f t="shared" si="13"/>
        <v/>
      </c>
      <c r="G304" s="129" t="str">
        <f>IF(H304="","",VLOOKUP(H304,プルダウン用リスト!$K$1:$M$15,2,FALSE))</f>
        <v/>
      </c>
      <c r="H304" s="76"/>
      <c r="I304" s="61"/>
      <c r="J304" s="76"/>
      <c r="K304" s="146"/>
      <c r="L304" s="77"/>
      <c r="M304" s="78"/>
      <c r="N304" s="71"/>
      <c r="O304" s="432" t="str">
        <f t="shared" si="14"/>
        <v/>
      </c>
    </row>
    <row r="305" spans="2:15" x14ac:dyDescent="0.4">
      <c r="B305" s="74"/>
      <c r="C305" s="60"/>
      <c r="D305" s="426" t="str">
        <f>IF(C305="","",VLOOKUP(C305,団体基本情報!$B$13:$D$22,3,FALSE))</f>
        <v/>
      </c>
      <c r="E305" s="427" t="str">
        <f t="shared" si="12"/>
        <v/>
      </c>
      <c r="F305" s="428" t="str">
        <f t="shared" si="13"/>
        <v/>
      </c>
      <c r="G305" s="129" t="str">
        <f>IF(H305="","",VLOOKUP(H305,プルダウン用リスト!$K$1:$M$15,2,FALSE))</f>
        <v/>
      </c>
      <c r="H305" s="76"/>
      <c r="I305" s="61"/>
      <c r="J305" s="76"/>
      <c r="K305" s="146"/>
      <c r="L305" s="77"/>
      <c r="M305" s="78"/>
      <c r="N305" s="71"/>
      <c r="O305" s="432" t="str">
        <f t="shared" si="14"/>
        <v/>
      </c>
    </row>
    <row r="306" spans="2:15" x14ac:dyDescent="0.4">
      <c r="B306" s="74"/>
      <c r="C306" s="75"/>
      <c r="D306" s="426" t="str">
        <f>IF(C306="","",VLOOKUP(C306,団体基本情報!$B$13:$D$22,3,FALSE))</f>
        <v/>
      </c>
      <c r="E306" s="427" t="str">
        <f t="shared" si="12"/>
        <v/>
      </c>
      <c r="F306" s="428" t="str">
        <f t="shared" si="13"/>
        <v/>
      </c>
      <c r="G306" s="129" t="str">
        <f>IF(H306="","",VLOOKUP(H306,プルダウン用リスト!$K$1:$M$15,2,FALSE))</f>
        <v/>
      </c>
      <c r="H306" s="76"/>
      <c r="I306" s="76"/>
      <c r="J306" s="76"/>
      <c r="K306" s="146"/>
      <c r="L306" s="77"/>
      <c r="M306" s="78"/>
      <c r="N306" s="71"/>
      <c r="O306" s="432" t="str">
        <f t="shared" si="14"/>
        <v/>
      </c>
    </row>
    <row r="307" spans="2:15" x14ac:dyDescent="0.4">
      <c r="B307" s="74"/>
      <c r="C307" s="60"/>
      <c r="D307" s="426" t="str">
        <f>IF(C307="","",VLOOKUP(C307,団体基本情報!$B$13:$D$22,3,FALSE))</f>
        <v/>
      </c>
      <c r="E307" s="427" t="str">
        <f t="shared" si="12"/>
        <v/>
      </c>
      <c r="F307" s="428" t="str">
        <f t="shared" si="13"/>
        <v/>
      </c>
      <c r="G307" s="129" t="str">
        <f>IF(H307="","",VLOOKUP(H307,プルダウン用リスト!$K$1:$M$15,2,FALSE))</f>
        <v/>
      </c>
      <c r="H307" s="76"/>
      <c r="I307" s="61"/>
      <c r="J307" s="76"/>
      <c r="K307" s="146"/>
      <c r="L307" s="77"/>
      <c r="M307" s="78"/>
      <c r="N307" s="71"/>
      <c r="O307" s="432" t="str">
        <f t="shared" si="14"/>
        <v/>
      </c>
    </row>
    <row r="308" spans="2:15" x14ac:dyDescent="0.4">
      <c r="B308" s="74"/>
      <c r="C308" s="60"/>
      <c r="D308" s="426" t="str">
        <f>IF(C308="","",VLOOKUP(C308,団体基本情報!$B$13:$D$22,3,FALSE))</f>
        <v/>
      </c>
      <c r="E308" s="427" t="str">
        <f t="shared" si="12"/>
        <v/>
      </c>
      <c r="F308" s="428" t="str">
        <f t="shared" si="13"/>
        <v/>
      </c>
      <c r="G308" s="129" t="str">
        <f>IF(H308="","",VLOOKUP(H308,プルダウン用リスト!$K$1:$M$15,2,FALSE))</f>
        <v/>
      </c>
      <c r="H308" s="76"/>
      <c r="I308" s="61"/>
      <c r="J308" s="76"/>
      <c r="K308" s="146"/>
      <c r="L308" s="77"/>
      <c r="M308" s="78"/>
      <c r="N308" s="71"/>
      <c r="O308" s="432" t="str">
        <f t="shared" si="14"/>
        <v/>
      </c>
    </row>
    <row r="309" spans="2:15" x14ac:dyDescent="0.4">
      <c r="B309" s="74"/>
      <c r="C309" s="60"/>
      <c r="D309" s="426" t="str">
        <f>IF(C309="","",VLOOKUP(C309,団体基本情報!$B$13:$D$22,3,FALSE))</f>
        <v/>
      </c>
      <c r="E309" s="427" t="str">
        <f t="shared" si="12"/>
        <v/>
      </c>
      <c r="F309" s="428" t="str">
        <f t="shared" si="13"/>
        <v/>
      </c>
      <c r="G309" s="129" t="str">
        <f>IF(H309="","",VLOOKUP(H309,プルダウン用リスト!$K$1:$M$15,2,FALSE))</f>
        <v/>
      </c>
      <c r="H309" s="76"/>
      <c r="I309" s="76"/>
      <c r="J309" s="76"/>
      <c r="K309" s="146"/>
      <c r="L309" s="77"/>
      <c r="M309" s="78"/>
      <c r="N309" s="71"/>
      <c r="O309" s="432" t="str">
        <f t="shared" si="14"/>
        <v/>
      </c>
    </row>
    <row r="310" spans="2:15" x14ac:dyDescent="0.4">
      <c r="B310" s="74"/>
      <c r="C310" s="60"/>
      <c r="D310" s="426" t="str">
        <f>IF(C310="","",VLOOKUP(C310,団体基本情報!$B$13:$D$22,3,FALSE))</f>
        <v/>
      </c>
      <c r="E310" s="427" t="str">
        <f t="shared" si="12"/>
        <v/>
      </c>
      <c r="F310" s="428" t="str">
        <f t="shared" si="13"/>
        <v/>
      </c>
      <c r="G310" s="129" t="str">
        <f>IF(H310="","",VLOOKUP(H310,プルダウン用リスト!$K$1:$M$15,2,FALSE))</f>
        <v/>
      </c>
      <c r="H310" s="76"/>
      <c r="I310" s="61"/>
      <c r="J310" s="76"/>
      <c r="K310" s="146"/>
      <c r="L310" s="77"/>
      <c r="M310" s="78"/>
      <c r="N310" s="71"/>
      <c r="O310" s="432" t="str">
        <f t="shared" si="14"/>
        <v/>
      </c>
    </row>
    <row r="311" spans="2:15" x14ac:dyDescent="0.4">
      <c r="B311" s="74"/>
      <c r="C311" s="60"/>
      <c r="D311" s="426" t="str">
        <f>IF(C311="","",VLOOKUP(C311,団体基本情報!$B$13:$D$22,3,FALSE))</f>
        <v/>
      </c>
      <c r="E311" s="427" t="str">
        <f t="shared" si="12"/>
        <v/>
      </c>
      <c r="F311" s="428" t="str">
        <f t="shared" si="13"/>
        <v/>
      </c>
      <c r="G311" s="129" t="str">
        <f>IF(H311="","",VLOOKUP(H311,プルダウン用リスト!$K$1:$M$15,2,FALSE))</f>
        <v/>
      </c>
      <c r="H311" s="76"/>
      <c r="I311" s="61"/>
      <c r="J311" s="76"/>
      <c r="K311" s="146"/>
      <c r="L311" s="77"/>
      <c r="M311" s="78"/>
      <c r="N311" s="71"/>
      <c r="O311" s="432" t="str">
        <f t="shared" si="14"/>
        <v/>
      </c>
    </row>
    <row r="312" spans="2:15" x14ac:dyDescent="0.4">
      <c r="B312" s="74"/>
      <c r="C312" s="60"/>
      <c r="D312" s="426" t="str">
        <f>IF(C312="","",VLOOKUP(C312,団体基本情報!$B$13:$D$22,3,FALSE))</f>
        <v/>
      </c>
      <c r="E312" s="427" t="str">
        <f t="shared" si="12"/>
        <v/>
      </c>
      <c r="F312" s="428" t="str">
        <f t="shared" si="13"/>
        <v/>
      </c>
      <c r="G312" s="129" t="str">
        <f>IF(H312="","",VLOOKUP(H312,プルダウン用リスト!$K$1:$M$15,2,FALSE))</f>
        <v/>
      </c>
      <c r="H312" s="76"/>
      <c r="I312" s="76"/>
      <c r="J312" s="76"/>
      <c r="K312" s="146"/>
      <c r="L312" s="77"/>
      <c r="M312" s="78"/>
      <c r="N312" s="71"/>
      <c r="O312" s="432" t="str">
        <f t="shared" si="14"/>
        <v/>
      </c>
    </row>
    <row r="313" spans="2:15" x14ac:dyDescent="0.4">
      <c r="B313" s="74"/>
      <c r="C313" s="60"/>
      <c r="D313" s="426" t="str">
        <f>IF(C313="","",VLOOKUP(C313,団体基本情報!$B$13:$D$22,3,FALSE))</f>
        <v/>
      </c>
      <c r="E313" s="427" t="str">
        <f t="shared" si="12"/>
        <v/>
      </c>
      <c r="F313" s="428" t="str">
        <f t="shared" si="13"/>
        <v/>
      </c>
      <c r="G313" s="129" t="str">
        <f>IF(H313="","",VLOOKUP(H313,プルダウン用リスト!$K$1:$M$15,2,FALSE))</f>
        <v/>
      </c>
      <c r="H313" s="76"/>
      <c r="I313" s="61"/>
      <c r="J313" s="76"/>
      <c r="K313" s="146"/>
      <c r="L313" s="77"/>
      <c r="M313" s="78"/>
      <c r="N313" s="71"/>
      <c r="O313" s="432" t="str">
        <f t="shared" si="14"/>
        <v/>
      </c>
    </row>
    <row r="314" spans="2:15" x14ac:dyDescent="0.4">
      <c r="B314" s="74"/>
      <c r="C314" s="60"/>
      <c r="D314" s="426" t="str">
        <f>IF(C314="","",VLOOKUP(C314,団体基本情報!$B$13:$D$22,3,FALSE))</f>
        <v/>
      </c>
      <c r="E314" s="427" t="str">
        <f t="shared" si="12"/>
        <v/>
      </c>
      <c r="F314" s="428" t="str">
        <f t="shared" si="13"/>
        <v/>
      </c>
      <c r="G314" s="129" t="str">
        <f>IF(H314="","",VLOOKUP(H314,プルダウン用リスト!$K$1:$M$15,2,FALSE))</f>
        <v/>
      </c>
      <c r="H314" s="76"/>
      <c r="I314" s="61"/>
      <c r="J314" s="76"/>
      <c r="K314" s="146"/>
      <c r="L314" s="77"/>
      <c r="M314" s="78"/>
      <c r="N314" s="71"/>
      <c r="O314" s="432" t="str">
        <f t="shared" si="14"/>
        <v/>
      </c>
    </row>
    <row r="315" spans="2:15" x14ac:dyDescent="0.4">
      <c r="B315" s="74"/>
      <c r="C315" s="60"/>
      <c r="D315" s="426" t="str">
        <f>IF(C315="","",VLOOKUP(C315,団体基本情報!$B$13:$D$22,3,FALSE))</f>
        <v/>
      </c>
      <c r="E315" s="427" t="str">
        <f t="shared" si="12"/>
        <v/>
      </c>
      <c r="F315" s="428" t="str">
        <f t="shared" si="13"/>
        <v/>
      </c>
      <c r="G315" s="129" t="str">
        <f>IF(H315="","",VLOOKUP(H315,プルダウン用リスト!$K$1:$M$15,2,FALSE))</f>
        <v/>
      </c>
      <c r="H315" s="76"/>
      <c r="I315" s="76"/>
      <c r="J315" s="76"/>
      <c r="K315" s="146"/>
      <c r="L315" s="77"/>
      <c r="M315" s="78"/>
      <c r="N315" s="71"/>
      <c r="O315" s="432" t="str">
        <f t="shared" si="14"/>
        <v/>
      </c>
    </row>
    <row r="316" spans="2:15" x14ac:dyDescent="0.4">
      <c r="B316" s="74"/>
      <c r="C316" s="60"/>
      <c r="D316" s="426" t="str">
        <f>IF(C316="","",VLOOKUP(C316,団体基本情報!$B$13:$D$22,3,FALSE))</f>
        <v/>
      </c>
      <c r="E316" s="427" t="str">
        <f t="shared" si="12"/>
        <v/>
      </c>
      <c r="F316" s="428" t="str">
        <f t="shared" si="13"/>
        <v/>
      </c>
      <c r="G316" s="129" t="str">
        <f>IF(H316="","",VLOOKUP(H316,プルダウン用リスト!$K$1:$M$15,2,FALSE))</f>
        <v/>
      </c>
      <c r="H316" s="76"/>
      <c r="I316" s="61"/>
      <c r="J316" s="76"/>
      <c r="K316" s="146"/>
      <c r="L316" s="77"/>
      <c r="M316" s="78"/>
      <c r="N316" s="71"/>
      <c r="O316" s="432" t="str">
        <f t="shared" si="14"/>
        <v/>
      </c>
    </row>
    <row r="317" spans="2:15" x14ac:dyDescent="0.4">
      <c r="B317" s="74"/>
      <c r="C317" s="60"/>
      <c r="D317" s="426" t="str">
        <f>IF(C317="","",VLOOKUP(C317,団体基本情報!$B$13:$D$22,3,FALSE))</f>
        <v/>
      </c>
      <c r="E317" s="427" t="str">
        <f t="shared" si="12"/>
        <v/>
      </c>
      <c r="F317" s="428" t="str">
        <f t="shared" si="13"/>
        <v/>
      </c>
      <c r="G317" s="129" t="str">
        <f>IF(H317="","",VLOOKUP(H317,プルダウン用リスト!$K$1:$M$15,2,FALSE))</f>
        <v/>
      </c>
      <c r="H317" s="76"/>
      <c r="I317" s="61"/>
      <c r="J317" s="76"/>
      <c r="K317" s="146"/>
      <c r="L317" s="77"/>
      <c r="M317" s="78"/>
      <c r="N317" s="71"/>
      <c r="O317" s="432" t="str">
        <f t="shared" si="14"/>
        <v/>
      </c>
    </row>
    <row r="318" spans="2:15" x14ac:dyDescent="0.4">
      <c r="B318" s="74"/>
      <c r="C318" s="75"/>
      <c r="D318" s="426" t="str">
        <f>IF(C318="","",VLOOKUP(C318,団体基本情報!$B$13:$D$22,3,FALSE))</f>
        <v/>
      </c>
      <c r="E318" s="427" t="str">
        <f t="shared" si="12"/>
        <v/>
      </c>
      <c r="F318" s="428" t="str">
        <f t="shared" si="13"/>
        <v/>
      </c>
      <c r="G318" s="129" t="str">
        <f>IF(H318="","",VLOOKUP(H318,プルダウン用リスト!$K$1:$M$15,2,FALSE))</f>
        <v/>
      </c>
      <c r="H318" s="76"/>
      <c r="I318" s="76"/>
      <c r="J318" s="76"/>
      <c r="K318" s="146"/>
      <c r="L318" s="77"/>
      <c r="M318" s="78"/>
      <c r="N318" s="71"/>
      <c r="O318" s="432" t="str">
        <f t="shared" si="14"/>
        <v/>
      </c>
    </row>
    <row r="319" spans="2:15" x14ac:dyDescent="0.4">
      <c r="B319" s="74"/>
      <c r="C319" s="60"/>
      <c r="D319" s="426" t="str">
        <f>IF(C319="","",VLOOKUP(C319,団体基本情報!$B$13:$D$22,3,FALSE))</f>
        <v/>
      </c>
      <c r="E319" s="427" t="str">
        <f t="shared" si="12"/>
        <v/>
      </c>
      <c r="F319" s="428" t="str">
        <f t="shared" si="13"/>
        <v/>
      </c>
      <c r="G319" s="129" t="str">
        <f>IF(H319="","",VLOOKUP(H319,プルダウン用リスト!$K$1:$M$15,2,FALSE))</f>
        <v/>
      </c>
      <c r="H319" s="76"/>
      <c r="I319" s="61"/>
      <c r="J319" s="76"/>
      <c r="K319" s="146"/>
      <c r="L319" s="77"/>
      <c r="M319" s="78"/>
      <c r="N319" s="71"/>
      <c r="O319" s="432" t="str">
        <f t="shared" si="14"/>
        <v/>
      </c>
    </row>
    <row r="320" spans="2:15" x14ac:dyDescent="0.4">
      <c r="B320" s="74"/>
      <c r="C320" s="60"/>
      <c r="D320" s="426" t="str">
        <f>IF(C320="","",VLOOKUP(C320,団体基本情報!$B$13:$D$22,3,FALSE))</f>
        <v/>
      </c>
      <c r="E320" s="427" t="str">
        <f t="shared" si="12"/>
        <v/>
      </c>
      <c r="F320" s="428" t="str">
        <f t="shared" si="13"/>
        <v/>
      </c>
      <c r="G320" s="129" t="str">
        <f>IF(H320="","",VLOOKUP(H320,プルダウン用リスト!$K$1:$M$15,2,FALSE))</f>
        <v/>
      </c>
      <c r="H320" s="76"/>
      <c r="I320" s="61"/>
      <c r="J320" s="76"/>
      <c r="K320" s="146"/>
      <c r="L320" s="77"/>
      <c r="M320" s="78"/>
      <c r="N320" s="71"/>
      <c r="O320" s="432" t="str">
        <f t="shared" si="14"/>
        <v/>
      </c>
    </row>
    <row r="321" spans="2:15" x14ac:dyDescent="0.4">
      <c r="B321" s="74"/>
      <c r="C321" s="60"/>
      <c r="D321" s="426" t="str">
        <f>IF(C321="","",VLOOKUP(C321,団体基本情報!$B$13:$D$22,3,FALSE))</f>
        <v/>
      </c>
      <c r="E321" s="427" t="str">
        <f t="shared" si="12"/>
        <v/>
      </c>
      <c r="F321" s="428" t="str">
        <f t="shared" si="13"/>
        <v/>
      </c>
      <c r="G321" s="129" t="str">
        <f>IF(H321="","",VLOOKUP(H321,プルダウン用リスト!$K$1:$M$15,2,FALSE))</f>
        <v/>
      </c>
      <c r="H321" s="76"/>
      <c r="I321" s="76"/>
      <c r="J321" s="76"/>
      <c r="K321" s="146"/>
      <c r="L321" s="77"/>
      <c r="M321" s="78"/>
      <c r="N321" s="71"/>
      <c r="O321" s="432" t="str">
        <f t="shared" si="14"/>
        <v/>
      </c>
    </row>
    <row r="322" spans="2:15" x14ac:dyDescent="0.4">
      <c r="B322" s="74"/>
      <c r="C322" s="60"/>
      <c r="D322" s="426" t="str">
        <f>IF(C322="","",VLOOKUP(C322,団体基本情報!$B$13:$D$22,3,FALSE))</f>
        <v/>
      </c>
      <c r="E322" s="427" t="str">
        <f t="shared" si="12"/>
        <v/>
      </c>
      <c r="F322" s="428" t="str">
        <f t="shared" si="13"/>
        <v/>
      </c>
      <c r="G322" s="129" t="str">
        <f>IF(H322="","",VLOOKUP(H322,プルダウン用リスト!$K$1:$M$15,2,FALSE))</f>
        <v/>
      </c>
      <c r="H322" s="76"/>
      <c r="I322" s="61"/>
      <c r="J322" s="76"/>
      <c r="K322" s="146"/>
      <c r="L322" s="77"/>
      <c r="M322" s="78"/>
      <c r="N322" s="71"/>
      <c r="O322" s="432" t="str">
        <f t="shared" si="14"/>
        <v/>
      </c>
    </row>
    <row r="323" spans="2:15" x14ac:dyDescent="0.4">
      <c r="B323" s="74"/>
      <c r="C323" s="60"/>
      <c r="D323" s="426" t="str">
        <f>IF(C323="","",VLOOKUP(C323,団体基本情報!$B$13:$D$22,3,FALSE))</f>
        <v/>
      </c>
      <c r="E323" s="427" t="str">
        <f t="shared" si="12"/>
        <v/>
      </c>
      <c r="F323" s="428" t="str">
        <f t="shared" si="13"/>
        <v/>
      </c>
      <c r="G323" s="129" t="str">
        <f>IF(H323="","",VLOOKUP(H323,プルダウン用リスト!$K$1:$M$15,2,FALSE))</f>
        <v/>
      </c>
      <c r="H323" s="76"/>
      <c r="I323" s="61"/>
      <c r="J323" s="76"/>
      <c r="K323" s="146"/>
      <c r="L323" s="77"/>
      <c r="M323" s="78"/>
      <c r="N323" s="71"/>
      <c r="O323" s="432" t="str">
        <f t="shared" si="14"/>
        <v/>
      </c>
    </row>
    <row r="324" spans="2:15" x14ac:dyDescent="0.4">
      <c r="B324" s="74"/>
      <c r="C324" s="60"/>
      <c r="D324" s="426" t="str">
        <f>IF(C324="","",VLOOKUP(C324,団体基本情報!$B$13:$D$22,3,FALSE))</f>
        <v/>
      </c>
      <c r="E324" s="427" t="str">
        <f t="shared" si="12"/>
        <v/>
      </c>
      <c r="F324" s="428" t="str">
        <f t="shared" si="13"/>
        <v/>
      </c>
      <c r="G324" s="129" t="str">
        <f>IF(H324="","",VLOOKUP(H324,プルダウン用リスト!$K$1:$M$15,2,FALSE))</f>
        <v/>
      </c>
      <c r="H324" s="76"/>
      <c r="I324" s="76"/>
      <c r="J324" s="76"/>
      <c r="K324" s="146"/>
      <c r="L324" s="77"/>
      <c r="M324" s="78"/>
      <c r="N324" s="71"/>
      <c r="O324" s="432" t="str">
        <f t="shared" si="14"/>
        <v/>
      </c>
    </row>
    <row r="325" spans="2:15" x14ac:dyDescent="0.4">
      <c r="B325" s="74"/>
      <c r="C325" s="60"/>
      <c r="D325" s="426" t="str">
        <f>IF(C325="","",VLOOKUP(C325,団体基本情報!$B$13:$D$22,3,FALSE))</f>
        <v/>
      </c>
      <c r="E325" s="427" t="str">
        <f t="shared" si="12"/>
        <v/>
      </c>
      <c r="F325" s="428" t="str">
        <f t="shared" si="13"/>
        <v/>
      </c>
      <c r="G325" s="129" t="str">
        <f>IF(H325="","",VLOOKUP(H325,プルダウン用リスト!$K$1:$M$15,2,FALSE))</f>
        <v/>
      </c>
      <c r="H325" s="76"/>
      <c r="I325" s="61"/>
      <c r="J325" s="76"/>
      <c r="K325" s="146"/>
      <c r="L325" s="77"/>
      <c r="M325" s="78"/>
      <c r="N325" s="71"/>
      <c r="O325" s="432" t="str">
        <f t="shared" si="14"/>
        <v/>
      </c>
    </row>
    <row r="326" spans="2:15" x14ac:dyDescent="0.4">
      <c r="B326" s="74"/>
      <c r="C326" s="60"/>
      <c r="D326" s="426" t="str">
        <f>IF(C326="","",VLOOKUP(C326,団体基本情報!$B$13:$D$22,3,FALSE))</f>
        <v/>
      </c>
      <c r="E326" s="427" t="str">
        <f t="shared" si="12"/>
        <v/>
      </c>
      <c r="F326" s="428" t="str">
        <f t="shared" si="13"/>
        <v/>
      </c>
      <c r="G326" s="129" t="str">
        <f>IF(H326="","",VLOOKUP(H326,プルダウン用リスト!$K$1:$M$15,2,FALSE))</f>
        <v/>
      </c>
      <c r="H326" s="76"/>
      <c r="I326" s="61"/>
      <c r="J326" s="76"/>
      <c r="K326" s="146"/>
      <c r="L326" s="77"/>
      <c r="M326" s="78"/>
      <c r="N326" s="71"/>
      <c r="O326" s="432" t="str">
        <f t="shared" si="14"/>
        <v/>
      </c>
    </row>
    <row r="327" spans="2:15" x14ac:dyDescent="0.4">
      <c r="B327" s="74"/>
      <c r="C327" s="60"/>
      <c r="D327" s="426" t="str">
        <f>IF(C327="","",VLOOKUP(C327,団体基本情報!$B$13:$D$22,3,FALSE))</f>
        <v/>
      </c>
      <c r="E327" s="427" t="str">
        <f t="shared" ref="E327:E390" si="15">IF(F327="","",IF(F327="謝金","01.",IF(F327="旅費","02.",IF(F327="その他","04.","03."))))</f>
        <v/>
      </c>
      <c r="F327" s="428" t="str">
        <f t="shared" ref="F327:F390" si="16">IF(H327="","",IF(H327="謝金","謝金",IF(H327="旅費","旅費",IF(H327="対象外経費","その他","所費"))))</f>
        <v/>
      </c>
      <c r="G327" s="129" t="str">
        <f>IF(H327="","",VLOOKUP(H327,プルダウン用リスト!$K$1:$M$15,2,FALSE))</f>
        <v/>
      </c>
      <c r="H327" s="76"/>
      <c r="I327" s="76"/>
      <c r="J327" s="76"/>
      <c r="K327" s="146"/>
      <c r="L327" s="77"/>
      <c r="M327" s="78"/>
      <c r="N327" s="71"/>
      <c r="O327" s="432" t="str">
        <f t="shared" ref="O327:O390" si="17">IF(H327="対象外経費",M327,IF(N327="","",M327-N327))</f>
        <v/>
      </c>
    </row>
    <row r="328" spans="2:15" x14ac:dyDescent="0.4">
      <c r="B328" s="74"/>
      <c r="C328" s="60"/>
      <c r="D328" s="426" t="str">
        <f>IF(C328="","",VLOOKUP(C328,団体基本情報!$B$13:$D$22,3,FALSE))</f>
        <v/>
      </c>
      <c r="E328" s="427" t="str">
        <f t="shared" si="15"/>
        <v/>
      </c>
      <c r="F328" s="428" t="str">
        <f t="shared" si="16"/>
        <v/>
      </c>
      <c r="G328" s="129" t="str">
        <f>IF(H328="","",VLOOKUP(H328,プルダウン用リスト!$K$1:$M$15,2,FALSE))</f>
        <v/>
      </c>
      <c r="H328" s="76"/>
      <c r="I328" s="61"/>
      <c r="J328" s="76"/>
      <c r="K328" s="146"/>
      <c r="L328" s="77"/>
      <c r="M328" s="78"/>
      <c r="N328" s="71"/>
      <c r="O328" s="432" t="str">
        <f t="shared" si="17"/>
        <v/>
      </c>
    </row>
    <row r="329" spans="2:15" x14ac:dyDescent="0.4">
      <c r="B329" s="74"/>
      <c r="C329" s="60"/>
      <c r="D329" s="426" t="str">
        <f>IF(C329="","",VLOOKUP(C329,団体基本情報!$B$13:$D$22,3,FALSE))</f>
        <v/>
      </c>
      <c r="E329" s="427" t="str">
        <f t="shared" si="15"/>
        <v/>
      </c>
      <c r="F329" s="428" t="str">
        <f t="shared" si="16"/>
        <v/>
      </c>
      <c r="G329" s="129" t="str">
        <f>IF(H329="","",VLOOKUP(H329,プルダウン用リスト!$K$1:$M$15,2,FALSE))</f>
        <v/>
      </c>
      <c r="H329" s="76"/>
      <c r="I329" s="61"/>
      <c r="J329" s="76"/>
      <c r="K329" s="146"/>
      <c r="L329" s="77"/>
      <c r="M329" s="78"/>
      <c r="N329" s="71"/>
      <c r="O329" s="432" t="str">
        <f t="shared" si="17"/>
        <v/>
      </c>
    </row>
    <row r="330" spans="2:15" x14ac:dyDescent="0.4">
      <c r="B330" s="74"/>
      <c r="C330" s="75"/>
      <c r="D330" s="426" t="str">
        <f>IF(C330="","",VLOOKUP(C330,団体基本情報!$B$13:$D$22,3,FALSE))</f>
        <v/>
      </c>
      <c r="E330" s="427" t="str">
        <f t="shared" si="15"/>
        <v/>
      </c>
      <c r="F330" s="428" t="str">
        <f t="shared" si="16"/>
        <v/>
      </c>
      <c r="G330" s="129" t="str">
        <f>IF(H330="","",VLOOKUP(H330,プルダウン用リスト!$K$1:$M$15,2,FALSE))</f>
        <v/>
      </c>
      <c r="H330" s="76"/>
      <c r="I330" s="76"/>
      <c r="J330" s="76"/>
      <c r="K330" s="146"/>
      <c r="L330" s="77"/>
      <c r="M330" s="78"/>
      <c r="N330" s="71"/>
      <c r="O330" s="432" t="str">
        <f t="shared" si="17"/>
        <v/>
      </c>
    </row>
    <row r="331" spans="2:15" x14ac:dyDescent="0.4">
      <c r="B331" s="74"/>
      <c r="C331" s="60"/>
      <c r="D331" s="426" t="str">
        <f>IF(C331="","",VLOOKUP(C331,団体基本情報!$B$13:$D$22,3,FALSE))</f>
        <v/>
      </c>
      <c r="E331" s="427" t="str">
        <f t="shared" si="15"/>
        <v/>
      </c>
      <c r="F331" s="428" t="str">
        <f t="shared" si="16"/>
        <v/>
      </c>
      <c r="G331" s="129" t="str">
        <f>IF(H331="","",VLOOKUP(H331,プルダウン用リスト!$K$1:$M$15,2,FALSE))</f>
        <v/>
      </c>
      <c r="H331" s="76"/>
      <c r="I331" s="61"/>
      <c r="J331" s="76"/>
      <c r="K331" s="146"/>
      <c r="L331" s="77"/>
      <c r="M331" s="78"/>
      <c r="N331" s="71"/>
      <c r="O331" s="432" t="str">
        <f t="shared" si="17"/>
        <v/>
      </c>
    </row>
    <row r="332" spans="2:15" x14ac:dyDescent="0.4">
      <c r="B332" s="74"/>
      <c r="C332" s="60"/>
      <c r="D332" s="426" t="str">
        <f>IF(C332="","",VLOOKUP(C332,団体基本情報!$B$13:$D$22,3,FALSE))</f>
        <v/>
      </c>
      <c r="E332" s="427" t="str">
        <f t="shared" si="15"/>
        <v/>
      </c>
      <c r="F332" s="428" t="str">
        <f t="shared" si="16"/>
        <v/>
      </c>
      <c r="G332" s="129" t="str">
        <f>IF(H332="","",VLOOKUP(H332,プルダウン用リスト!$K$1:$M$15,2,FALSE))</f>
        <v/>
      </c>
      <c r="H332" s="76"/>
      <c r="I332" s="61"/>
      <c r="J332" s="76"/>
      <c r="K332" s="146"/>
      <c r="L332" s="77"/>
      <c r="M332" s="78"/>
      <c r="N332" s="71"/>
      <c r="O332" s="432" t="str">
        <f t="shared" si="17"/>
        <v/>
      </c>
    </row>
    <row r="333" spans="2:15" x14ac:dyDescent="0.4">
      <c r="B333" s="74"/>
      <c r="C333" s="60"/>
      <c r="D333" s="426" t="str">
        <f>IF(C333="","",VLOOKUP(C333,団体基本情報!$B$13:$D$22,3,FALSE))</f>
        <v/>
      </c>
      <c r="E333" s="427" t="str">
        <f t="shared" si="15"/>
        <v/>
      </c>
      <c r="F333" s="428" t="str">
        <f t="shared" si="16"/>
        <v/>
      </c>
      <c r="G333" s="129" t="str">
        <f>IF(H333="","",VLOOKUP(H333,プルダウン用リスト!$K$1:$M$15,2,FALSE))</f>
        <v/>
      </c>
      <c r="H333" s="76"/>
      <c r="I333" s="76"/>
      <c r="J333" s="76"/>
      <c r="K333" s="146"/>
      <c r="L333" s="77"/>
      <c r="M333" s="78"/>
      <c r="N333" s="71"/>
      <c r="O333" s="432" t="str">
        <f t="shared" si="17"/>
        <v/>
      </c>
    </row>
    <row r="334" spans="2:15" x14ac:dyDescent="0.4">
      <c r="B334" s="74"/>
      <c r="C334" s="60"/>
      <c r="D334" s="426" t="str">
        <f>IF(C334="","",VLOOKUP(C334,団体基本情報!$B$13:$D$22,3,FALSE))</f>
        <v/>
      </c>
      <c r="E334" s="427" t="str">
        <f t="shared" si="15"/>
        <v/>
      </c>
      <c r="F334" s="428" t="str">
        <f t="shared" si="16"/>
        <v/>
      </c>
      <c r="G334" s="129" t="str">
        <f>IF(H334="","",VLOOKUP(H334,プルダウン用リスト!$K$1:$M$15,2,FALSE))</f>
        <v/>
      </c>
      <c r="H334" s="76"/>
      <c r="I334" s="61"/>
      <c r="J334" s="76"/>
      <c r="K334" s="146"/>
      <c r="L334" s="77"/>
      <c r="M334" s="78"/>
      <c r="N334" s="71"/>
      <c r="O334" s="432" t="str">
        <f t="shared" si="17"/>
        <v/>
      </c>
    </row>
    <row r="335" spans="2:15" x14ac:dyDescent="0.4">
      <c r="B335" s="74"/>
      <c r="C335" s="60"/>
      <c r="D335" s="426" t="str">
        <f>IF(C335="","",VLOOKUP(C335,団体基本情報!$B$13:$D$22,3,FALSE))</f>
        <v/>
      </c>
      <c r="E335" s="427" t="str">
        <f t="shared" si="15"/>
        <v/>
      </c>
      <c r="F335" s="428" t="str">
        <f t="shared" si="16"/>
        <v/>
      </c>
      <c r="G335" s="129" t="str">
        <f>IF(H335="","",VLOOKUP(H335,プルダウン用リスト!$K$1:$M$15,2,FALSE))</f>
        <v/>
      </c>
      <c r="H335" s="76"/>
      <c r="I335" s="61"/>
      <c r="J335" s="76"/>
      <c r="K335" s="146"/>
      <c r="L335" s="77"/>
      <c r="M335" s="78"/>
      <c r="N335" s="71"/>
      <c r="O335" s="432" t="str">
        <f t="shared" si="17"/>
        <v/>
      </c>
    </row>
    <row r="336" spans="2:15" x14ac:dyDescent="0.4">
      <c r="B336" s="74"/>
      <c r="C336" s="60"/>
      <c r="D336" s="426" t="str">
        <f>IF(C336="","",VLOOKUP(C336,団体基本情報!$B$13:$D$22,3,FALSE))</f>
        <v/>
      </c>
      <c r="E336" s="427" t="str">
        <f t="shared" si="15"/>
        <v/>
      </c>
      <c r="F336" s="428" t="str">
        <f t="shared" si="16"/>
        <v/>
      </c>
      <c r="G336" s="129" t="str">
        <f>IF(H336="","",VLOOKUP(H336,プルダウン用リスト!$K$1:$M$15,2,FALSE))</f>
        <v/>
      </c>
      <c r="H336" s="76"/>
      <c r="I336" s="76"/>
      <c r="J336" s="76"/>
      <c r="K336" s="146"/>
      <c r="L336" s="77"/>
      <c r="M336" s="78"/>
      <c r="N336" s="71"/>
      <c r="O336" s="432" t="str">
        <f t="shared" si="17"/>
        <v/>
      </c>
    </row>
    <row r="337" spans="2:15" x14ac:dyDescent="0.4">
      <c r="B337" s="74"/>
      <c r="C337" s="60"/>
      <c r="D337" s="426" t="str">
        <f>IF(C337="","",VLOOKUP(C337,団体基本情報!$B$13:$D$22,3,FALSE))</f>
        <v/>
      </c>
      <c r="E337" s="427" t="str">
        <f t="shared" si="15"/>
        <v/>
      </c>
      <c r="F337" s="428" t="str">
        <f t="shared" si="16"/>
        <v/>
      </c>
      <c r="G337" s="129" t="str">
        <f>IF(H337="","",VLOOKUP(H337,プルダウン用リスト!$K$1:$M$15,2,FALSE))</f>
        <v/>
      </c>
      <c r="H337" s="76"/>
      <c r="I337" s="61"/>
      <c r="J337" s="76"/>
      <c r="K337" s="146"/>
      <c r="L337" s="77"/>
      <c r="M337" s="78"/>
      <c r="N337" s="71"/>
      <c r="O337" s="432" t="str">
        <f t="shared" si="17"/>
        <v/>
      </c>
    </row>
    <row r="338" spans="2:15" x14ac:dyDescent="0.4">
      <c r="B338" s="74"/>
      <c r="C338" s="60"/>
      <c r="D338" s="426" t="str">
        <f>IF(C338="","",VLOOKUP(C338,団体基本情報!$B$13:$D$22,3,FALSE))</f>
        <v/>
      </c>
      <c r="E338" s="427" t="str">
        <f t="shared" si="15"/>
        <v/>
      </c>
      <c r="F338" s="428" t="str">
        <f t="shared" si="16"/>
        <v/>
      </c>
      <c r="G338" s="129" t="str">
        <f>IF(H338="","",VLOOKUP(H338,プルダウン用リスト!$K$1:$M$15,2,FALSE))</f>
        <v/>
      </c>
      <c r="H338" s="76"/>
      <c r="I338" s="61"/>
      <c r="J338" s="76"/>
      <c r="K338" s="146"/>
      <c r="L338" s="77"/>
      <c r="M338" s="78"/>
      <c r="N338" s="71"/>
      <c r="O338" s="432" t="str">
        <f t="shared" si="17"/>
        <v/>
      </c>
    </row>
    <row r="339" spans="2:15" x14ac:dyDescent="0.4">
      <c r="B339" s="74"/>
      <c r="C339" s="60"/>
      <c r="D339" s="426" t="str">
        <f>IF(C339="","",VLOOKUP(C339,団体基本情報!$B$13:$D$22,3,FALSE))</f>
        <v/>
      </c>
      <c r="E339" s="427" t="str">
        <f t="shared" si="15"/>
        <v/>
      </c>
      <c r="F339" s="428" t="str">
        <f t="shared" si="16"/>
        <v/>
      </c>
      <c r="G339" s="129" t="str">
        <f>IF(H339="","",VLOOKUP(H339,プルダウン用リスト!$K$1:$M$15,2,FALSE))</f>
        <v/>
      </c>
      <c r="H339" s="76"/>
      <c r="I339" s="76"/>
      <c r="J339" s="76"/>
      <c r="K339" s="146"/>
      <c r="L339" s="77"/>
      <c r="M339" s="78"/>
      <c r="N339" s="71"/>
      <c r="O339" s="432" t="str">
        <f t="shared" si="17"/>
        <v/>
      </c>
    </row>
    <row r="340" spans="2:15" x14ac:dyDescent="0.4">
      <c r="B340" s="74"/>
      <c r="C340" s="60"/>
      <c r="D340" s="426" t="str">
        <f>IF(C340="","",VLOOKUP(C340,団体基本情報!$B$13:$D$22,3,FALSE))</f>
        <v/>
      </c>
      <c r="E340" s="427" t="str">
        <f t="shared" si="15"/>
        <v/>
      </c>
      <c r="F340" s="428" t="str">
        <f t="shared" si="16"/>
        <v/>
      </c>
      <c r="G340" s="129" t="str">
        <f>IF(H340="","",VLOOKUP(H340,プルダウン用リスト!$K$1:$M$15,2,FALSE))</f>
        <v/>
      </c>
      <c r="H340" s="76"/>
      <c r="I340" s="61"/>
      <c r="J340" s="76"/>
      <c r="K340" s="146"/>
      <c r="L340" s="77"/>
      <c r="M340" s="78"/>
      <c r="N340" s="71"/>
      <c r="O340" s="432" t="str">
        <f t="shared" si="17"/>
        <v/>
      </c>
    </row>
    <row r="341" spans="2:15" x14ac:dyDescent="0.4">
      <c r="B341" s="74"/>
      <c r="C341" s="60"/>
      <c r="D341" s="426" t="str">
        <f>IF(C341="","",VLOOKUP(C341,団体基本情報!$B$13:$D$22,3,FALSE))</f>
        <v/>
      </c>
      <c r="E341" s="427" t="str">
        <f t="shared" si="15"/>
        <v/>
      </c>
      <c r="F341" s="428" t="str">
        <f t="shared" si="16"/>
        <v/>
      </c>
      <c r="G341" s="129" t="str">
        <f>IF(H341="","",VLOOKUP(H341,プルダウン用リスト!$K$1:$M$15,2,FALSE))</f>
        <v/>
      </c>
      <c r="H341" s="76"/>
      <c r="I341" s="61"/>
      <c r="J341" s="76"/>
      <c r="K341" s="146"/>
      <c r="L341" s="77"/>
      <c r="M341" s="78"/>
      <c r="N341" s="71"/>
      <c r="O341" s="432" t="str">
        <f t="shared" si="17"/>
        <v/>
      </c>
    </row>
    <row r="342" spans="2:15" x14ac:dyDescent="0.4">
      <c r="B342" s="74"/>
      <c r="C342" s="75"/>
      <c r="D342" s="426" t="str">
        <f>IF(C342="","",VLOOKUP(C342,団体基本情報!$B$13:$D$22,3,FALSE))</f>
        <v/>
      </c>
      <c r="E342" s="427" t="str">
        <f t="shared" si="15"/>
        <v/>
      </c>
      <c r="F342" s="428" t="str">
        <f t="shared" si="16"/>
        <v/>
      </c>
      <c r="G342" s="129" t="str">
        <f>IF(H342="","",VLOOKUP(H342,プルダウン用リスト!$K$1:$M$15,2,FALSE))</f>
        <v/>
      </c>
      <c r="H342" s="76"/>
      <c r="I342" s="76"/>
      <c r="J342" s="76"/>
      <c r="K342" s="146"/>
      <c r="L342" s="77"/>
      <c r="M342" s="78"/>
      <c r="N342" s="71"/>
      <c r="O342" s="432" t="str">
        <f t="shared" si="17"/>
        <v/>
      </c>
    </row>
    <row r="343" spans="2:15" x14ac:dyDescent="0.4">
      <c r="B343" s="74"/>
      <c r="C343" s="60"/>
      <c r="D343" s="426" t="str">
        <f>IF(C343="","",VLOOKUP(C343,団体基本情報!$B$13:$D$22,3,FALSE))</f>
        <v/>
      </c>
      <c r="E343" s="427" t="str">
        <f t="shared" si="15"/>
        <v/>
      </c>
      <c r="F343" s="428" t="str">
        <f t="shared" si="16"/>
        <v/>
      </c>
      <c r="G343" s="129" t="str">
        <f>IF(H343="","",VLOOKUP(H343,プルダウン用リスト!$K$1:$M$15,2,FALSE))</f>
        <v/>
      </c>
      <c r="H343" s="76"/>
      <c r="I343" s="61"/>
      <c r="J343" s="76"/>
      <c r="K343" s="146"/>
      <c r="L343" s="77"/>
      <c r="M343" s="78"/>
      <c r="N343" s="71"/>
      <c r="O343" s="432" t="str">
        <f t="shared" si="17"/>
        <v/>
      </c>
    </row>
    <row r="344" spans="2:15" x14ac:dyDescent="0.4">
      <c r="B344" s="74"/>
      <c r="C344" s="60"/>
      <c r="D344" s="426" t="str">
        <f>IF(C344="","",VLOOKUP(C344,団体基本情報!$B$13:$D$22,3,FALSE))</f>
        <v/>
      </c>
      <c r="E344" s="427" t="str">
        <f t="shared" si="15"/>
        <v/>
      </c>
      <c r="F344" s="428" t="str">
        <f t="shared" si="16"/>
        <v/>
      </c>
      <c r="G344" s="129" t="str">
        <f>IF(H344="","",VLOOKUP(H344,プルダウン用リスト!$K$1:$M$15,2,FALSE))</f>
        <v/>
      </c>
      <c r="H344" s="76"/>
      <c r="I344" s="61"/>
      <c r="J344" s="76"/>
      <c r="K344" s="146"/>
      <c r="L344" s="77"/>
      <c r="M344" s="78"/>
      <c r="N344" s="71"/>
      <c r="O344" s="432" t="str">
        <f t="shared" si="17"/>
        <v/>
      </c>
    </row>
    <row r="345" spans="2:15" x14ac:dyDescent="0.4">
      <c r="B345" s="74"/>
      <c r="C345" s="60"/>
      <c r="D345" s="426" t="str">
        <f>IF(C345="","",VLOOKUP(C345,団体基本情報!$B$13:$D$22,3,FALSE))</f>
        <v/>
      </c>
      <c r="E345" s="427" t="str">
        <f t="shared" si="15"/>
        <v/>
      </c>
      <c r="F345" s="428" t="str">
        <f t="shared" si="16"/>
        <v/>
      </c>
      <c r="G345" s="129" t="str">
        <f>IF(H345="","",VLOOKUP(H345,プルダウン用リスト!$K$1:$M$15,2,FALSE))</f>
        <v/>
      </c>
      <c r="H345" s="76"/>
      <c r="I345" s="76"/>
      <c r="J345" s="76"/>
      <c r="K345" s="146"/>
      <c r="L345" s="77"/>
      <c r="M345" s="78"/>
      <c r="N345" s="71"/>
      <c r="O345" s="432" t="str">
        <f t="shared" si="17"/>
        <v/>
      </c>
    </row>
    <row r="346" spans="2:15" x14ac:dyDescent="0.4">
      <c r="B346" s="74"/>
      <c r="C346" s="60"/>
      <c r="D346" s="426" t="str">
        <f>IF(C346="","",VLOOKUP(C346,団体基本情報!$B$13:$D$22,3,FALSE))</f>
        <v/>
      </c>
      <c r="E346" s="427" t="str">
        <f t="shared" si="15"/>
        <v/>
      </c>
      <c r="F346" s="428" t="str">
        <f t="shared" si="16"/>
        <v/>
      </c>
      <c r="G346" s="129" t="str">
        <f>IF(H346="","",VLOOKUP(H346,プルダウン用リスト!$K$1:$M$15,2,FALSE))</f>
        <v/>
      </c>
      <c r="H346" s="76"/>
      <c r="I346" s="61"/>
      <c r="J346" s="76"/>
      <c r="K346" s="146"/>
      <c r="L346" s="77"/>
      <c r="M346" s="78"/>
      <c r="N346" s="71"/>
      <c r="O346" s="432" t="str">
        <f t="shared" si="17"/>
        <v/>
      </c>
    </row>
    <row r="347" spans="2:15" x14ac:dyDescent="0.4">
      <c r="B347" s="74"/>
      <c r="C347" s="60"/>
      <c r="D347" s="426" t="str">
        <f>IF(C347="","",VLOOKUP(C347,団体基本情報!$B$13:$D$22,3,FALSE))</f>
        <v/>
      </c>
      <c r="E347" s="427" t="str">
        <f t="shared" si="15"/>
        <v/>
      </c>
      <c r="F347" s="428" t="str">
        <f t="shared" si="16"/>
        <v/>
      </c>
      <c r="G347" s="129" t="str">
        <f>IF(H347="","",VLOOKUP(H347,プルダウン用リスト!$K$1:$M$15,2,FALSE))</f>
        <v/>
      </c>
      <c r="H347" s="76"/>
      <c r="I347" s="61"/>
      <c r="J347" s="76"/>
      <c r="K347" s="146"/>
      <c r="L347" s="77"/>
      <c r="M347" s="78"/>
      <c r="N347" s="71"/>
      <c r="O347" s="432" t="str">
        <f t="shared" si="17"/>
        <v/>
      </c>
    </row>
    <row r="348" spans="2:15" x14ac:dyDescent="0.4">
      <c r="B348" s="74"/>
      <c r="C348" s="60"/>
      <c r="D348" s="426" t="str">
        <f>IF(C348="","",VLOOKUP(C348,団体基本情報!$B$13:$D$22,3,FALSE))</f>
        <v/>
      </c>
      <c r="E348" s="427" t="str">
        <f t="shared" si="15"/>
        <v/>
      </c>
      <c r="F348" s="428" t="str">
        <f t="shared" si="16"/>
        <v/>
      </c>
      <c r="G348" s="129" t="str">
        <f>IF(H348="","",VLOOKUP(H348,プルダウン用リスト!$K$1:$M$15,2,FALSE))</f>
        <v/>
      </c>
      <c r="H348" s="76"/>
      <c r="I348" s="76"/>
      <c r="J348" s="76"/>
      <c r="K348" s="146"/>
      <c r="L348" s="77"/>
      <c r="M348" s="78"/>
      <c r="N348" s="71"/>
      <c r="O348" s="432" t="str">
        <f t="shared" si="17"/>
        <v/>
      </c>
    </row>
    <row r="349" spans="2:15" x14ac:dyDescent="0.4">
      <c r="B349" s="74"/>
      <c r="C349" s="60"/>
      <c r="D349" s="426" t="str">
        <f>IF(C349="","",VLOOKUP(C349,団体基本情報!$B$13:$D$22,3,FALSE))</f>
        <v/>
      </c>
      <c r="E349" s="427" t="str">
        <f t="shared" si="15"/>
        <v/>
      </c>
      <c r="F349" s="428" t="str">
        <f t="shared" si="16"/>
        <v/>
      </c>
      <c r="G349" s="129" t="str">
        <f>IF(H349="","",VLOOKUP(H349,プルダウン用リスト!$K$1:$M$15,2,FALSE))</f>
        <v/>
      </c>
      <c r="H349" s="76"/>
      <c r="I349" s="61"/>
      <c r="J349" s="76"/>
      <c r="K349" s="146"/>
      <c r="L349" s="77"/>
      <c r="M349" s="78"/>
      <c r="N349" s="71"/>
      <c r="O349" s="432" t="str">
        <f t="shared" si="17"/>
        <v/>
      </c>
    </row>
    <row r="350" spans="2:15" x14ac:dyDescent="0.4">
      <c r="B350" s="74"/>
      <c r="C350" s="60"/>
      <c r="D350" s="426" t="str">
        <f>IF(C350="","",VLOOKUP(C350,団体基本情報!$B$13:$D$22,3,FALSE))</f>
        <v/>
      </c>
      <c r="E350" s="427" t="str">
        <f t="shared" si="15"/>
        <v/>
      </c>
      <c r="F350" s="428" t="str">
        <f t="shared" si="16"/>
        <v/>
      </c>
      <c r="G350" s="129" t="str">
        <f>IF(H350="","",VLOOKUP(H350,プルダウン用リスト!$K$1:$M$15,2,FALSE))</f>
        <v/>
      </c>
      <c r="H350" s="76"/>
      <c r="I350" s="61"/>
      <c r="J350" s="76"/>
      <c r="K350" s="146"/>
      <c r="L350" s="77"/>
      <c r="M350" s="78"/>
      <c r="N350" s="71"/>
      <c r="O350" s="432" t="str">
        <f t="shared" si="17"/>
        <v/>
      </c>
    </row>
    <row r="351" spans="2:15" x14ac:dyDescent="0.4">
      <c r="B351" s="74"/>
      <c r="C351" s="60"/>
      <c r="D351" s="426" t="str">
        <f>IF(C351="","",VLOOKUP(C351,団体基本情報!$B$13:$D$22,3,FALSE))</f>
        <v/>
      </c>
      <c r="E351" s="427" t="str">
        <f t="shared" si="15"/>
        <v/>
      </c>
      <c r="F351" s="428" t="str">
        <f t="shared" si="16"/>
        <v/>
      </c>
      <c r="G351" s="129" t="str">
        <f>IF(H351="","",VLOOKUP(H351,プルダウン用リスト!$K$1:$M$15,2,FALSE))</f>
        <v/>
      </c>
      <c r="H351" s="76"/>
      <c r="I351" s="76"/>
      <c r="J351" s="76"/>
      <c r="K351" s="146"/>
      <c r="L351" s="77"/>
      <c r="M351" s="78"/>
      <c r="N351" s="71"/>
      <c r="O351" s="432" t="str">
        <f t="shared" si="17"/>
        <v/>
      </c>
    </row>
    <row r="352" spans="2:15" x14ac:dyDescent="0.4">
      <c r="B352" s="74"/>
      <c r="C352" s="60"/>
      <c r="D352" s="426" t="str">
        <f>IF(C352="","",VLOOKUP(C352,団体基本情報!$B$13:$D$22,3,FALSE))</f>
        <v/>
      </c>
      <c r="E352" s="427" t="str">
        <f t="shared" si="15"/>
        <v/>
      </c>
      <c r="F352" s="428" t="str">
        <f t="shared" si="16"/>
        <v/>
      </c>
      <c r="G352" s="129" t="str">
        <f>IF(H352="","",VLOOKUP(H352,プルダウン用リスト!$K$1:$M$15,2,FALSE))</f>
        <v/>
      </c>
      <c r="H352" s="76"/>
      <c r="I352" s="61"/>
      <c r="J352" s="76"/>
      <c r="K352" s="146"/>
      <c r="L352" s="77"/>
      <c r="M352" s="78"/>
      <c r="N352" s="71"/>
      <c r="O352" s="432" t="str">
        <f t="shared" si="17"/>
        <v/>
      </c>
    </row>
    <row r="353" spans="2:15" x14ac:dyDescent="0.4">
      <c r="B353" s="74"/>
      <c r="C353" s="60"/>
      <c r="D353" s="426" t="str">
        <f>IF(C353="","",VLOOKUP(C353,団体基本情報!$B$13:$D$22,3,FALSE))</f>
        <v/>
      </c>
      <c r="E353" s="427" t="str">
        <f t="shared" si="15"/>
        <v/>
      </c>
      <c r="F353" s="428" t="str">
        <f t="shared" si="16"/>
        <v/>
      </c>
      <c r="G353" s="129" t="str">
        <f>IF(H353="","",VLOOKUP(H353,プルダウン用リスト!$K$1:$M$15,2,FALSE))</f>
        <v/>
      </c>
      <c r="H353" s="76"/>
      <c r="I353" s="61"/>
      <c r="J353" s="76"/>
      <c r="K353" s="146"/>
      <c r="L353" s="77"/>
      <c r="M353" s="78"/>
      <c r="N353" s="71"/>
      <c r="O353" s="432" t="str">
        <f t="shared" si="17"/>
        <v/>
      </c>
    </row>
    <row r="354" spans="2:15" x14ac:dyDescent="0.4">
      <c r="B354" s="74"/>
      <c r="C354" s="75"/>
      <c r="D354" s="426" t="str">
        <f>IF(C354="","",VLOOKUP(C354,団体基本情報!$B$13:$D$22,3,FALSE))</f>
        <v/>
      </c>
      <c r="E354" s="427" t="str">
        <f t="shared" si="15"/>
        <v/>
      </c>
      <c r="F354" s="428" t="str">
        <f t="shared" si="16"/>
        <v/>
      </c>
      <c r="G354" s="129" t="str">
        <f>IF(H354="","",VLOOKUP(H354,プルダウン用リスト!$K$1:$M$15,2,FALSE))</f>
        <v/>
      </c>
      <c r="H354" s="76"/>
      <c r="I354" s="76"/>
      <c r="J354" s="76"/>
      <c r="K354" s="146"/>
      <c r="L354" s="77"/>
      <c r="M354" s="78"/>
      <c r="N354" s="71"/>
      <c r="O354" s="432" t="str">
        <f t="shared" si="17"/>
        <v/>
      </c>
    </row>
    <row r="355" spans="2:15" x14ac:dyDescent="0.4">
      <c r="B355" s="74"/>
      <c r="C355" s="60"/>
      <c r="D355" s="426" t="str">
        <f>IF(C355="","",VLOOKUP(C355,団体基本情報!$B$13:$D$22,3,FALSE))</f>
        <v/>
      </c>
      <c r="E355" s="427" t="str">
        <f t="shared" si="15"/>
        <v/>
      </c>
      <c r="F355" s="428" t="str">
        <f t="shared" si="16"/>
        <v/>
      </c>
      <c r="G355" s="129" t="str">
        <f>IF(H355="","",VLOOKUP(H355,プルダウン用リスト!$K$1:$M$15,2,FALSE))</f>
        <v/>
      </c>
      <c r="H355" s="76"/>
      <c r="I355" s="61"/>
      <c r="J355" s="76"/>
      <c r="K355" s="146"/>
      <c r="L355" s="77"/>
      <c r="M355" s="78"/>
      <c r="N355" s="71"/>
      <c r="O355" s="432" t="str">
        <f t="shared" si="17"/>
        <v/>
      </c>
    </row>
    <row r="356" spans="2:15" x14ac:dyDescent="0.4">
      <c r="B356" s="74"/>
      <c r="C356" s="60"/>
      <c r="D356" s="426" t="str">
        <f>IF(C356="","",VLOOKUP(C356,団体基本情報!$B$13:$D$22,3,FALSE))</f>
        <v/>
      </c>
      <c r="E356" s="427" t="str">
        <f t="shared" si="15"/>
        <v/>
      </c>
      <c r="F356" s="428" t="str">
        <f t="shared" si="16"/>
        <v/>
      </c>
      <c r="G356" s="129" t="str">
        <f>IF(H356="","",VLOOKUP(H356,プルダウン用リスト!$K$1:$M$15,2,FALSE))</f>
        <v/>
      </c>
      <c r="H356" s="76"/>
      <c r="I356" s="61"/>
      <c r="J356" s="76"/>
      <c r="K356" s="146"/>
      <c r="L356" s="77"/>
      <c r="M356" s="78"/>
      <c r="N356" s="71"/>
      <c r="O356" s="432" t="str">
        <f t="shared" si="17"/>
        <v/>
      </c>
    </row>
    <row r="357" spans="2:15" x14ac:dyDescent="0.4">
      <c r="B357" s="74"/>
      <c r="C357" s="60"/>
      <c r="D357" s="426" t="str">
        <f>IF(C357="","",VLOOKUP(C357,団体基本情報!$B$13:$D$22,3,FALSE))</f>
        <v/>
      </c>
      <c r="E357" s="427" t="str">
        <f t="shared" si="15"/>
        <v/>
      </c>
      <c r="F357" s="428" t="str">
        <f t="shared" si="16"/>
        <v/>
      </c>
      <c r="G357" s="129" t="str">
        <f>IF(H357="","",VLOOKUP(H357,プルダウン用リスト!$K$1:$M$15,2,FALSE))</f>
        <v/>
      </c>
      <c r="H357" s="76"/>
      <c r="I357" s="76"/>
      <c r="J357" s="76"/>
      <c r="K357" s="146"/>
      <c r="L357" s="77"/>
      <c r="M357" s="78"/>
      <c r="N357" s="71"/>
      <c r="O357" s="432" t="str">
        <f t="shared" si="17"/>
        <v/>
      </c>
    </row>
    <row r="358" spans="2:15" x14ac:dyDescent="0.4">
      <c r="B358" s="74"/>
      <c r="C358" s="60"/>
      <c r="D358" s="426" t="str">
        <f>IF(C358="","",VLOOKUP(C358,団体基本情報!$B$13:$D$22,3,FALSE))</f>
        <v/>
      </c>
      <c r="E358" s="427" t="str">
        <f t="shared" si="15"/>
        <v/>
      </c>
      <c r="F358" s="428" t="str">
        <f t="shared" si="16"/>
        <v/>
      </c>
      <c r="G358" s="129" t="str">
        <f>IF(H358="","",VLOOKUP(H358,プルダウン用リスト!$K$1:$M$15,2,FALSE))</f>
        <v/>
      </c>
      <c r="H358" s="76"/>
      <c r="I358" s="61"/>
      <c r="J358" s="76"/>
      <c r="K358" s="146"/>
      <c r="L358" s="77"/>
      <c r="M358" s="78"/>
      <c r="N358" s="71"/>
      <c r="O358" s="432" t="str">
        <f t="shared" si="17"/>
        <v/>
      </c>
    </row>
    <row r="359" spans="2:15" x14ac:dyDescent="0.4">
      <c r="B359" s="74"/>
      <c r="C359" s="60"/>
      <c r="D359" s="426" t="str">
        <f>IF(C359="","",VLOOKUP(C359,団体基本情報!$B$13:$D$22,3,FALSE))</f>
        <v/>
      </c>
      <c r="E359" s="427" t="str">
        <f t="shared" si="15"/>
        <v/>
      </c>
      <c r="F359" s="428" t="str">
        <f t="shared" si="16"/>
        <v/>
      </c>
      <c r="G359" s="129" t="str">
        <f>IF(H359="","",VLOOKUP(H359,プルダウン用リスト!$K$1:$M$15,2,FALSE))</f>
        <v/>
      </c>
      <c r="H359" s="76"/>
      <c r="I359" s="61"/>
      <c r="J359" s="76"/>
      <c r="K359" s="146"/>
      <c r="L359" s="77"/>
      <c r="M359" s="78"/>
      <c r="N359" s="71"/>
      <c r="O359" s="432" t="str">
        <f t="shared" si="17"/>
        <v/>
      </c>
    </row>
    <row r="360" spans="2:15" x14ac:dyDescent="0.4">
      <c r="B360" s="74"/>
      <c r="C360" s="60"/>
      <c r="D360" s="426" t="str">
        <f>IF(C360="","",VLOOKUP(C360,団体基本情報!$B$13:$D$22,3,FALSE))</f>
        <v/>
      </c>
      <c r="E360" s="427" t="str">
        <f t="shared" si="15"/>
        <v/>
      </c>
      <c r="F360" s="428" t="str">
        <f t="shared" si="16"/>
        <v/>
      </c>
      <c r="G360" s="129" t="str">
        <f>IF(H360="","",VLOOKUP(H360,プルダウン用リスト!$K$1:$M$15,2,FALSE))</f>
        <v/>
      </c>
      <c r="H360" s="76"/>
      <c r="I360" s="76"/>
      <c r="J360" s="76"/>
      <c r="K360" s="146"/>
      <c r="L360" s="77"/>
      <c r="M360" s="78"/>
      <c r="N360" s="71"/>
      <c r="O360" s="432" t="str">
        <f t="shared" si="17"/>
        <v/>
      </c>
    </row>
    <row r="361" spans="2:15" x14ac:dyDescent="0.4">
      <c r="B361" s="74"/>
      <c r="C361" s="60"/>
      <c r="D361" s="426" t="str">
        <f>IF(C361="","",VLOOKUP(C361,団体基本情報!$B$13:$D$22,3,FALSE))</f>
        <v/>
      </c>
      <c r="E361" s="427" t="str">
        <f t="shared" si="15"/>
        <v/>
      </c>
      <c r="F361" s="428" t="str">
        <f t="shared" si="16"/>
        <v/>
      </c>
      <c r="G361" s="129" t="str">
        <f>IF(H361="","",VLOOKUP(H361,プルダウン用リスト!$K$1:$M$15,2,FALSE))</f>
        <v/>
      </c>
      <c r="H361" s="76"/>
      <c r="I361" s="61"/>
      <c r="J361" s="76"/>
      <c r="K361" s="146"/>
      <c r="L361" s="77"/>
      <c r="M361" s="78"/>
      <c r="N361" s="71"/>
      <c r="O361" s="432" t="str">
        <f t="shared" si="17"/>
        <v/>
      </c>
    </row>
    <row r="362" spans="2:15" x14ac:dyDescent="0.4">
      <c r="B362" s="74"/>
      <c r="C362" s="60"/>
      <c r="D362" s="426" t="str">
        <f>IF(C362="","",VLOOKUP(C362,団体基本情報!$B$13:$D$22,3,FALSE))</f>
        <v/>
      </c>
      <c r="E362" s="427" t="str">
        <f t="shared" si="15"/>
        <v/>
      </c>
      <c r="F362" s="428" t="str">
        <f t="shared" si="16"/>
        <v/>
      </c>
      <c r="G362" s="129" t="str">
        <f>IF(H362="","",VLOOKUP(H362,プルダウン用リスト!$K$1:$M$15,2,FALSE))</f>
        <v/>
      </c>
      <c r="H362" s="76"/>
      <c r="I362" s="61"/>
      <c r="J362" s="76"/>
      <c r="K362" s="146"/>
      <c r="L362" s="77"/>
      <c r="M362" s="78"/>
      <c r="N362" s="71"/>
      <c r="O362" s="432" t="str">
        <f t="shared" si="17"/>
        <v/>
      </c>
    </row>
    <row r="363" spans="2:15" x14ac:dyDescent="0.4">
      <c r="B363" s="74"/>
      <c r="C363" s="60"/>
      <c r="D363" s="426" t="str">
        <f>IF(C363="","",VLOOKUP(C363,団体基本情報!$B$13:$D$22,3,FALSE))</f>
        <v/>
      </c>
      <c r="E363" s="427" t="str">
        <f t="shared" si="15"/>
        <v/>
      </c>
      <c r="F363" s="428" t="str">
        <f t="shared" si="16"/>
        <v/>
      </c>
      <c r="G363" s="129" t="str">
        <f>IF(H363="","",VLOOKUP(H363,プルダウン用リスト!$K$1:$M$15,2,FALSE))</f>
        <v/>
      </c>
      <c r="H363" s="76"/>
      <c r="I363" s="76"/>
      <c r="J363" s="76"/>
      <c r="K363" s="146"/>
      <c r="L363" s="77"/>
      <c r="M363" s="78"/>
      <c r="N363" s="71"/>
      <c r="O363" s="432" t="str">
        <f t="shared" si="17"/>
        <v/>
      </c>
    </row>
    <row r="364" spans="2:15" x14ac:dyDescent="0.4">
      <c r="B364" s="74"/>
      <c r="C364" s="60"/>
      <c r="D364" s="426" t="str">
        <f>IF(C364="","",VLOOKUP(C364,団体基本情報!$B$13:$D$22,3,FALSE))</f>
        <v/>
      </c>
      <c r="E364" s="427" t="str">
        <f t="shared" si="15"/>
        <v/>
      </c>
      <c r="F364" s="428" t="str">
        <f t="shared" si="16"/>
        <v/>
      </c>
      <c r="G364" s="129" t="str">
        <f>IF(H364="","",VLOOKUP(H364,プルダウン用リスト!$K$1:$M$15,2,FALSE))</f>
        <v/>
      </c>
      <c r="H364" s="76"/>
      <c r="I364" s="61"/>
      <c r="J364" s="76"/>
      <c r="K364" s="146"/>
      <c r="L364" s="77"/>
      <c r="M364" s="78"/>
      <c r="N364" s="71"/>
      <c r="O364" s="432" t="str">
        <f t="shared" si="17"/>
        <v/>
      </c>
    </row>
    <row r="365" spans="2:15" x14ac:dyDescent="0.4">
      <c r="B365" s="74"/>
      <c r="C365" s="60"/>
      <c r="D365" s="426" t="str">
        <f>IF(C365="","",VLOOKUP(C365,団体基本情報!$B$13:$D$22,3,FALSE))</f>
        <v/>
      </c>
      <c r="E365" s="427" t="str">
        <f t="shared" si="15"/>
        <v/>
      </c>
      <c r="F365" s="428" t="str">
        <f t="shared" si="16"/>
        <v/>
      </c>
      <c r="G365" s="129" t="str">
        <f>IF(H365="","",VLOOKUP(H365,プルダウン用リスト!$K$1:$M$15,2,FALSE))</f>
        <v/>
      </c>
      <c r="H365" s="76"/>
      <c r="I365" s="61"/>
      <c r="J365" s="76"/>
      <c r="K365" s="146"/>
      <c r="L365" s="77"/>
      <c r="M365" s="78"/>
      <c r="N365" s="71"/>
      <c r="O365" s="432" t="str">
        <f t="shared" si="17"/>
        <v/>
      </c>
    </row>
    <row r="366" spans="2:15" x14ac:dyDescent="0.4">
      <c r="B366" s="74"/>
      <c r="C366" s="75"/>
      <c r="D366" s="426" t="str">
        <f>IF(C366="","",VLOOKUP(C366,団体基本情報!$B$13:$D$22,3,FALSE))</f>
        <v/>
      </c>
      <c r="E366" s="427" t="str">
        <f t="shared" si="15"/>
        <v/>
      </c>
      <c r="F366" s="428" t="str">
        <f t="shared" si="16"/>
        <v/>
      </c>
      <c r="G366" s="129" t="str">
        <f>IF(H366="","",VLOOKUP(H366,プルダウン用リスト!$K$1:$M$15,2,FALSE))</f>
        <v/>
      </c>
      <c r="H366" s="76"/>
      <c r="I366" s="76"/>
      <c r="J366" s="76"/>
      <c r="K366" s="146"/>
      <c r="L366" s="77"/>
      <c r="M366" s="78"/>
      <c r="N366" s="71"/>
      <c r="O366" s="432" t="str">
        <f t="shared" si="17"/>
        <v/>
      </c>
    </row>
    <row r="367" spans="2:15" x14ac:dyDescent="0.4">
      <c r="B367" s="74"/>
      <c r="C367" s="60"/>
      <c r="D367" s="426" t="str">
        <f>IF(C367="","",VLOOKUP(C367,団体基本情報!$B$13:$D$22,3,FALSE))</f>
        <v/>
      </c>
      <c r="E367" s="427" t="str">
        <f t="shared" si="15"/>
        <v/>
      </c>
      <c r="F367" s="428" t="str">
        <f t="shared" si="16"/>
        <v/>
      </c>
      <c r="G367" s="129" t="str">
        <f>IF(H367="","",VLOOKUP(H367,プルダウン用リスト!$K$1:$M$15,2,FALSE))</f>
        <v/>
      </c>
      <c r="H367" s="76"/>
      <c r="I367" s="61"/>
      <c r="J367" s="76"/>
      <c r="K367" s="146"/>
      <c r="L367" s="77"/>
      <c r="M367" s="78"/>
      <c r="N367" s="71"/>
      <c r="O367" s="432" t="str">
        <f t="shared" si="17"/>
        <v/>
      </c>
    </row>
    <row r="368" spans="2:15" x14ac:dyDescent="0.4">
      <c r="B368" s="74"/>
      <c r="C368" s="60"/>
      <c r="D368" s="426" t="str">
        <f>IF(C368="","",VLOOKUP(C368,団体基本情報!$B$13:$D$22,3,FALSE))</f>
        <v/>
      </c>
      <c r="E368" s="427" t="str">
        <f t="shared" si="15"/>
        <v/>
      </c>
      <c r="F368" s="428" t="str">
        <f t="shared" si="16"/>
        <v/>
      </c>
      <c r="G368" s="129" t="str">
        <f>IF(H368="","",VLOOKUP(H368,プルダウン用リスト!$K$1:$M$15,2,FALSE))</f>
        <v/>
      </c>
      <c r="H368" s="76"/>
      <c r="I368" s="61"/>
      <c r="J368" s="76"/>
      <c r="K368" s="146"/>
      <c r="L368" s="77"/>
      <c r="M368" s="78"/>
      <c r="N368" s="71"/>
      <c r="O368" s="432" t="str">
        <f t="shared" si="17"/>
        <v/>
      </c>
    </row>
    <row r="369" spans="2:15" x14ac:dyDescent="0.4">
      <c r="B369" s="74"/>
      <c r="C369" s="60"/>
      <c r="D369" s="426" t="str">
        <f>IF(C369="","",VLOOKUP(C369,団体基本情報!$B$13:$D$22,3,FALSE))</f>
        <v/>
      </c>
      <c r="E369" s="427" t="str">
        <f t="shared" si="15"/>
        <v/>
      </c>
      <c r="F369" s="428" t="str">
        <f t="shared" si="16"/>
        <v/>
      </c>
      <c r="G369" s="129" t="str">
        <f>IF(H369="","",VLOOKUP(H369,プルダウン用リスト!$K$1:$M$15,2,FALSE))</f>
        <v/>
      </c>
      <c r="H369" s="76"/>
      <c r="I369" s="76"/>
      <c r="J369" s="76"/>
      <c r="K369" s="146"/>
      <c r="L369" s="77"/>
      <c r="M369" s="78"/>
      <c r="N369" s="71"/>
      <c r="O369" s="432" t="str">
        <f t="shared" si="17"/>
        <v/>
      </c>
    </row>
    <row r="370" spans="2:15" x14ac:dyDescent="0.4">
      <c r="B370" s="74"/>
      <c r="C370" s="60"/>
      <c r="D370" s="426" t="str">
        <f>IF(C370="","",VLOOKUP(C370,団体基本情報!$B$13:$D$22,3,FALSE))</f>
        <v/>
      </c>
      <c r="E370" s="427" t="str">
        <f t="shared" si="15"/>
        <v/>
      </c>
      <c r="F370" s="428" t="str">
        <f t="shared" si="16"/>
        <v/>
      </c>
      <c r="G370" s="129" t="str">
        <f>IF(H370="","",VLOOKUP(H370,プルダウン用リスト!$K$1:$M$15,2,FALSE))</f>
        <v/>
      </c>
      <c r="H370" s="76"/>
      <c r="I370" s="61"/>
      <c r="J370" s="76"/>
      <c r="K370" s="146"/>
      <c r="L370" s="77"/>
      <c r="M370" s="78"/>
      <c r="N370" s="71"/>
      <c r="O370" s="432" t="str">
        <f t="shared" si="17"/>
        <v/>
      </c>
    </row>
    <row r="371" spans="2:15" x14ac:dyDescent="0.4">
      <c r="B371" s="74"/>
      <c r="C371" s="60"/>
      <c r="D371" s="426" t="str">
        <f>IF(C371="","",VLOOKUP(C371,団体基本情報!$B$13:$D$22,3,FALSE))</f>
        <v/>
      </c>
      <c r="E371" s="427" t="str">
        <f t="shared" si="15"/>
        <v/>
      </c>
      <c r="F371" s="428" t="str">
        <f t="shared" si="16"/>
        <v/>
      </c>
      <c r="G371" s="129" t="str">
        <f>IF(H371="","",VLOOKUP(H371,プルダウン用リスト!$K$1:$M$15,2,FALSE))</f>
        <v/>
      </c>
      <c r="H371" s="76"/>
      <c r="I371" s="61"/>
      <c r="J371" s="76"/>
      <c r="K371" s="146"/>
      <c r="L371" s="77"/>
      <c r="M371" s="78"/>
      <c r="N371" s="71"/>
      <c r="O371" s="432" t="str">
        <f t="shared" si="17"/>
        <v/>
      </c>
    </row>
    <row r="372" spans="2:15" x14ac:dyDescent="0.4">
      <c r="B372" s="74"/>
      <c r="C372" s="60"/>
      <c r="D372" s="426" t="str">
        <f>IF(C372="","",VLOOKUP(C372,団体基本情報!$B$13:$D$22,3,FALSE))</f>
        <v/>
      </c>
      <c r="E372" s="427" t="str">
        <f t="shared" si="15"/>
        <v/>
      </c>
      <c r="F372" s="428" t="str">
        <f t="shared" si="16"/>
        <v/>
      </c>
      <c r="G372" s="129" t="str">
        <f>IF(H372="","",VLOOKUP(H372,プルダウン用リスト!$K$1:$M$15,2,FALSE))</f>
        <v/>
      </c>
      <c r="H372" s="76"/>
      <c r="I372" s="76"/>
      <c r="J372" s="76"/>
      <c r="K372" s="146"/>
      <c r="L372" s="77"/>
      <c r="M372" s="78"/>
      <c r="N372" s="71"/>
      <c r="O372" s="432" t="str">
        <f t="shared" si="17"/>
        <v/>
      </c>
    </row>
    <row r="373" spans="2:15" x14ac:dyDescent="0.4">
      <c r="B373" s="74"/>
      <c r="C373" s="60"/>
      <c r="D373" s="426" t="str">
        <f>IF(C373="","",VLOOKUP(C373,団体基本情報!$B$13:$D$22,3,FALSE))</f>
        <v/>
      </c>
      <c r="E373" s="427" t="str">
        <f t="shared" si="15"/>
        <v/>
      </c>
      <c r="F373" s="428" t="str">
        <f t="shared" si="16"/>
        <v/>
      </c>
      <c r="G373" s="129" t="str">
        <f>IF(H373="","",VLOOKUP(H373,プルダウン用リスト!$K$1:$M$15,2,FALSE))</f>
        <v/>
      </c>
      <c r="H373" s="76"/>
      <c r="I373" s="61"/>
      <c r="J373" s="76"/>
      <c r="K373" s="146"/>
      <c r="L373" s="77"/>
      <c r="M373" s="78"/>
      <c r="N373" s="71"/>
      <c r="O373" s="432" t="str">
        <f t="shared" si="17"/>
        <v/>
      </c>
    </row>
    <row r="374" spans="2:15" x14ac:dyDescent="0.4">
      <c r="B374" s="74"/>
      <c r="C374" s="60"/>
      <c r="D374" s="426" t="str">
        <f>IF(C374="","",VLOOKUP(C374,団体基本情報!$B$13:$D$22,3,FALSE))</f>
        <v/>
      </c>
      <c r="E374" s="427" t="str">
        <f t="shared" si="15"/>
        <v/>
      </c>
      <c r="F374" s="428" t="str">
        <f t="shared" si="16"/>
        <v/>
      </c>
      <c r="G374" s="129" t="str">
        <f>IF(H374="","",VLOOKUP(H374,プルダウン用リスト!$K$1:$M$15,2,FALSE))</f>
        <v/>
      </c>
      <c r="H374" s="76"/>
      <c r="I374" s="61"/>
      <c r="J374" s="76"/>
      <c r="K374" s="146"/>
      <c r="L374" s="77"/>
      <c r="M374" s="78"/>
      <c r="N374" s="71"/>
      <c r="O374" s="432" t="str">
        <f t="shared" si="17"/>
        <v/>
      </c>
    </row>
    <row r="375" spans="2:15" x14ac:dyDescent="0.4">
      <c r="B375" s="74"/>
      <c r="C375" s="60"/>
      <c r="D375" s="426" t="str">
        <f>IF(C375="","",VLOOKUP(C375,団体基本情報!$B$13:$D$22,3,FALSE))</f>
        <v/>
      </c>
      <c r="E375" s="427" t="str">
        <f t="shared" si="15"/>
        <v/>
      </c>
      <c r="F375" s="428" t="str">
        <f t="shared" si="16"/>
        <v/>
      </c>
      <c r="G375" s="129" t="str">
        <f>IF(H375="","",VLOOKUP(H375,プルダウン用リスト!$K$1:$M$15,2,FALSE))</f>
        <v/>
      </c>
      <c r="H375" s="76"/>
      <c r="I375" s="76"/>
      <c r="J375" s="76"/>
      <c r="K375" s="146"/>
      <c r="L375" s="77"/>
      <c r="M375" s="78"/>
      <c r="N375" s="71"/>
      <c r="O375" s="432" t="str">
        <f t="shared" si="17"/>
        <v/>
      </c>
    </row>
    <row r="376" spans="2:15" x14ac:dyDescent="0.4">
      <c r="B376" s="74"/>
      <c r="C376" s="60"/>
      <c r="D376" s="426" t="str">
        <f>IF(C376="","",VLOOKUP(C376,団体基本情報!$B$13:$D$22,3,FALSE))</f>
        <v/>
      </c>
      <c r="E376" s="427" t="str">
        <f t="shared" si="15"/>
        <v/>
      </c>
      <c r="F376" s="428" t="str">
        <f t="shared" si="16"/>
        <v/>
      </c>
      <c r="G376" s="129" t="str">
        <f>IF(H376="","",VLOOKUP(H376,プルダウン用リスト!$K$1:$M$15,2,FALSE))</f>
        <v/>
      </c>
      <c r="H376" s="76"/>
      <c r="I376" s="61"/>
      <c r="J376" s="76"/>
      <c r="K376" s="146"/>
      <c r="L376" s="77"/>
      <c r="M376" s="78"/>
      <c r="N376" s="71"/>
      <c r="O376" s="432" t="str">
        <f t="shared" si="17"/>
        <v/>
      </c>
    </row>
    <row r="377" spans="2:15" x14ac:dyDescent="0.4">
      <c r="B377" s="74"/>
      <c r="C377" s="60"/>
      <c r="D377" s="426" t="str">
        <f>IF(C377="","",VLOOKUP(C377,団体基本情報!$B$13:$D$22,3,FALSE))</f>
        <v/>
      </c>
      <c r="E377" s="427" t="str">
        <f t="shared" si="15"/>
        <v/>
      </c>
      <c r="F377" s="428" t="str">
        <f t="shared" si="16"/>
        <v/>
      </c>
      <c r="G377" s="129" t="str">
        <f>IF(H377="","",VLOOKUP(H377,プルダウン用リスト!$K$1:$M$15,2,FALSE))</f>
        <v/>
      </c>
      <c r="H377" s="76"/>
      <c r="I377" s="61"/>
      <c r="J377" s="76"/>
      <c r="K377" s="146"/>
      <c r="L377" s="77"/>
      <c r="M377" s="78"/>
      <c r="N377" s="71"/>
      <c r="O377" s="432" t="str">
        <f t="shared" si="17"/>
        <v/>
      </c>
    </row>
    <row r="378" spans="2:15" x14ac:dyDescent="0.4">
      <c r="B378" s="74"/>
      <c r="C378" s="75"/>
      <c r="D378" s="426" t="str">
        <f>IF(C378="","",VLOOKUP(C378,団体基本情報!$B$13:$D$22,3,FALSE))</f>
        <v/>
      </c>
      <c r="E378" s="427" t="str">
        <f t="shared" si="15"/>
        <v/>
      </c>
      <c r="F378" s="428" t="str">
        <f t="shared" si="16"/>
        <v/>
      </c>
      <c r="G378" s="129" t="str">
        <f>IF(H378="","",VLOOKUP(H378,プルダウン用リスト!$K$1:$M$15,2,FALSE))</f>
        <v/>
      </c>
      <c r="H378" s="76"/>
      <c r="I378" s="76"/>
      <c r="J378" s="76"/>
      <c r="K378" s="146"/>
      <c r="L378" s="77"/>
      <c r="M378" s="78"/>
      <c r="N378" s="71"/>
      <c r="O378" s="432" t="str">
        <f t="shared" si="17"/>
        <v/>
      </c>
    </row>
    <row r="379" spans="2:15" x14ac:dyDescent="0.4">
      <c r="B379" s="74"/>
      <c r="C379" s="60"/>
      <c r="D379" s="426" t="str">
        <f>IF(C379="","",VLOOKUP(C379,団体基本情報!$B$13:$D$22,3,FALSE))</f>
        <v/>
      </c>
      <c r="E379" s="427" t="str">
        <f t="shared" si="15"/>
        <v/>
      </c>
      <c r="F379" s="428" t="str">
        <f t="shared" si="16"/>
        <v/>
      </c>
      <c r="G379" s="129" t="str">
        <f>IF(H379="","",VLOOKUP(H379,プルダウン用リスト!$K$1:$M$15,2,FALSE))</f>
        <v/>
      </c>
      <c r="H379" s="76"/>
      <c r="I379" s="61"/>
      <c r="J379" s="76"/>
      <c r="K379" s="146"/>
      <c r="L379" s="77"/>
      <c r="M379" s="78"/>
      <c r="N379" s="71"/>
      <c r="O379" s="432" t="str">
        <f t="shared" si="17"/>
        <v/>
      </c>
    </row>
    <row r="380" spans="2:15" x14ac:dyDescent="0.4">
      <c r="B380" s="74"/>
      <c r="C380" s="60"/>
      <c r="D380" s="426" t="str">
        <f>IF(C380="","",VLOOKUP(C380,団体基本情報!$B$13:$D$22,3,FALSE))</f>
        <v/>
      </c>
      <c r="E380" s="427" t="str">
        <f t="shared" si="15"/>
        <v/>
      </c>
      <c r="F380" s="428" t="str">
        <f t="shared" si="16"/>
        <v/>
      </c>
      <c r="G380" s="129" t="str">
        <f>IF(H380="","",VLOOKUP(H380,プルダウン用リスト!$K$1:$M$15,2,FALSE))</f>
        <v/>
      </c>
      <c r="H380" s="76"/>
      <c r="I380" s="61"/>
      <c r="J380" s="76"/>
      <c r="K380" s="146"/>
      <c r="L380" s="77"/>
      <c r="M380" s="78"/>
      <c r="N380" s="71"/>
      <c r="O380" s="432" t="str">
        <f t="shared" si="17"/>
        <v/>
      </c>
    </row>
    <row r="381" spans="2:15" x14ac:dyDescent="0.4">
      <c r="B381" s="74"/>
      <c r="C381" s="60"/>
      <c r="D381" s="426" t="str">
        <f>IF(C381="","",VLOOKUP(C381,団体基本情報!$B$13:$D$22,3,FALSE))</f>
        <v/>
      </c>
      <c r="E381" s="427" t="str">
        <f t="shared" si="15"/>
        <v/>
      </c>
      <c r="F381" s="428" t="str">
        <f t="shared" si="16"/>
        <v/>
      </c>
      <c r="G381" s="129" t="str">
        <f>IF(H381="","",VLOOKUP(H381,プルダウン用リスト!$K$1:$M$15,2,FALSE))</f>
        <v/>
      </c>
      <c r="H381" s="76"/>
      <c r="I381" s="76"/>
      <c r="J381" s="76"/>
      <c r="K381" s="146"/>
      <c r="L381" s="77"/>
      <c r="M381" s="78"/>
      <c r="N381" s="71"/>
      <c r="O381" s="432" t="str">
        <f t="shared" si="17"/>
        <v/>
      </c>
    </row>
    <row r="382" spans="2:15" x14ac:dyDescent="0.4">
      <c r="B382" s="74"/>
      <c r="C382" s="60"/>
      <c r="D382" s="426" t="str">
        <f>IF(C382="","",VLOOKUP(C382,団体基本情報!$B$13:$D$22,3,FALSE))</f>
        <v/>
      </c>
      <c r="E382" s="427" t="str">
        <f t="shared" si="15"/>
        <v/>
      </c>
      <c r="F382" s="428" t="str">
        <f t="shared" si="16"/>
        <v/>
      </c>
      <c r="G382" s="129" t="str">
        <f>IF(H382="","",VLOOKUP(H382,プルダウン用リスト!$K$1:$M$15,2,FALSE))</f>
        <v/>
      </c>
      <c r="H382" s="76"/>
      <c r="I382" s="61"/>
      <c r="J382" s="76"/>
      <c r="K382" s="146"/>
      <c r="L382" s="77"/>
      <c r="M382" s="78"/>
      <c r="N382" s="71"/>
      <c r="O382" s="432" t="str">
        <f t="shared" si="17"/>
        <v/>
      </c>
    </row>
    <row r="383" spans="2:15" x14ac:dyDescent="0.4">
      <c r="B383" s="74"/>
      <c r="C383" s="60"/>
      <c r="D383" s="426" t="str">
        <f>IF(C383="","",VLOOKUP(C383,団体基本情報!$B$13:$D$22,3,FALSE))</f>
        <v/>
      </c>
      <c r="E383" s="427" t="str">
        <f t="shared" si="15"/>
        <v/>
      </c>
      <c r="F383" s="428" t="str">
        <f t="shared" si="16"/>
        <v/>
      </c>
      <c r="G383" s="129" t="str">
        <f>IF(H383="","",VLOOKUP(H383,プルダウン用リスト!$K$1:$M$15,2,FALSE))</f>
        <v/>
      </c>
      <c r="H383" s="76"/>
      <c r="I383" s="61"/>
      <c r="J383" s="76"/>
      <c r="K383" s="146"/>
      <c r="L383" s="77"/>
      <c r="M383" s="78"/>
      <c r="N383" s="71"/>
      <c r="O383" s="432" t="str">
        <f t="shared" si="17"/>
        <v/>
      </c>
    </row>
    <row r="384" spans="2:15" x14ac:dyDescent="0.4">
      <c r="B384" s="74"/>
      <c r="C384" s="60"/>
      <c r="D384" s="426" t="str">
        <f>IF(C384="","",VLOOKUP(C384,団体基本情報!$B$13:$D$22,3,FALSE))</f>
        <v/>
      </c>
      <c r="E384" s="427" t="str">
        <f t="shared" si="15"/>
        <v/>
      </c>
      <c r="F384" s="428" t="str">
        <f t="shared" si="16"/>
        <v/>
      </c>
      <c r="G384" s="129" t="str">
        <f>IF(H384="","",VLOOKUP(H384,プルダウン用リスト!$K$1:$M$15,2,FALSE))</f>
        <v/>
      </c>
      <c r="H384" s="76"/>
      <c r="I384" s="76"/>
      <c r="J384" s="76"/>
      <c r="K384" s="146"/>
      <c r="L384" s="77"/>
      <c r="M384" s="78"/>
      <c r="N384" s="71"/>
      <c r="O384" s="432" t="str">
        <f t="shared" si="17"/>
        <v/>
      </c>
    </row>
    <row r="385" spans="2:15" x14ac:dyDescent="0.4">
      <c r="B385" s="74"/>
      <c r="C385" s="60"/>
      <c r="D385" s="426" t="str">
        <f>IF(C385="","",VLOOKUP(C385,団体基本情報!$B$13:$D$22,3,FALSE))</f>
        <v/>
      </c>
      <c r="E385" s="427" t="str">
        <f t="shared" si="15"/>
        <v/>
      </c>
      <c r="F385" s="428" t="str">
        <f t="shared" si="16"/>
        <v/>
      </c>
      <c r="G385" s="129" t="str">
        <f>IF(H385="","",VLOOKUP(H385,プルダウン用リスト!$K$1:$M$15,2,FALSE))</f>
        <v/>
      </c>
      <c r="H385" s="76"/>
      <c r="I385" s="61"/>
      <c r="J385" s="76"/>
      <c r="K385" s="146"/>
      <c r="L385" s="77"/>
      <c r="M385" s="78"/>
      <c r="N385" s="71"/>
      <c r="O385" s="432" t="str">
        <f t="shared" si="17"/>
        <v/>
      </c>
    </row>
    <row r="386" spans="2:15" x14ac:dyDescent="0.4">
      <c r="B386" s="74"/>
      <c r="C386" s="60"/>
      <c r="D386" s="426" t="str">
        <f>IF(C386="","",VLOOKUP(C386,団体基本情報!$B$13:$D$22,3,FALSE))</f>
        <v/>
      </c>
      <c r="E386" s="427" t="str">
        <f t="shared" si="15"/>
        <v/>
      </c>
      <c r="F386" s="428" t="str">
        <f t="shared" si="16"/>
        <v/>
      </c>
      <c r="G386" s="129" t="str">
        <f>IF(H386="","",VLOOKUP(H386,プルダウン用リスト!$K$1:$M$15,2,FALSE))</f>
        <v/>
      </c>
      <c r="H386" s="76"/>
      <c r="I386" s="61"/>
      <c r="J386" s="76"/>
      <c r="K386" s="146"/>
      <c r="L386" s="77"/>
      <c r="M386" s="78"/>
      <c r="N386" s="71"/>
      <c r="O386" s="432" t="str">
        <f t="shared" si="17"/>
        <v/>
      </c>
    </row>
    <row r="387" spans="2:15" x14ac:dyDescent="0.4">
      <c r="B387" s="74"/>
      <c r="C387" s="60"/>
      <c r="D387" s="426" t="str">
        <f>IF(C387="","",VLOOKUP(C387,団体基本情報!$B$13:$D$22,3,FALSE))</f>
        <v/>
      </c>
      <c r="E387" s="427" t="str">
        <f t="shared" si="15"/>
        <v/>
      </c>
      <c r="F387" s="428" t="str">
        <f t="shared" si="16"/>
        <v/>
      </c>
      <c r="G387" s="129" t="str">
        <f>IF(H387="","",VLOOKUP(H387,プルダウン用リスト!$K$1:$M$15,2,FALSE))</f>
        <v/>
      </c>
      <c r="H387" s="76"/>
      <c r="I387" s="76"/>
      <c r="J387" s="76"/>
      <c r="K387" s="146"/>
      <c r="L387" s="77"/>
      <c r="M387" s="78"/>
      <c r="N387" s="71"/>
      <c r="O387" s="432" t="str">
        <f t="shared" si="17"/>
        <v/>
      </c>
    </row>
    <row r="388" spans="2:15" x14ac:dyDescent="0.4">
      <c r="B388" s="74"/>
      <c r="C388" s="60"/>
      <c r="D388" s="426" t="str">
        <f>IF(C388="","",VLOOKUP(C388,団体基本情報!$B$13:$D$22,3,FALSE))</f>
        <v/>
      </c>
      <c r="E388" s="427" t="str">
        <f t="shared" si="15"/>
        <v/>
      </c>
      <c r="F388" s="428" t="str">
        <f t="shared" si="16"/>
        <v/>
      </c>
      <c r="G388" s="129" t="str">
        <f>IF(H388="","",VLOOKUP(H388,プルダウン用リスト!$K$1:$M$15,2,FALSE))</f>
        <v/>
      </c>
      <c r="H388" s="76"/>
      <c r="I388" s="61"/>
      <c r="J388" s="76"/>
      <c r="K388" s="146"/>
      <c r="L388" s="77"/>
      <c r="M388" s="78"/>
      <c r="N388" s="71"/>
      <c r="O388" s="432" t="str">
        <f t="shared" si="17"/>
        <v/>
      </c>
    </row>
    <row r="389" spans="2:15" x14ac:dyDescent="0.4">
      <c r="B389" s="74"/>
      <c r="C389" s="60"/>
      <c r="D389" s="426" t="str">
        <f>IF(C389="","",VLOOKUP(C389,団体基本情報!$B$13:$D$22,3,FALSE))</f>
        <v/>
      </c>
      <c r="E389" s="427" t="str">
        <f t="shared" si="15"/>
        <v/>
      </c>
      <c r="F389" s="428" t="str">
        <f t="shared" si="16"/>
        <v/>
      </c>
      <c r="G389" s="129" t="str">
        <f>IF(H389="","",VLOOKUP(H389,プルダウン用リスト!$K$1:$M$15,2,FALSE))</f>
        <v/>
      </c>
      <c r="H389" s="76"/>
      <c r="I389" s="61"/>
      <c r="J389" s="76"/>
      <c r="K389" s="146"/>
      <c r="L389" s="77"/>
      <c r="M389" s="78"/>
      <c r="N389" s="71"/>
      <c r="O389" s="432" t="str">
        <f t="shared" si="17"/>
        <v/>
      </c>
    </row>
    <row r="390" spans="2:15" x14ac:dyDescent="0.4">
      <c r="B390" s="74"/>
      <c r="C390" s="75"/>
      <c r="D390" s="426" t="str">
        <f>IF(C390="","",VLOOKUP(C390,団体基本情報!$B$13:$D$22,3,FALSE))</f>
        <v/>
      </c>
      <c r="E390" s="427" t="str">
        <f t="shared" si="15"/>
        <v/>
      </c>
      <c r="F390" s="428" t="str">
        <f t="shared" si="16"/>
        <v/>
      </c>
      <c r="G390" s="129" t="str">
        <f>IF(H390="","",VLOOKUP(H390,プルダウン用リスト!$K$1:$M$15,2,FALSE))</f>
        <v/>
      </c>
      <c r="H390" s="76"/>
      <c r="I390" s="76"/>
      <c r="J390" s="76"/>
      <c r="K390" s="146"/>
      <c r="L390" s="77"/>
      <c r="M390" s="78"/>
      <c r="N390" s="71"/>
      <c r="O390" s="432" t="str">
        <f t="shared" si="17"/>
        <v/>
      </c>
    </row>
    <row r="391" spans="2:15" x14ac:dyDescent="0.4">
      <c r="B391" s="74"/>
      <c r="C391" s="60"/>
      <c r="D391" s="426" t="str">
        <f>IF(C391="","",VLOOKUP(C391,団体基本情報!$B$13:$D$22,3,FALSE))</f>
        <v/>
      </c>
      <c r="E391" s="427" t="str">
        <f t="shared" ref="E391:E454" si="18">IF(F391="","",IF(F391="謝金","01.",IF(F391="旅費","02.",IF(F391="その他","04.","03."))))</f>
        <v/>
      </c>
      <c r="F391" s="428" t="str">
        <f t="shared" ref="F391:F454" si="19">IF(H391="","",IF(H391="謝金","謝金",IF(H391="旅費","旅費",IF(H391="対象外経費","その他","所費"))))</f>
        <v/>
      </c>
      <c r="G391" s="129" t="str">
        <f>IF(H391="","",VLOOKUP(H391,プルダウン用リスト!$K$1:$M$15,2,FALSE))</f>
        <v/>
      </c>
      <c r="H391" s="76"/>
      <c r="I391" s="61"/>
      <c r="J391" s="76"/>
      <c r="K391" s="146"/>
      <c r="L391" s="77"/>
      <c r="M391" s="78"/>
      <c r="N391" s="71"/>
      <c r="O391" s="432" t="str">
        <f t="shared" ref="O391:O454" si="20">IF(H391="対象外経費",M391,IF(N391="","",M391-N391))</f>
        <v/>
      </c>
    </row>
    <row r="392" spans="2:15" x14ac:dyDescent="0.4">
      <c r="B392" s="74"/>
      <c r="C392" s="60"/>
      <c r="D392" s="426" t="str">
        <f>IF(C392="","",VLOOKUP(C392,団体基本情報!$B$13:$D$22,3,FALSE))</f>
        <v/>
      </c>
      <c r="E392" s="427" t="str">
        <f t="shared" si="18"/>
        <v/>
      </c>
      <c r="F392" s="428" t="str">
        <f t="shared" si="19"/>
        <v/>
      </c>
      <c r="G392" s="129" t="str">
        <f>IF(H392="","",VLOOKUP(H392,プルダウン用リスト!$K$1:$M$15,2,FALSE))</f>
        <v/>
      </c>
      <c r="H392" s="76"/>
      <c r="I392" s="61"/>
      <c r="J392" s="76"/>
      <c r="K392" s="146"/>
      <c r="L392" s="77"/>
      <c r="M392" s="78"/>
      <c r="N392" s="71"/>
      <c r="O392" s="432" t="str">
        <f t="shared" si="20"/>
        <v/>
      </c>
    </row>
    <row r="393" spans="2:15" x14ac:dyDescent="0.4">
      <c r="B393" s="74"/>
      <c r="C393" s="60"/>
      <c r="D393" s="426" t="str">
        <f>IF(C393="","",VLOOKUP(C393,団体基本情報!$B$13:$D$22,3,FALSE))</f>
        <v/>
      </c>
      <c r="E393" s="427" t="str">
        <f t="shared" si="18"/>
        <v/>
      </c>
      <c r="F393" s="428" t="str">
        <f t="shared" si="19"/>
        <v/>
      </c>
      <c r="G393" s="129" t="str">
        <f>IF(H393="","",VLOOKUP(H393,プルダウン用リスト!$K$1:$M$15,2,FALSE))</f>
        <v/>
      </c>
      <c r="H393" s="76"/>
      <c r="I393" s="76"/>
      <c r="J393" s="76"/>
      <c r="K393" s="146"/>
      <c r="L393" s="77"/>
      <c r="M393" s="78"/>
      <c r="N393" s="71"/>
      <c r="O393" s="432" t="str">
        <f t="shared" si="20"/>
        <v/>
      </c>
    </row>
    <row r="394" spans="2:15" x14ac:dyDescent="0.4">
      <c r="B394" s="74"/>
      <c r="C394" s="60"/>
      <c r="D394" s="426" t="str">
        <f>IF(C394="","",VLOOKUP(C394,団体基本情報!$B$13:$D$22,3,FALSE))</f>
        <v/>
      </c>
      <c r="E394" s="427" t="str">
        <f t="shared" si="18"/>
        <v/>
      </c>
      <c r="F394" s="428" t="str">
        <f t="shared" si="19"/>
        <v/>
      </c>
      <c r="G394" s="129" t="str">
        <f>IF(H394="","",VLOOKUP(H394,プルダウン用リスト!$K$1:$M$15,2,FALSE))</f>
        <v/>
      </c>
      <c r="H394" s="76"/>
      <c r="I394" s="61"/>
      <c r="J394" s="76"/>
      <c r="K394" s="146"/>
      <c r="L394" s="77"/>
      <c r="M394" s="78"/>
      <c r="N394" s="71"/>
      <c r="O394" s="432" t="str">
        <f t="shared" si="20"/>
        <v/>
      </c>
    </row>
    <row r="395" spans="2:15" x14ac:dyDescent="0.4">
      <c r="B395" s="74"/>
      <c r="C395" s="60"/>
      <c r="D395" s="426" t="str">
        <f>IF(C395="","",VLOOKUP(C395,団体基本情報!$B$13:$D$22,3,FALSE))</f>
        <v/>
      </c>
      <c r="E395" s="427" t="str">
        <f t="shared" si="18"/>
        <v/>
      </c>
      <c r="F395" s="428" t="str">
        <f t="shared" si="19"/>
        <v/>
      </c>
      <c r="G395" s="129" t="str">
        <f>IF(H395="","",VLOOKUP(H395,プルダウン用リスト!$K$1:$M$15,2,FALSE))</f>
        <v/>
      </c>
      <c r="H395" s="76"/>
      <c r="I395" s="61"/>
      <c r="J395" s="76"/>
      <c r="K395" s="146"/>
      <c r="L395" s="77"/>
      <c r="M395" s="78"/>
      <c r="N395" s="71"/>
      <c r="O395" s="432" t="str">
        <f t="shared" si="20"/>
        <v/>
      </c>
    </row>
    <row r="396" spans="2:15" x14ac:dyDescent="0.4">
      <c r="B396" s="74"/>
      <c r="C396" s="60"/>
      <c r="D396" s="426" t="str">
        <f>IF(C396="","",VLOOKUP(C396,団体基本情報!$B$13:$D$22,3,FALSE))</f>
        <v/>
      </c>
      <c r="E396" s="427" t="str">
        <f t="shared" si="18"/>
        <v/>
      </c>
      <c r="F396" s="428" t="str">
        <f t="shared" si="19"/>
        <v/>
      </c>
      <c r="G396" s="129" t="str">
        <f>IF(H396="","",VLOOKUP(H396,プルダウン用リスト!$K$1:$M$15,2,FALSE))</f>
        <v/>
      </c>
      <c r="H396" s="76"/>
      <c r="I396" s="76"/>
      <c r="J396" s="76"/>
      <c r="K396" s="146"/>
      <c r="L396" s="77"/>
      <c r="M396" s="78"/>
      <c r="N396" s="71"/>
      <c r="O396" s="432" t="str">
        <f t="shared" si="20"/>
        <v/>
      </c>
    </row>
    <row r="397" spans="2:15" x14ac:dyDescent="0.4">
      <c r="B397" s="74"/>
      <c r="C397" s="60"/>
      <c r="D397" s="426" t="str">
        <f>IF(C397="","",VLOOKUP(C397,団体基本情報!$B$13:$D$22,3,FALSE))</f>
        <v/>
      </c>
      <c r="E397" s="427" t="str">
        <f t="shared" si="18"/>
        <v/>
      </c>
      <c r="F397" s="428" t="str">
        <f t="shared" si="19"/>
        <v/>
      </c>
      <c r="G397" s="129" t="str">
        <f>IF(H397="","",VLOOKUP(H397,プルダウン用リスト!$K$1:$M$15,2,FALSE))</f>
        <v/>
      </c>
      <c r="H397" s="76"/>
      <c r="I397" s="61"/>
      <c r="J397" s="76"/>
      <c r="K397" s="146"/>
      <c r="L397" s="77"/>
      <c r="M397" s="78"/>
      <c r="N397" s="71"/>
      <c r="O397" s="432" t="str">
        <f t="shared" si="20"/>
        <v/>
      </c>
    </row>
    <row r="398" spans="2:15" x14ac:dyDescent="0.4">
      <c r="B398" s="74"/>
      <c r="C398" s="60"/>
      <c r="D398" s="426" t="str">
        <f>IF(C398="","",VLOOKUP(C398,団体基本情報!$B$13:$D$22,3,FALSE))</f>
        <v/>
      </c>
      <c r="E398" s="427" t="str">
        <f t="shared" si="18"/>
        <v/>
      </c>
      <c r="F398" s="428" t="str">
        <f t="shared" si="19"/>
        <v/>
      </c>
      <c r="G398" s="129" t="str">
        <f>IF(H398="","",VLOOKUP(H398,プルダウン用リスト!$K$1:$M$15,2,FALSE))</f>
        <v/>
      </c>
      <c r="H398" s="76"/>
      <c r="I398" s="61"/>
      <c r="J398" s="76"/>
      <c r="K398" s="146"/>
      <c r="L398" s="77"/>
      <c r="M398" s="78"/>
      <c r="N398" s="71"/>
      <c r="O398" s="432" t="str">
        <f t="shared" si="20"/>
        <v/>
      </c>
    </row>
    <row r="399" spans="2:15" x14ac:dyDescent="0.4">
      <c r="B399" s="74"/>
      <c r="C399" s="60"/>
      <c r="D399" s="426" t="str">
        <f>IF(C399="","",VLOOKUP(C399,団体基本情報!$B$13:$D$22,3,FALSE))</f>
        <v/>
      </c>
      <c r="E399" s="427" t="str">
        <f t="shared" si="18"/>
        <v/>
      </c>
      <c r="F399" s="428" t="str">
        <f t="shared" si="19"/>
        <v/>
      </c>
      <c r="G399" s="129" t="str">
        <f>IF(H399="","",VLOOKUP(H399,プルダウン用リスト!$K$1:$M$15,2,FALSE))</f>
        <v/>
      </c>
      <c r="H399" s="76"/>
      <c r="I399" s="76"/>
      <c r="J399" s="76"/>
      <c r="K399" s="146"/>
      <c r="L399" s="77"/>
      <c r="M399" s="78"/>
      <c r="N399" s="71"/>
      <c r="O399" s="432" t="str">
        <f t="shared" si="20"/>
        <v/>
      </c>
    </row>
    <row r="400" spans="2:15" x14ac:dyDescent="0.4">
      <c r="B400" s="74"/>
      <c r="C400" s="60"/>
      <c r="D400" s="426" t="str">
        <f>IF(C400="","",VLOOKUP(C400,団体基本情報!$B$13:$D$22,3,FALSE))</f>
        <v/>
      </c>
      <c r="E400" s="427" t="str">
        <f t="shared" si="18"/>
        <v/>
      </c>
      <c r="F400" s="428" t="str">
        <f t="shared" si="19"/>
        <v/>
      </c>
      <c r="G400" s="129" t="str">
        <f>IF(H400="","",VLOOKUP(H400,プルダウン用リスト!$K$1:$M$15,2,FALSE))</f>
        <v/>
      </c>
      <c r="H400" s="76"/>
      <c r="I400" s="61"/>
      <c r="J400" s="76"/>
      <c r="K400" s="146"/>
      <c r="L400" s="77"/>
      <c r="M400" s="78"/>
      <c r="N400" s="71"/>
      <c r="O400" s="432" t="str">
        <f t="shared" si="20"/>
        <v/>
      </c>
    </row>
    <row r="401" spans="2:15" x14ac:dyDescent="0.4">
      <c r="B401" s="74"/>
      <c r="C401" s="60"/>
      <c r="D401" s="426" t="str">
        <f>IF(C401="","",VLOOKUP(C401,団体基本情報!$B$13:$D$22,3,FALSE))</f>
        <v/>
      </c>
      <c r="E401" s="427" t="str">
        <f t="shared" si="18"/>
        <v/>
      </c>
      <c r="F401" s="428" t="str">
        <f t="shared" si="19"/>
        <v/>
      </c>
      <c r="G401" s="129" t="str">
        <f>IF(H401="","",VLOOKUP(H401,プルダウン用リスト!$K$1:$M$15,2,FALSE))</f>
        <v/>
      </c>
      <c r="H401" s="76"/>
      <c r="I401" s="61"/>
      <c r="J401" s="76"/>
      <c r="K401" s="146"/>
      <c r="L401" s="77"/>
      <c r="M401" s="78"/>
      <c r="N401" s="71"/>
      <c r="O401" s="432" t="str">
        <f t="shared" si="20"/>
        <v/>
      </c>
    </row>
    <row r="402" spans="2:15" x14ac:dyDescent="0.4">
      <c r="B402" s="74"/>
      <c r="C402" s="75"/>
      <c r="D402" s="426" t="str">
        <f>IF(C402="","",VLOOKUP(C402,団体基本情報!$B$13:$D$22,3,FALSE))</f>
        <v/>
      </c>
      <c r="E402" s="427" t="str">
        <f t="shared" si="18"/>
        <v/>
      </c>
      <c r="F402" s="428" t="str">
        <f t="shared" si="19"/>
        <v/>
      </c>
      <c r="G402" s="129" t="str">
        <f>IF(H402="","",VLOOKUP(H402,プルダウン用リスト!$K$1:$M$15,2,FALSE))</f>
        <v/>
      </c>
      <c r="H402" s="76"/>
      <c r="I402" s="76"/>
      <c r="J402" s="76"/>
      <c r="K402" s="146"/>
      <c r="L402" s="77"/>
      <c r="M402" s="78"/>
      <c r="N402" s="71"/>
      <c r="O402" s="432" t="str">
        <f t="shared" si="20"/>
        <v/>
      </c>
    </row>
    <row r="403" spans="2:15" x14ac:dyDescent="0.4">
      <c r="B403" s="74"/>
      <c r="C403" s="60"/>
      <c r="D403" s="426" t="str">
        <f>IF(C403="","",VLOOKUP(C403,団体基本情報!$B$13:$D$22,3,FALSE))</f>
        <v/>
      </c>
      <c r="E403" s="427" t="str">
        <f t="shared" si="18"/>
        <v/>
      </c>
      <c r="F403" s="428" t="str">
        <f t="shared" si="19"/>
        <v/>
      </c>
      <c r="G403" s="129" t="str">
        <f>IF(H403="","",VLOOKUP(H403,プルダウン用リスト!$K$1:$M$15,2,FALSE))</f>
        <v/>
      </c>
      <c r="H403" s="76"/>
      <c r="I403" s="61"/>
      <c r="J403" s="76"/>
      <c r="K403" s="146"/>
      <c r="L403" s="77"/>
      <c r="M403" s="78"/>
      <c r="N403" s="71"/>
      <c r="O403" s="432" t="str">
        <f t="shared" si="20"/>
        <v/>
      </c>
    </row>
    <row r="404" spans="2:15" x14ac:dyDescent="0.4">
      <c r="B404" s="74"/>
      <c r="C404" s="60"/>
      <c r="D404" s="426" t="str">
        <f>IF(C404="","",VLOOKUP(C404,団体基本情報!$B$13:$D$22,3,FALSE))</f>
        <v/>
      </c>
      <c r="E404" s="427" t="str">
        <f t="shared" si="18"/>
        <v/>
      </c>
      <c r="F404" s="428" t="str">
        <f t="shared" si="19"/>
        <v/>
      </c>
      <c r="G404" s="129" t="str">
        <f>IF(H404="","",VLOOKUP(H404,プルダウン用リスト!$K$1:$M$15,2,FALSE))</f>
        <v/>
      </c>
      <c r="H404" s="76"/>
      <c r="I404" s="61"/>
      <c r="J404" s="76"/>
      <c r="K404" s="146"/>
      <c r="L404" s="77"/>
      <c r="M404" s="78"/>
      <c r="N404" s="71"/>
      <c r="O404" s="432" t="str">
        <f t="shared" si="20"/>
        <v/>
      </c>
    </row>
    <row r="405" spans="2:15" x14ac:dyDescent="0.4">
      <c r="B405" s="74"/>
      <c r="C405" s="60"/>
      <c r="D405" s="426" t="str">
        <f>IF(C405="","",VLOOKUP(C405,団体基本情報!$B$13:$D$22,3,FALSE))</f>
        <v/>
      </c>
      <c r="E405" s="427" t="str">
        <f t="shared" si="18"/>
        <v/>
      </c>
      <c r="F405" s="428" t="str">
        <f t="shared" si="19"/>
        <v/>
      </c>
      <c r="G405" s="129" t="str">
        <f>IF(H405="","",VLOOKUP(H405,プルダウン用リスト!$K$1:$M$15,2,FALSE))</f>
        <v/>
      </c>
      <c r="H405" s="76"/>
      <c r="I405" s="76"/>
      <c r="J405" s="76"/>
      <c r="K405" s="146"/>
      <c r="L405" s="77"/>
      <c r="M405" s="78"/>
      <c r="N405" s="71"/>
      <c r="O405" s="432" t="str">
        <f t="shared" si="20"/>
        <v/>
      </c>
    </row>
    <row r="406" spans="2:15" x14ac:dyDescent="0.4">
      <c r="B406" s="74"/>
      <c r="C406" s="60"/>
      <c r="D406" s="426" t="str">
        <f>IF(C406="","",VLOOKUP(C406,団体基本情報!$B$13:$D$22,3,FALSE))</f>
        <v/>
      </c>
      <c r="E406" s="427" t="str">
        <f t="shared" si="18"/>
        <v/>
      </c>
      <c r="F406" s="428" t="str">
        <f t="shared" si="19"/>
        <v/>
      </c>
      <c r="G406" s="129" t="str">
        <f>IF(H406="","",VLOOKUP(H406,プルダウン用リスト!$K$1:$M$15,2,FALSE))</f>
        <v/>
      </c>
      <c r="H406" s="76"/>
      <c r="I406" s="61"/>
      <c r="J406" s="76"/>
      <c r="K406" s="146"/>
      <c r="L406" s="77"/>
      <c r="M406" s="78"/>
      <c r="N406" s="71"/>
      <c r="O406" s="432" t="str">
        <f t="shared" si="20"/>
        <v/>
      </c>
    </row>
    <row r="407" spans="2:15" x14ac:dyDescent="0.4">
      <c r="B407" s="74"/>
      <c r="C407" s="60"/>
      <c r="D407" s="426" t="str">
        <f>IF(C407="","",VLOOKUP(C407,団体基本情報!$B$13:$D$22,3,FALSE))</f>
        <v/>
      </c>
      <c r="E407" s="427" t="str">
        <f t="shared" si="18"/>
        <v/>
      </c>
      <c r="F407" s="428" t="str">
        <f t="shared" si="19"/>
        <v/>
      </c>
      <c r="G407" s="129" t="str">
        <f>IF(H407="","",VLOOKUP(H407,プルダウン用リスト!$K$1:$M$15,2,FALSE))</f>
        <v/>
      </c>
      <c r="H407" s="76"/>
      <c r="I407" s="61"/>
      <c r="J407" s="76"/>
      <c r="K407" s="146"/>
      <c r="L407" s="77"/>
      <c r="M407" s="78"/>
      <c r="N407" s="71"/>
      <c r="O407" s="432" t="str">
        <f t="shared" si="20"/>
        <v/>
      </c>
    </row>
    <row r="408" spans="2:15" x14ac:dyDescent="0.4">
      <c r="B408" s="74"/>
      <c r="C408" s="60"/>
      <c r="D408" s="426" t="str">
        <f>IF(C408="","",VLOOKUP(C408,団体基本情報!$B$13:$D$22,3,FALSE))</f>
        <v/>
      </c>
      <c r="E408" s="427" t="str">
        <f t="shared" si="18"/>
        <v/>
      </c>
      <c r="F408" s="428" t="str">
        <f t="shared" si="19"/>
        <v/>
      </c>
      <c r="G408" s="129" t="str">
        <f>IF(H408="","",VLOOKUP(H408,プルダウン用リスト!$K$1:$M$15,2,FALSE))</f>
        <v/>
      </c>
      <c r="H408" s="76"/>
      <c r="I408" s="76"/>
      <c r="J408" s="76"/>
      <c r="K408" s="146"/>
      <c r="L408" s="77"/>
      <c r="M408" s="78"/>
      <c r="N408" s="71"/>
      <c r="O408" s="432" t="str">
        <f t="shared" si="20"/>
        <v/>
      </c>
    </row>
    <row r="409" spans="2:15" x14ac:dyDescent="0.4">
      <c r="B409" s="74"/>
      <c r="C409" s="60"/>
      <c r="D409" s="426" t="str">
        <f>IF(C409="","",VLOOKUP(C409,団体基本情報!$B$13:$D$22,3,FALSE))</f>
        <v/>
      </c>
      <c r="E409" s="427" t="str">
        <f t="shared" si="18"/>
        <v/>
      </c>
      <c r="F409" s="428" t="str">
        <f t="shared" si="19"/>
        <v/>
      </c>
      <c r="G409" s="129" t="str">
        <f>IF(H409="","",VLOOKUP(H409,プルダウン用リスト!$K$1:$M$15,2,FALSE))</f>
        <v/>
      </c>
      <c r="H409" s="76"/>
      <c r="I409" s="61"/>
      <c r="J409" s="76"/>
      <c r="K409" s="146"/>
      <c r="L409" s="77"/>
      <c r="M409" s="78"/>
      <c r="N409" s="71"/>
      <c r="O409" s="432" t="str">
        <f t="shared" si="20"/>
        <v/>
      </c>
    </row>
    <row r="410" spans="2:15" x14ac:dyDescent="0.4">
      <c r="B410" s="74"/>
      <c r="C410" s="60"/>
      <c r="D410" s="426" t="str">
        <f>IF(C410="","",VLOOKUP(C410,団体基本情報!$B$13:$D$22,3,FALSE))</f>
        <v/>
      </c>
      <c r="E410" s="427" t="str">
        <f t="shared" si="18"/>
        <v/>
      </c>
      <c r="F410" s="428" t="str">
        <f t="shared" si="19"/>
        <v/>
      </c>
      <c r="G410" s="129" t="str">
        <f>IF(H410="","",VLOOKUP(H410,プルダウン用リスト!$K$1:$M$15,2,FALSE))</f>
        <v/>
      </c>
      <c r="H410" s="76"/>
      <c r="I410" s="61"/>
      <c r="J410" s="76"/>
      <c r="K410" s="146"/>
      <c r="L410" s="77"/>
      <c r="M410" s="78"/>
      <c r="N410" s="71"/>
      <c r="O410" s="432" t="str">
        <f t="shared" si="20"/>
        <v/>
      </c>
    </row>
    <row r="411" spans="2:15" x14ac:dyDescent="0.4">
      <c r="B411" s="74"/>
      <c r="C411" s="60"/>
      <c r="D411" s="426" t="str">
        <f>IF(C411="","",VLOOKUP(C411,団体基本情報!$B$13:$D$22,3,FALSE))</f>
        <v/>
      </c>
      <c r="E411" s="427" t="str">
        <f t="shared" si="18"/>
        <v/>
      </c>
      <c r="F411" s="428" t="str">
        <f t="shared" si="19"/>
        <v/>
      </c>
      <c r="G411" s="129" t="str">
        <f>IF(H411="","",VLOOKUP(H411,プルダウン用リスト!$K$1:$M$15,2,FALSE))</f>
        <v/>
      </c>
      <c r="H411" s="76"/>
      <c r="I411" s="76"/>
      <c r="J411" s="76"/>
      <c r="K411" s="146"/>
      <c r="L411" s="77"/>
      <c r="M411" s="78"/>
      <c r="N411" s="71"/>
      <c r="O411" s="432" t="str">
        <f t="shared" si="20"/>
        <v/>
      </c>
    </row>
    <row r="412" spans="2:15" x14ac:dyDescent="0.4">
      <c r="B412" s="74"/>
      <c r="C412" s="60"/>
      <c r="D412" s="426" t="str">
        <f>IF(C412="","",VLOOKUP(C412,団体基本情報!$B$13:$D$22,3,FALSE))</f>
        <v/>
      </c>
      <c r="E412" s="427" t="str">
        <f t="shared" si="18"/>
        <v/>
      </c>
      <c r="F412" s="428" t="str">
        <f t="shared" si="19"/>
        <v/>
      </c>
      <c r="G412" s="129" t="str">
        <f>IF(H412="","",VLOOKUP(H412,プルダウン用リスト!$K$1:$M$15,2,FALSE))</f>
        <v/>
      </c>
      <c r="H412" s="76"/>
      <c r="I412" s="61"/>
      <c r="J412" s="76"/>
      <c r="K412" s="146"/>
      <c r="L412" s="77"/>
      <c r="M412" s="78"/>
      <c r="N412" s="71"/>
      <c r="O412" s="432" t="str">
        <f t="shared" si="20"/>
        <v/>
      </c>
    </row>
    <row r="413" spans="2:15" x14ac:dyDescent="0.4">
      <c r="B413" s="74"/>
      <c r="C413" s="60"/>
      <c r="D413" s="426" t="str">
        <f>IF(C413="","",VLOOKUP(C413,団体基本情報!$B$13:$D$22,3,FALSE))</f>
        <v/>
      </c>
      <c r="E413" s="427" t="str">
        <f t="shared" si="18"/>
        <v/>
      </c>
      <c r="F413" s="428" t="str">
        <f t="shared" si="19"/>
        <v/>
      </c>
      <c r="G413" s="129" t="str">
        <f>IF(H413="","",VLOOKUP(H413,プルダウン用リスト!$K$1:$M$15,2,FALSE))</f>
        <v/>
      </c>
      <c r="H413" s="76"/>
      <c r="I413" s="61"/>
      <c r="J413" s="76"/>
      <c r="K413" s="146"/>
      <c r="L413" s="77"/>
      <c r="M413" s="78"/>
      <c r="N413" s="71"/>
      <c r="O413" s="432" t="str">
        <f t="shared" si="20"/>
        <v/>
      </c>
    </row>
    <row r="414" spans="2:15" x14ac:dyDescent="0.4">
      <c r="B414" s="74"/>
      <c r="C414" s="75"/>
      <c r="D414" s="426" t="str">
        <f>IF(C414="","",VLOOKUP(C414,団体基本情報!$B$13:$D$22,3,FALSE))</f>
        <v/>
      </c>
      <c r="E414" s="427" t="str">
        <f t="shared" si="18"/>
        <v/>
      </c>
      <c r="F414" s="428" t="str">
        <f t="shared" si="19"/>
        <v/>
      </c>
      <c r="G414" s="129" t="str">
        <f>IF(H414="","",VLOOKUP(H414,プルダウン用リスト!$K$1:$M$15,2,FALSE))</f>
        <v/>
      </c>
      <c r="H414" s="76"/>
      <c r="I414" s="76"/>
      <c r="J414" s="76"/>
      <c r="K414" s="146"/>
      <c r="L414" s="77"/>
      <c r="M414" s="78"/>
      <c r="N414" s="71"/>
      <c r="O414" s="432" t="str">
        <f t="shared" si="20"/>
        <v/>
      </c>
    </row>
    <row r="415" spans="2:15" x14ac:dyDescent="0.4">
      <c r="B415" s="74"/>
      <c r="C415" s="60"/>
      <c r="D415" s="426" t="str">
        <f>IF(C415="","",VLOOKUP(C415,団体基本情報!$B$13:$D$22,3,FALSE))</f>
        <v/>
      </c>
      <c r="E415" s="427" t="str">
        <f t="shared" si="18"/>
        <v/>
      </c>
      <c r="F415" s="428" t="str">
        <f t="shared" si="19"/>
        <v/>
      </c>
      <c r="G415" s="129" t="str">
        <f>IF(H415="","",VLOOKUP(H415,プルダウン用リスト!$K$1:$M$15,2,FALSE))</f>
        <v/>
      </c>
      <c r="H415" s="76"/>
      <c r="I415" s="61"/>
      <c r="J415" s="76"/>
      <c r="K415" s="146"/>
      <c r="L415" s="77"/>
      <c r="M415" s="78"/>
      <c r="N415" s="71"/>
      <c r="O415" s="432" t="str">
        <f t="shared" si="20"/>
        <v/>
      </c>
    </row>
    <row r="416" spans="2:15" x14ac:dyDescent="0.4">
      <c r="B416" s="74"/>
      <c r="C416" s="60"/>
      <c r="D416" s="426" t="str">
        <f>IF(C416="","",VLOOKUP(C416,団体基本情報!$B$13:$D$22,3,FALSE))</f>
        <v/>
      </c>
      <c r="E416" s="427" t="str">
        <f t="shared" si="18"/>
        <v/>
      </c>
      <c r="F416" s="428" t="str">
        <f t="shared" si="19"/>
        <v/>
      </c>
      <c r="G416" s="129" t="str">
        <f>IF(H416="","",VLOOKUP(H416,プルダウン用リスト!$K$1:$M$15,2,FALSE))</f>
        <v/>
      </c>
      <c r="H416" s="76"/>
      <c r="I416" s="61"/>
      <c r="J416" s="76"/>
      <c r="K416" s="146"/>
      <c r="L416" s="77"/>
      <c r="M416" s="78"/>
      <c r="N416" s="71"/>
      <c r="O416" s="432" t="str">
        <f t="shared" si="20"/>
        <v/>
      </c>
    </row>
    <row r="417" spans="2:15" x14ac:dyDescent="0.4">
      <c r="B417" s="74"/>
      <c r="C417" s="60"/>
      <c r="D417" s="426" t="str">
        <f>IF(C417="","",VLOOKUP(C417,団体基本情報!$B$13:$D$22,3,FALSE))</f>
        <v/>
      </c>
      <c r="E417" s="427" t="str">
        <f t="shared" si="18"/>
        <v/>
      </c>
      <c r="F417" s="428" t="str">
        <f t="shared" si="19"/>
        <v/>
      </c>
      <c r="G417" s="129" t="str">
        <f>IF(H417="","",VLOOKUP(H417,プルダウン用リスト!$K$1:$M$15,2,FALSE))</f>
        <v/>
      </c>
      <c r="H417" s="76"/>
      <c r="I417" s="76"/>
      <c r="J417" s="76"/>
      <c r="K417" s="146"/>
      <c r="L417" s="77"/>
      <c r="M417" s="78"/>
      <c r="N417" s="71"/>
      <c r="O417" s="432" t="str">
        <f t="shared" si="20"/>
        <v/>
      </c>
    </row>
    <row r="418" spans="2:15" x14ac:dyDescent="0.4">
      <c r="B418" s="74"/>
      <c r="C418" s="60"/>
      <c r="D418" s="426" t="str">
        <f>IF(C418="","",VLOOKUP(C418,団体基本情報!$B$13:$D$22,3,FALSE))</f>
        <v/>
      </c>
      <c r="E418" s="427" t="str">
        <f t="shared" si="18"/>
        <v/>
      </c>
      <c r="F418" s="428" t="str">
        <f t="shared" si="19"/>
        <v/>
      </c>
      <c r="G418" s="129" t="str">
        <f>IF(H418="","",VLOOKUP(H418,プルダウン用リスト!$K$1:$M$15,2,FALSE))</f>
        <v/>
      </c>
      <c r="H418" s="76"/>
      <c r="I418" s="61"/>
      <c r="J418" s="76"/>
      <c r="K418" s="146"/>
      <c r="L418" s="77"/>
      <c r="M418" s="78"/>
      <c r="N418" s="71"/>
      <c r="O418" s="432" t="str">
        <f t="shared" si="20"/>
        <v/>
      </c>
    </row>
    <row r="419" spans="2:15" x14ac:dyDescent="0.4">
      <c r="B419" s="74"/>
      <c r="C419" s="60"/>
      <c r="D419" s="426" t="str">
        <f>IF(C419="","",VLOOKUP(C419,団体基本情報!$B$13:$D$22,3,FALSE))</f>
        <v/>
      </c>
      <c r="E419" s="427" t="str">
        <f t="shared" si="18"/>
        <v/>
      </c>
      <c r="F419" s="428" t="str">
        <f t="shared" si="19"/>
        <v/>
      </c>
      <c r="G419" s="129" t="str">
        <f>IF(H419="","",VLOOKUP(H419,プルダウン用リスト!$K$1:$M$15,2,FALSE))</f>
        <v/>
      </c>
      <c r="H419" s="76"/>
      <c r="I419" s="61"/>
      <c r="J419" s="76"/>
      <c r="K419" s="146"/>
      <c r="L419" s="77"/>
      <c r="M419" s="78"/>
      <c r="N419" s="71"/>
      <c r="O419" s="432" t="str">
        <f t="shared" si="20"/>
        <v/>
      </c>
    </row>
    <row r="420" spans="2:15" x14ac:dyDescent="0.4">
      <c r="B420" s="74"/>
      <c r="C420" s="60"/>
      <c r="D420" s="426" t="str">
        <f>IF(C420="","",VLOOKUP(C420,団体基本情報!$B$13:$D$22,3,FALSE))</f>
        <v/>
      </c>
      <c r="E420" s="427" t="str">
        <f t="shared" si="18"/>
        <v/>
      </c>
      <c r="F420" s="428" t="str">
        <f t="shared" si="19"/>
        <v/>
      </c>
      <c r="G420" s="129" t="str">
        <f>IF(H420="","",VLOOKUP(H420,プルダウン用リスト!$K$1:$M$15,2,FALSE))</f>
        <v/>
      </c>
      <c r="H420" s="76"/>
      <c r="I420" s="76"/>
      <c r="J420" s="76"/>
      <c r="K420" s="146"/>
      <c r="L420" s="77"/>
      <c r="M420" s="78"/>
      <c r="N420" s="71"/>
      <c r="O420" s="432" t="str">
        <f t="shared" si="20"/>
        <v/>
      </c>
    </row>
    <row r="421" spans="2:15" x14ac:dyDescent="0.4">
      <c r="B421" s="74"/>
      <c r="C421" s="60"/>
      <c r="D421" s="426" t="str">
        <f>IF(C421="","",VLOOKUP(C421,団体基本情報!$B$13:$D$22,3,FALSE))</f>
        <v/>
      </c>
      <c r="E421" s="427" t="str">
        <f t="shared" si="18"/>
        <v/>
      </c>
      <c r="F421" s="428" t="str">
        <f t="shared" si="19"/>
        <v/>
      </c>
      <c r="G421" s="129" t="str">
        <f>IF(H421="","",VLOOKUP(H421,プルダウン用リスト!$K$1:$M$15,2,FALSE))</f>
        <v/>
      </c>
      <c r="H421" s="76"/>
      <c r="I421" s="61"/>
      <c r="J421" s="76"/>
      <c r="K421" s="146"/>
      <c r="L421" s="77"/>
      <c r="M421" s="78"/>
      <c r="N421" s="71"/>
      <c r="O421" s="432" t="str">
        <f t="shared" si="20"/>
        <v/>
      </c>
    </row>
    <row r="422" spans="2:15" x14ac:dyDescent="0.4">
      <c r="B422" s="74"/>
      <c r="C422" s="60"/>
      <c r="D422" s="426" t="str">
        <f>IF(C422="","",VLOOKUP(C422,団体基本情報!$B$13:$D$22,3,FALSE))</f>
        <v/>
      </c>
      <c r="E422" s="427" t="str">
        <f t="shared" si="18"/>
        <v/>
      </c>
      <c r="F422" s="428" t="str">
        <f t="shared" si="19"/>
        <v/>
      </c>
      <c r="G422" s="129" t="str">
        <f>IF(H422="","",VLOOKUP(H422,プルダウン用リスト!$K$1:$M$15,2,FALSE))</f>
        <v/>
      </c>
      <c r="H422" s="76"/>
      <c r="I422" s="61"/>
      <c r="J422" s="76"/>
      <c r="K422" s="146"/>
      <c r="L422" s="77"/>
      <c r="M422" s="78"/>
      <c r="N422" s="71"/>
      <c r="O422" s="432" t="str">
        <f t="shared" si="20"/>
        <v/>
      </c>
    </row>
    <row r="423" spans="2:15" x14ac:dyDescent="0.4">
      <c r="B423" s="74"/>
      <c r="C423" s="60"/>
      <c r="D423" s="426" t="str">
        <f>IF(C423="","",VLOOKUP(C423,団体基本情報!$B$13:$D$22,3,FALSE))</f>
        <v/>
      </c>
      <c r="E423" s="427" t="str">
        <f t="shared" si="18"/>
        <v/>
      </c>
      <c r="F423" s="428" t="str">
        <f t="shared" si="19"/>
        <v/>
      </c>
      <c r="G423" s="129" t="str">
        <f>IF(H423="","",VLOOKUP(H423,プルダウン用リスト!$K$1:$M$15,2,FALSE))</f>
        <v/>
      </c>
      <c r="H423" s="76"/>
      <c r="I423" s="76"/>
      <c r="J423" s="76"/>
      <c r="K423" s="146"/>
      <c r="L423" s="77"/>
      <c r="M423" s="78"/>
      <c r="N423" s="71"/>
      <c r="O423" s="432" t="str">
        <f t="shared" si="20"/>
        <v/>
      </c>
    </row>
    <row r="424" spans="2:15" x14ac:dyDescent="0.4">
      <c r="B424" s="74"/>
      <c r="C424" s="60"/>
      <c r="D424" s="426" t="str">
        <f>IF(C424="","",VLOOKUP(C424,団体基本情報!$B$13:$D$22,3,FALSE))</f>
        <v/>
      </c>
      <c r="E424" s="427" t="str">
        <f t="shared" si="18"/>
        <v/>
      </c>
      <c r="F424" s="428" t="str">
        <f t="shared" si="19"/>
        <v/>
      </c>
      <c r="G424" s="129" t="str">
        <f>IF(H424="","",VLOOKUP(H424,プルダウン用リスト!$K$1:$M$15,2,FALSE))</f>
        <v/>
      </c>
      <c r="H424" s="76"/>
      <c r="I424" s="61"/>
      <c r="J424" s="76"/>
      <c r="K424" s="146"/>
      <c r="L424" s="77"/>
      <c r="M424" s="78"/>
      <c r="N424" s="71"/>
      <c r="O424" s="432" t="str">
        <f t="shared" si="20"/>
        <v/>
      </c>
    </row>
    <row r="425" spans="2:15" x14ac:dyDescent="0.4">
      <c r="B425" s="74"/>
      <c r="C425" s="60"/>
      <c r="D425" s="426" t="str">
        <f>IF(C425="","",VLOOKUP(C425,団体基本情報!$B$13:$D$22,3,FALSE))</f>
        <v/>
      </c>
      <c r="E425" s="427" t="str">
        <f t="shared" si="18"/>
        <v/>
      </c>
      <c r="F425" s="428" t="str">
        <f t="shared" si="19"/>
        <v/>
      </c>
      <c r="G425" s="129" t="str">
        <f>IF(H425="","",VLOOKUP(H425,プルダウン用リスト!$K$1:$M$15,2,FALSE))</f>
        <v/>
      </c>
      <c r="H425" s="76"/>
      <c r="I425" s="61"/>
      <c r="J425" s="76"/>
      <c r="K425" s="146"/>
      <c r="L425" s="77"/>
      <c r="M425" s="78"/>
      <c r="N425" s="71"/>
      <c r="O425" s="432" t="str">
        <f t="shared" si="20"/>
        <v/>
      </c>
    </row>
    <row r="426" spans="2:15" x14ac:dyDescent="0.4">
      <c r="B426" s="74"/>
      <c r="C426" s="75"/>
      <c r="D426" s="426" t="str">
        <f>IF(C426="","",VLOOKUP(C426,団体基本情報!$B$13:$D$22,3,FALSE))</f>
        <v/>
      </c>
      <c r="E426" s="427" t="str">
        <f t="shared" si="18"/>
        <v/>
      </c>
      <c r="F426" s="428" t="str">
        <f t="shared" si="19"/>
        <v/>
      </c>
      <c r="G426" s="129" t="str">
        <f>IF(H426="","",VLOOKUP(H426,プルダウン用リスト!$K$1:$M$15,2,FALSE))</f>
        <v/>
      </c>
      <c r="H426" s="76"/>
      <c r="I426" s="76"/>
      <c r="J426" s="76"/>
      <c r="K426" s="146"/>
      <c r="L426" s="77"/>
      <c r="M426" s="78"/>
      <c r="N426" s="71"/>
      <c r="O426" s="432" t="str">
        <f t="shared" si="20"/>
        <v/>
      </c>
    </row>
    <row r="427" spans="2:15" x14ac:dyDescent="0.4">
      <c r="B427" s="74"/>
      <c r="C427" s="60"/>
      <c r="D427" s="426" t="str">
        <f>IF(C427="","",VLOOKUP(C427,団体基本情報!$B$13:$D$22,3,FALSE))</f>
        <v/>
      </c>
      <c r="E427" s="427" t="str">
        <f t="shared" si="18"/>
        <v/>
      </c>
      <c r="F427" s="428" t="str">
        <f t="shared" si="19"/>
        <v/>
      </c>
      <c r="G427" s="129" t="str">
        <f>IF(H427="","",VLOOKUP(H427,プルダウン用リスト!$K$1:$M$15,2,FALSE))</f>
        <v/>
      </c>
      <c r="H427" s="76"/>
      <c r="I427" s="61"/>
      <c r="J427" s="76"/>
      <c r="K427" s="146"/>
      <c r="L427" s="77"/>
      <c r="M427" s="78"/>
      <c r="N427" s="71"/>
      <c r="O427" s="432" t="str">
        <f t="shared" si="20"/>
        <v/>
      </c>
    </row>
    <row r="428" spans="2:15" x14ac:dyDescent="0.4">
      <c r="B428" s="74"/>
      <c r="C428" s="60"/>
      <c r="D428" s="426" t="str">
        <f>IF(C428="","",VLOOKUP(C428,団体基本情報!$B$13:$D$22,3,FALSE))</f>
        <v/>
      </c>
      <c r="E428" s="427" t="str">
        <f t="shared" si="18"/>
        <v/>
      </c>
      <c r="F428" s="428" t="str">
        <f t="shared" si="19"/>
        <v/>
      </c>
      <c r="G428" s="129" t="str">
        <f>IF(H428="","",VLOOKUP(H428,プルダウン用リスト!$K$1:$M$15,2,FALSE))</f>
        <v/>
      </c>
      <c r="H428" s="76"/>
      <c r="I428" s="61"/>
      <c r="J428" s="76"/>
      <c r="K428" s="146"/>
      <c r="L428" s="77"/>
      <c r="M428" s="78"/>
      <c r="N428" s="71"/>
      <c r="O428" s="432" t="str">
        <f t="shared" si="20"/>
        <v/>
      </c>
    </row>
    <row r="429" spans="2:15" x14ac:dyDescent="0.4">
      <c r="B429" s="74"/>
      <c r="C429" s="60"/>
      <c r="D429" s="426" t="str">
        <f>IF(C429="","",VLOOKUP(C429,団体基本情報!$B$13:$D$22,3,FALSE))</f>
        <v/>
      </c>
      <c r="E429" s="427" t="str">
        <f t="shared" si="18"/>
        <v/>
      </c>
      <c r="F429" s="428" t="str">
        <f t="shared" si="19"/>
        <v/>
      </c>
      <c r="G429" s="129" t="str">
        <f>IF(H429="","",VLOOKUP(H429,プルダウン用リスト!$K$1:$M$15,2,FALSE))</f>
        <v/>
      </c>
      <c r="H429" s="76"/>
      <c r="I429" s="76"/>
      <c r="J429" s="76"/>
      <c r="K429" s="146"/>
      <c r="L429" s="77"/>
      <c r="M429" s="78"/>
      <c r="N429" s="71"/>
      <c r="O429" s="432" t="str">
        <f t="shared" si="20"/>
        <v/>
      </c>
    </row>
    <row r="430" spans="2:15" x14ac:dyDescent="0.4">
      <c r="B430" s="74"/>
      <c r="C430" s="60"/>
      <c r="D430" s="426" t="str">
        <f>IF(C430="","",VLOOKUP(C430,団体基本情報!$B$13:$D$22,3,FALSE))</f>
        <v/>
      </c>
      <c r="E430" s="427" t="str">
        <f t="shared" si="18"/>
        <v/>
      </c>
      <c r="F430" s="428" t="str">
        <f t="shared" si="19"/>
        <v/>
      </c>
      <c r="G430" s="129" t="str">
        <f>IF(H430="","",VLOOKUP(H430,プルダウン用リスト!$K$1:$M$15,2,FALSE))</f>
        <v/>
      </c>
      <c r="H430" s="76"/>
      <c r="I430" s="61"/>
      <c r="J430" s="76"/>
      <c r="K430" s="146"/>
      <c r="L430" s="77"/>
      <c r="M430" s="78"/>
      <c r="N430" s="71"/>
      <c r="O430" s="432" t="str">
        <f t="shared" si="20"/>
        <v/>
      </c>
    </row>
    <row r="431" spans="2:15" x14ac:dyDescent="0.4">
      <c r="B431" s="74"/>
      <c r="C431" s="60"/>
      <c r="D431" s="426" t="str">
        <f>IF(C431="","",VLOOKUP(C431,団体基本情報!$B$13:$D$22,3,FALSE))</f>
        <v/>
      </c>
      <c r="E431" s="427" t="str">
        <f t="shared" si="18"/>
        <v/>
      </c>
      <c r="F431" s="428" t="str">
        <f t="shared" si="19"/>
        <v/>
      </c>
      <c r="G431" s="129" t="str">
        <f>IF(H431="","",VLOOKUP(H431,プルダウン用リスト!$K$1:$M$15,2,FALSE))</f>
        <v/>
      </c>
      <c r="H431" s="76"/>
      <c r="I431" s="61"/>
      <c r="J431" s="76"/>
      <c r="K431" s="146"/>
      <c r="L431" s="77"/>
      <c r="M431" s="78"/>
      <c r="N431" s="71"/>
      <c r="O431" s="432" t="str">
        <f t="shared" si="20"/>
        <v/>
      </c>
    </row>
    <row r="432" spans="2:15" x14ac:dyDescent="0.4">
      <c r="B432" s="74"/>
      <c r="C432" s="60"/>
      <c r="D432" s="426" t="str">
        <f>IF(C432="","",VLOOKUP(C432,団体基本情報!$B$13:$D$22,3,FALSE))</f>
        <v/>
      </c>
      <c r="E432" s="427" t="str">
        <f t="shared" si="18"/>
        <v/>
      </c>
      <c r="F432" s="428" t="str">
        <f t="shared" si="19"/>
        <v/>
      </c>
      <c r="G432" s="129" t="str">
        <f>IF(H432="","",VLOOKUP(H432,プルダウン用リスト!$K$1:$M$15,2,FALSE))</f>
        <v/>
      </c>
      <c r="H432" s="76"/>
      <c r="I432" s="76"/>
      <c r="J432" s="76"/>
      <c r="K432" s="146"/>
      <c r="L432" s="77"/>
      <c r="M432" s="78"/>
      <c r="N432" s="71"/>
      <c r="O432" s="432" t="str">
        <f t="shared" si="20"/>
        <v/>
      </c>
    </row>
    <row r="433" spans="2:15" x14ac:dyDescent="0.4">
      <c r="B433" s="74"/>
      <c r="C433" s="60"/>
      <c r="D433" s="426" t="str">
        <f>IF(C433="","",VLOOKUP(C433,団体基本情報!$B$13:$D$22,3,FALSE))</f>
        <v/>
      </c>
      <c r="E433" s="427" t="str">
        <f t="shared" si="18"/>
        <v/>
      </c>
      <c r="F433" s="428" t="str">
        <f t="shared" si="19"/>
        <v/>
      </c>
      <c r="G433" s="129" t="str">
        <f>IF(H433="","",VLOOKUP(H433,プルダウン用リスト!$K$1:$M$15,2,FALSE))</f>
        <v/>
      </c>
      <c r="H433" s="76"/>
      <c r="I433" s="61"/>
      <c r="J433" s="76"/>
      <c r="K433" s="146"/>
      <c r="L433" s="77"/>
      <c r="M433" s="78"/>
      <c r="N433" s="71"/>
      <c r="O433" s="432" t="str">
        <f t="shared" si="20"/>
        <v/>
      </c>
    </row>
    <row r="434" spans="2:15" x14ac:dyDescent="0.4">
      <c r="B434" s="74"/>
      <c r="C434" s="60"/>
      <c r="D434" s="426" t="str">
        <f>IF(C434="","",VLOOKUP(C434,団体基本情報!$B$13:$D$22,3,FALSE))</f>
        <v/>
      </c>
      <c r="E434" s="427" t="str">
        <f t="shared" si="18"/>
        <v/>
      </c>
      <c r="F434" s="428" t="str">
        <f t="shared" si="19"/>
        <v/>
      </c>
      <c r="G434" s="129" t="str">
        <f>IF(H434="","",VLOOKUP(H434,プルダウン用リスト!$K$1:$M$15,2,FALSE))</f>
        <v/>
      </c>
      <c r="H434" s="76"/>
      <c r="I434" s="61"/>
      <c r="J434" s="76"/>
      <c r="K434" s="146"/>
      <c r="L434" s="77"/>
      <c r="M434" s="78"/>
      <c r="N434" s="71"/>
      <c r="O434" s="432" t="str">
        <f t="shared" si="20"/>
        <v/>
      </c>
    </row>
    <row r="435" spans="2:15" x14ac:dyDescent="0.4">
      <c r="B435" s="74"/>
      <c r="C435" s="60"/>
      <c r="D435" s="426" t="str">
        <f>IF(C435="","",VLOOKUP(C435,団体基本情報!$B$13:$D$22,3,FALSE))</f>
        <v/>
      </c>
      <c r="E435" s="427" t="str">
        <f t="shared" si="18"/>
        <v/>
      </c>
      <c r="F435" s="428" t="str">
        <f t="shared" si="19"/>
        <v/>
      </c>
      <c r="G435" s="129" t="str">
        <f>IF(H435="","",VLOOKUP(H435,プルダウン用リスト!$K$1:$M$15,2,FALSE))</f>
        <v/>
      </c>
      <c r="H435" s="76"/>
      <c r="I435" s="76"/>
      <c r="J435" s="76"/>
      <c r="K435" s="146"/>
      <c r="L435" s="77"/>
      <c r="M435" s="78"/>
      <c r="N435" s="71"/>
      <c r="O435" s="432" t="str">
        <f t="shared" si="20"/>
        <v/>
      </c>
    </row>
    <row r="436" spans="2:15" x14ac:dyDescent="0.4">
      <c r="B436" s="74"/>
      <c r="C436" s="60"/>
      <c r="D436" s="426" t="str">
        <f>IF(C436="","",VLOOKUP(C436,団体基本情報!$B$13:$D$22,3,FALSE))</f>
        <v/>
      </c>
      <c r="E436" s="427" t="str">
        <f t="shared" si="18"/>
        <v/>
      </c>
      <c r="F436" s="428" t="str">
        <f t="shared" si="19"/>
        <v/>
      </c>
      <c r="G436" s="129" t="str">
        <f>IF(H436="","",VLOOKUP(H436,プルダウン用リスト!$K$1:$M$15,2,FALSE))</f>
        <v/>
      </c>
      <c r="H436" s="76"/>
      <c r="I436" s="61"/>
      <c r="J436" s="76"/>
      <c r="K436" s="146"/>
      <c r="L436" s="77"/>
      <c r="M436" s="78"/>
      <c r="N436" s="71"/>
      <c r="O436" s="432" t="str">
        <f t="shared" si="20"/>
        <v/>
      </c>
    </row>
    <row r="437" spans="2:15" x14ac:dyDescent="0.4">
      <c r="B437" s="74"/>
      <c r="C437" s="60"/>
      <c r="D437" s="426" t="str">
        <f>IF(C437="","",VLOOKUP(C437,団体基本情報!$B$13:$D$22,3,FALSE))</f>
        <v/>
      </c>
      <c r="E437" s="427" t="str">
        <f t="shared" si="18"/>
        <v/>
      </c>
      <c r="F437" s="428" t="str">
        <f t="shared" si="19"/>
        <v/>
      </c>
      <c r="G437" s="129" t="str">
        <f>IF(H437="","",VLOOKUP(H437,プルダウン用リスト!$K$1:$M$15,2,FALSE))</f>
        <v/>
      </c>
      <c r="H437" s="76"/>
      <c r="I437" s="61"/>
      <c r="J437" s="76"/>
      <c r="K437" s="146"/>
      <c r="L437" s="77"/>
      <c r="M437" s="78"/>
      <c r="N437" s="71"/>
      <c r="O437" s="432" t="str">
        <f t="shared" si="20"/>
        <v/>
      </c>
    </row>
    <row r="438" spans="2:15" x14ac:dyDescent="0.4">
      <c r="B438" s="74"/>
      <c r="C438" s="75"/>
      <c r="D438" s="426" t="str">
        <f>IF(C438="","",VLOOKUP(C438,団体基本情報!$B$13:$D$22,3,FALSE))</f>
        <v/>
      </c>
      <c r="E438" s="427" t="str">
        <f t="shared" si="18"/>
        <v/>
      </c>
      <c r="F438" s="428" t="str">
        <f t="shared" si="19"/>
        <v/>
      </c>
      <c r="G438" s="129" t="str">
        <f>IF(H438="","",VLOOKUP(H438,プルダウン用リスト!$K$1:$M$15,2,FALSE))</f>
        <v/>
      </c>
      <c r="H438" s="76"/>
      <c r="I438" s="76"/>
      <c r="J438" s="76"/>
      <c r="K438" s="146"/>
      <c r="L438" s="77"/>
      <c r="M438" s="78"/>
      <c r="N438" s="71"/>
      <c r="O438" s="432" t="str">
        <f t="shared" si="20"/>
        <v/>
      </c>
    </row>
    <row r="439" spans="2:15" x14ac:dyDescent="0.4">
      <c r="B439" s="74"/>
      <c r="C439" s="60"/>
      <c r="D439" s="426" t="str">
        <f>IF(C439="","",VLOOKUP(C439,団体基本情報!$B$13:$D$22,3,FALSE))</f>
        <v/>
      </c>
      <c r="E439" s="427" t="str">
        <f t="shared" si="18"/>
        <v/>
      </c>
      <c r="F439" s="428" t="str">
        <f t="shared" si="19"/>
        <v/>
      </c>
      <c r="G439" s="129" t="str">
        <f>IF(H439="","",VLOOKUP(H439,プルダウン用リスト!$K$1:$M$15,2,FALSE))</f>
        <v/>
      </c>
      <c r="H439" s="76"/>
      <c r="I439" s="61"/>
      <c r="J439" s="76"/>
      <c r="K439" s="146"/>
      <c r="L439" s="77"/>
      <c r="M439" s="78"/>
      <c r="N439" s="71"/>
      <c r="O439" s="432" t="str">
        <f t="shared" si="20"/>
        <v/>
      </c>
    </row>
    <row r="440" spans="2:15" x14ac:dyDescent="0.4">
      <c r="B440" s="74"/>
      <c r="C440" s="60"/>
      <c r="D440" s="426" t="str">
        <f>IF(C440="","",VLOOKUP(C440,団体基本情報!$B$13:$D$22,3,FALSE))</f>
        <v/>
      </c>
      <c r="E440" s="427" t="str">
        <f t="shared" si="18"/>
        <v/>
      </c>
      <c r="F440" s="428" t="str">
        <f t="shared" si="19"/>
        <v/>
      </c>
      <c r="G440" s="129" t="str">
        <f>IF(H440="","",VLOOKUP(H440,プルダウン用リスト!$K$1:$M$15,2,FALSE))</f>
        <v/>
      </c>
      <c r="H440" s="76"/>
      <c r="I440" s="61"/>
      <c r="J440" s="76"/>
      <c r="K440" s="146"/>
      <c r="L440" s="77"/>
      <c r="M440" s="78"/>
      <c r="N440" s="71"/>
      <c r="O440" s="432" t="str">
        <f t="shared" si="20"/>
        <v/>
      </c>
    </row>
    <row r="441" spans="2:15" x14ac:dyDescent="0.4">
      <c r="B441" s="74"/>
      <c r="C441" s="60"/>
      <c r="D441" s="426" t="str">
        <f>IF(C441="","",VLOOKUP(C441,団体基本情報!$B$13:$D$22,3,FALSE))</f>
        <v/>
      </c>
      <c r="E441" s="427" t="str">
        <f t="shared" si="18"/>
        <v/>
      </c>
      <c r="F441" s="428" t="str">
        <f t="shared" si="19"/>
        <v/>
      </c>
      <c r="G441" s="129" t="str">
        <f>IF(H441="","",VLOOKUP(H441,プルダウン用リスト!$K$1:$M$15,2,FALSE))</f>
        <v/>
      </c>
      <c r="H441" s="76"/>
      <c r="I441" s="76"/>
      <c r="J441" s="76"/>
      <c r="K441" s="146"/>
      <c r="L441" s="77"/>
      <c r="M441" s="78"/>
      <c r="N441" s="71"/>
      <c r="O441" s="432" t="str">
        <f t="shared" si="20"/>
        <v/>
      </c>
    </row>
    <row r="442" spans="2:15" x14ac:dyDescent="0.4">
      <c r="B442" s="74"/>
      <c r="C442" s="60"/>
      <c r="D442" s="426" t="str">
        <f>IF(C442="","",VLOOKUP(C442,団体基本情報!$B$13:$D$22,3,FALSE))</f>
        <v/>
      </c>
      <c r="E442" s="427" t="str">
        <f t="shared" si="18"/>
        <v/>
      </c>
      <c r="F442" s="428" t="str">
        <f t="shared" si="19"/>
        <v/>
      </c>
      <c r="G442" s="129" t="str">
        <f>IF(H442="","",VLOOKUP(H442,プルダウン用リスト!$K$1:$M$15,2,FALSE))</f>
        <v/>
      </c>
      <c r="H442" s="76"/>
      <c r="I442" s="61"/>
      <c r="J442" s="76"/>
      <c r="K442" s="146"/>
      <c r="L442" s="77"/>
      <c r="M442" s="78"/>
      <c r="N442" s="71"/>
      <c r="O442" s="432" t="str">
        <f t="shared" si="20"/>
        <v/>
      </c>
    </row>
    <row r="443" spans="2:15" x14ac:dyDescent="0.4">
      <c r="B443" s="74"/>
      <c r="C443" s="60"/>
      <c r="D443" s="426" t="str">
        <f>IF(C443="","",VLOOKUP(C443,団体基本情報!$B$13:$D$22,3,FALSE))</f>
        <v/>
      </c>
      <c r="E443" s="427" t="str">
        <f t="shared" si="18"/>
        <v/>
      </c>
      <c r="F443" s="428" t="str">
        <f t="shared" si="19"/>
        <v/>
      </c>
      <c r="G443" s="129" t="str">
        <f>IF(H443="","",VLOOKUP(H443,プルダウン用リスト!$K$1:$M$15,2,FALSE))</f>
        <v/>
      </c>
      <c r="H443" s="76"/>
      <c r="I443" s="61"/>
      <c r="J443" s="76"/>
      <c r="K443" s="146"/>
      <c r="L443" s="77"/>
      <c r="M443" s="78"/>
      <c r="N443" s="71"/>
      <c r="O443" s="432" t="str">
        <f t="shared" si="20"/>
        <v/>
      </c>
    </row>
    <row r="444" spans="2:15" x14ac:dyDescent="0.4">
      <c r="B444" s="74"/>
      <c r="C444" s="60"/>
      <c r="D444" s="426" t="str">
        <f>IF(C444="","",VLOOKUP(C444,団体基本情報!$B$13:$D$22,3,FALSE))</f>
        <v/>
      </c>
      <c r="E444" s="427" t="str">
        <f t="shared" si="18"/>
        <v/>
      </c>
      <c r="F444" s="428" t="str">
        <f t="shared" si="19"/>
        <v/>
      </c>
      <c r="G444" s="129" t="str">
        <f>IF(H444="","",VLOOKUP(H444,プルダウン用リスト!$K$1:$M$15,2,FALSE))</f>
        <v/>
      </c>
      <c r="H444" s="76"/>
      <c r="I444" s="76"/>
      <c r="J444" s="76"/>
      <c r="K444" s="146"/>
      <c r="L444" s="77"/>
      <c r="M444" s="78"/>
      <c r="N444" s="71"/>
      <c r="O444" s="432" t="str">
        <f t="shared" si="20"/>
        <v/>
      </c>
    </row>
    <row r="445" spans="2:15" x14ac:dyDescent="0.4">
      <c r="B445" s="74"/>
      <c r="C445" s="60"/>
      <c r="D445" s="426" t="str">
        <f>IF(C445="","",VLOOKUP(C445,団体基本情報!$B$13:$D$22,3,FALSE))</f>
        <v/>
      </c>
      <c r="E445" s="427" t="str">
        <f t="shared" si="18"/>
        <v/>
      </c>
      <c r="F445" s="428" t="str">
        <f t="shared" si="19"/>
        <v/>
      </c>
      <c r="G445" s="129" t="str">
        <f>IF(H445="","",VLOOKUP(H445,プルダウン用リスト!$K$1:$M$15,2,FALSE))</f>
        <v/>
      </c>
      <c r="H445" s="76"/>
      <c r="I445" s="61"/>
      <c r="J445" s="76"/>
      <c r="K445" s="146"/>
      <c r="L445" s="77"/>
      <c r="M445" s="78"/>
      <c r="N445" s="71"/>
      <c r="O445" s="432" t="str">
        <f t="shared" si="20"/>
        <v/>
      </c>
    </row>
    <row r="446" spans="2:15" x14ac:dyDescent="0.4">
      <c r="B446" s="74"/>
      <c r="C446" s="60"/>
      <c r="D446" s="426" t="str">
        <f>IF(C446="","",VLOOKUP(C446,団体基本情報!$B$13:$D$22,3,FALSE))</f>
        <v/>
      </c>
      <c r="E446" s="427" t="str">
        <f t="shared" si="18"/>
        <v/>
      </c>
      <c r="F446" s="428" t="str">
        <f t="shared" si="19"/>
        <v/>
      </c>
      <c r="G446" s="129" t="str">
        <f>IF(H446="","",VLOOKUP(H446,プルダウン用リスト!$K$1:$M$15,2,FALSE))</f>
        <v/>
      </c>
      <c r="H446" s="76"/>
      <c r="I446" s="61"/>
      <c r="J446" s="76"/>
      <c r="K446" s="146"/>
      <c r="L446" s="77"/>
      <c r="M446" s="78"/>
      <c r="N446" s="71"/>
      <c r="O446" s="432" t="str">
        <f t="shared" si="20"/>
        <v/>
      </c>
    </row>
    <row r="447" spans="2:15" x14ac:dyDescent="0.4">
      <c r="B447" s="74"/>
      <c r="C447" s="60"/>
      <c r="D447" s="426" t="str">
        <f>IF(C447="","",VLOOKUP(C447,団体基本情報!$B$13:$D$22,3,FALSE))</f>
        <v/>
      </c>
      <c r="E447" s="427" t="str">
        <f t="shared" si="18"/>
        <v/>
      </c>
      <c r="F447" s="428" t="str">
        <f t="shared" si="19"/>
        <v/>
      </c>
      <c r="G447" s="129" t="str">
        <f>IF(H447="","",VLOOKUP(H447,プルダウン用リスト!$K$1:$M$15,2,FALSE))</f>
        <v/>
      </c>
      <c r="H447" s="76"/>
      <c r="I447" s="76"/>
      <c r="J447" s="76"/>
      <c r="K447" s="146"/>
      <c r="L447" s="77"/>
      <c r="M447" s="78"/>
      <c r="N447" s="71"/>
      <c r="O447" s="432" t="str">
        <f t="shared" si="20"/>
        <v/>
      </c>
    </row>
    <row r="448" spans="2:15" x14ac:dyDescent="0.4">
      <c r="B448" s="74"/>
      <c r="C448" s="60"/>
      <c r="D448" s="426" t="str">
        <f>IF(C448="","",VLOOKUP(C448,団体基本情報!$B$13:$D$22,3,FALSE))</f>
        <v/>
      </c>
      <c r="E448" s="427" t="str">
        <f t="shared" si="18"/>
        <v/>
      </c>
      <c r="F448" s="428" t="str">
        <f t="shared" si="19"/>
        <v/>
      </c>
      <c r="G448" s="129" t="str">
        <f>IF(H448="","",VLOOKUP(H448,プルダウン用リスト!$K$1:$M$15,2,FALSE))</f>
        <v/>
      </c>
      <c r="H448" s="76"/>
      <c r="I448" s="61"/>
      <c r="J448" s="76"/>
      <c r="K448" s="146"/>
      <c r="L448" s="77"/>
      <c r="M448" s="78"/>
      <c r="N448" s="71"/>
      <c r="O448" s="432" t="str">
        <f t="shared" si="20"/>
        <v/>
      </c>
    </row>
    <row r="449" spans="2:15" x14ac:dyDescent="0.4">
      <c r="B449" s="74"/>
      <c r="C449" s="60"/>
      <c r="D449" s="426" t="str">
        <f>IF(C449="","",VLOOKUP(C449,団体基本情報!$B$13:$D$22,3,FALSE))</f>
        <v/>
      </c>
      <c r="E449" s="427" t="str">
        <f t="shared" si="18"/>
        <v/>
      </c>
      <c r="F449" s="428" t="str">
        <f t="shared" si="19"/>
        <v/>
      </c>
      <c r="G449" s="129" t="str">
        <f>IF(H449="","",VLOOKUP(H449,プルダウン用リスト!$K$1:$M$15,2,FALSE))</f>
        <v/>
      </c>
      <c r="H449" s="76"/>
      <c r="I449" s="61"/>
      <c r="J449" s="76"/>
      <c r="K449" s="146"/>
      <c r="L449" s="77"/>
      <c r="M449" s="78"/>
      <c r="N449" s="71"/>
      <c r="O449" s="432" t="str">
        <f t="shared" si="20"/>
        <v/>
      </c>
    </row>
    <row r="450" spans="2:15" x14ac:dyDescent="0.4">
      <c r="B450" s="74"/>
      <c r="C450" s="75"/>
      <c r="D450" s="426" t="str">
        <f>IF(C450="","",VLOOKUP(C450,団体基本情報!$B$13:$D$22,3,FALSE))</f>
        <v/>
      </c>
      <c r="E450" s="427" t="str">
        <f t="shared" si="18"/>
        <v/>
      </c>
      <c r="F450" s="428" t="str">
        <f t="shared" si="19"/>
        <v/>
      </c>
      <c r="G450" s="129" t="str">
        <f>IF(H450="","",VLOOKUP(H450,プルダウン用リスト!$K$1:$M$15,2,FALSE))</f>
        <v/>
      </c>
      <c r="H450" s="76"/>
      <c r="I450" s="76"/>
      <c r="J450" s="76"/>
      <c r="K450" s="146"/>
      <c r="L450" s="77"/>
      <c r="M450" s="78"/>
      <c r="N450" s="71"/>
      <c r="O450" s="432" t="str">
        <f t="shared" si="20"/>
        <v/>
      </c>
    </row>
    <row r="451" spans="2:15" x14ac:dyDescent="0.4">
      <c r="B451" s="74"/>
      <c r="C451" s="60"/>
      <c r="D451" s="426" t="str">
        <f>IF(C451="","",VLOOKUP(C451,団体基本情報!$B$13:$D$22,3,FALSE))</f>
        <v/>
      </c>
      <c r="E451" s="427" t="str">
        <f t="shared" si="18"/>
        <v/>
      </c>
      <c r="F451" s="428" t="str">
        <f t="shared" si="19"/>
        <v/>
      </c>
      <c r="G451" s="129" t="str">
        <f>IF(H451="","",VLOOKUP(H451,プルダウン用リスト!$K$1:$M$15,2,FALSE))</f>
        <v/>
      </c>
      <c r="H451" s="76"/>
      <c r="I451" s="61"/>
      <c r="J451" s="76"/>
      <c r="K451" s="146"/>
      <c r="L451" s="77"/>
      <c r="M451" s="78"/>
      <c r="N451" s="71"/>
      <c r="O451" s="432" t="str">
        <f t="shared" si="20"/>
        <v/>
      </c>
    </row>
    <row r="452" spans="2:15" x14ac:dyDescent="0.4">
      <c r="B452" s="74"/>
      <c r="C452" s="60"/>
      <c r="D452" s="426" t="str">
        <f>IF(C452="","",VLOOKUP(C452,団体基本情報!$B$13:$D$22,3,FALSE))</f>
        <v/>
      </c>
      <c r="E452" s="427" t="str">
        <f t="shared" si="18"/>
        <v/>
      </c>
      <c r="F452" s="428" t="str">
        <f t="shared" si="19"/>
        <v/>
      </c>
      <c r="G452" s="129" t="str">
        <f>IF(H452="","",VLOOKUP(H452,プルダウン用リスト!$K$1:$M$15,2,FALSE))</f>
        <v/>
      </c>
      <c r="H452" s="76"/>
      <c r="I452" s="61"/>
      <c r="J452" s="76"/>
      <c r="K452" s="146"/>
      <c r="L452" s="77"/>
      <c r="M452" s="78"/>
      <c r="N452" s="71"/>
      <c r="O452" s="432" t="str">
        <f t="shared" si="20"/>
        <v/>
      </c>
    </row>
    <row r="453" spans="2:15" x14ac:dyDescent="0.4">
      <c r="B453" s="74"/>
      <c r="C453" s="60"/>
      <c r="D453" s="426" t="str">
        <f>IF(C453="","",VLOOKUP(C453,団体基本情報!$B$13:$D$22,3,FALSE))</f>
        <v/>
      </c>
      <c r="E453" s="427" t="str">
        <f t="shared" si="18"/>
        <v/>
      </c>
      <c r="F453" s="428" t="str">
        <f t="shared" si="19"/>
        <v/>
      </c>
      <c r="G453" s="129" t="str">
        <f>IF(H453="","",VLOOKUP(H453,プルダウン用リスト!$K$1:$M$15,2,FALSE))</f>
        <v/>
      </c>
      <c r="H453" s="76"/>
      <c r="I453" s="76"/>
      <c r="J453" s="76"/>
      <c r="K453" s="146"/>
      <c r="L453" s="77"/>
      <c r="M453" s="78"/>
      <c r="N453" s="71"/>
      <c r="O453" s="432" t="str">
        <f t="shared" si="20"/>
        <v/>
      </c>
    </row>
    <row r="454" spans="2:15" x14ac:dyDescent="0.4">
      <c r="B454" s="74"/>
      <c r="C454" s="60"/>
      <c r="D454" s="426" t="str">
        <f>IF(C454="","",VLOOKUP(C454,団体基本情報!$B$13:$D$22,3,FALSE))</f>
        <v/>
      </c>
      <c r="E454" s="427" t="str">
        <f t="shared" si="18"/>
        <v/>
      </c>
      <c r="F454" s="428" t="str">
        <f t="shared" si="19"/>
        <v/>
      </c>
      <c r="G454" s="129" t="str">
        <f>IF(H454="","",VLOOKUP(H454,プルダウン用リスト!$K$1:$M$15,2,FALSE))</f>
        <v/>
      </c>
      <c r="H454" s="76"/>
      <c r="I454" s="61"/>
      <c r="J454" s="76"/>
      <c r="K454" s="146"/>
      <c r="L454" s="77"/>
      <c r="M454" s="78"/>
      <c r="N454" s="71"/>
      <c r="O454" s="432" t="str">
        <f t="shared" si="20"/>
        <v/>
      </c>
    </row>
    <row r="455" spans="2:15" x14ac:dyDescent="0.4">
      <c r="B455" s="74"/>
      <c r="C455" s="60"/>
      <c r="D455" s="426" t="str">
        <f>IF(C455="","",VLOOKUP(C455,団体基本情報!$B$13:$D$22,3,FALSE))</f>
        <v/>
      </c>
      <c r="E455" s="427" t="str">
        <f t="shared" ref="E455:E518" si="21">IF(F455="","",IF(F455="謝金","01.",IF(F455="旅費","02.",IF(F455="その他","04.","03."))))</f>
        <v/>
      </c>
      <c r="F455" s="428" t="str">
        <f t="shared" ref="F455:F518" si="22">IF(H455="","",IF(H455="謝金","謝金",IF(H455="旅費","旅費",IF(H455="対象外経費","その他","所費"))))</f>
        <v/>
      </c>
      <c r="G455" s="129" t="str">
        <f>IF(H455="","",VLOOKUP(H455,プルダウン用リスト!$K$1:$M$15,2,FALSE))</f>
        <v/>
      </c>
      <c r="H455" s="76"/>
      <c r="I455" s="61"/>
      <c r="J455" s="76"/>
      <c r="K455" s="146"/>
      <c r="L455" s="77"/>
      <c r="M455" s="78"/>
      <c r="N455" s="71"/>
      <c r="O455" s="432" t="str">
        <f t="shared" ref="O455:O518" si="23">IF(H455="対象外経費",M455,IF(N455="","",M455-N455))</f>
        <v/>
      </c>
    </row>
    <row r="456" spans="2:15" x14ac:dyDescent="0.4">
      <c r="B456" s="74"/>
      <c r="C456" s="60"/>
      <c r="D456" s="426" t="str">
        <f>IF(C456="","",VLOOKUP(C456,団体基本情報!$B$13:$D$22,3,FALSE))</f>
        <v/>
      </c>
      <c r="E456" s="427" t="str">
        <f t="shared" si="21"/>
        <v/>
      </c>
      <c r="F456" s="428" t="str">
        <f t="shared" si="22"/>
        <v/>
      </c>
      <c r="G456" s="129" t="str">
        <f>IF(H456="","",VLOOKUP(H456,プルダウン用リスト!$K$1:$M$15,2,FALSE))</f>
        <v/>
      </c>
      <c r="H456" s="76"/>
      <c r="I456" s="76"/>
      <c r="J456" s="76"/>
      <c r="K456" s="146"/>
      <c r="L456" s="77"/>
      <c r="M456" s="78"/>
      <c r="N456" s="71"/>
      <c r="O456" s="432" t="str">
        <f t="shared" si="23"/>
        <v/>
      </c>
    </row>
    <row r="457" spans="2:15" x14ac:dyDescent="0.4">
      <c r="B457" s="74"/>
      <c r="C457" s="60"/>
      <c r="D457" s="426" t="str">
        <f>IF(C457="","",VLOOKUP(C457,団体基本情報!$B$13:$D$22,3,FALSE))</f>
        <v/>
      </c>
      <c r="E457" s="427" t="str">
        <f t="shared" si="21"/>
        <v/>
      </c>
      <c r="F457" s="428" t="str">
        <f t="shared" si="22"/>
        <v/>
      </c>
      <c r="G457" s="129" t="str">
        <f>IF(H457="","",VLOOKUP(H457,プルダウン用リスト!$K$1:$M$15,2,FALSE))</f>
        <v/>
      </c>
      <c r="H457" s="76"/>
      <c r="I457" s="61"/>
      <c r="J457" s="76"/>
      <c r="K457" s="146"/>
      <c r="L457" s="77"/>
      <c r="M457" s="78"/>
      <c r="N457" s="71"/>
      <c r="O457" s="432" t="str">
        <f t="shared" si="23"/>
        <v/>
      </c>
    </row>
    <row r="458" spans="2:15" x14ac:dyDescent="0.4">
      <c r="B458" s="74"/>
      <c r="C458" s="60"/>
      <c r="D458" s="426" t="str">
        <f>IF(C458="","",VLOOKUP(C458,団体基本情報!$B$13:$D$22,3,FALSE))</f>
        <v/>
      </c>
      <c r="E458" s="427" t="str">
        <f t="shared" si="21"/>
        <v/>
      </c>
      <c r="F458" s="428" t="str">
        <f t="shared" si="22"/>
        <v/>
      </c>
      <c r="G458" s="129" t="str">
        <f>IF(H458="","",VLOOKUP(H458,プルダウン用リスト!$K$1:$M$15,2,FALSE))</f>
        <v/>
      </c>
      <c r="H458" s="76"/>
      <c r="I458" s="61"/>
      <c r="J458" s="76"/>
      <c r="K458" s="146"/>
      <c r="L458" s="77"/>
      <c r="M458" s="78"/>
      <c r="N458" s="71"/>
      <c r="O458" s="432" t="str">
        <f t="shared" si="23"/>
        <v/>
      </c>
    </row>
    <row r="459" spans="2:15" x14ac:dyDescent="0.4">
      <c r="B459" s="74"/>
      <c r="C459" s="60"/>
      <c r="D459" s="426" t="str">
        <f>IF(C459="","",VLOOKUP(C459,団体基本情報!$B$13:$D$22,3,FALSE))</f>
        <v/>
      </c>
      <c r="E459" s="427" t="str">
        <f t="shared" si="21"/>
        <v/>
      </c>
      <c r="F459" s="428" t="str">
        <f t="shared" si="22"/>
        <v/>
      </c>
      <c r="G459" s="129" t="str">
        <f>IF(H459="","",VLOOKUP(H459,プルダウン用リスト!$K$1:$M$15,2,FALSE))</f>
        <v/>
      </c>
      <c r="H459" s="76"/>
      <c r="I459" s="76"/>
      <c r="J459" s="76"/>
      <c r="K459" s="146"/>
      <c r="L459" s="77"/>
      <c r="M459" s="78"/>
      <c r="N459" s="71"/>
      <c r="O459" s="432" t="str">
        <f t="shared" si="23"/>
        <v/>
      </c>
    </row>
    <row r="460" spans="2:15" x14ac:dyDescent="0.4">
      <c r="B460" s="74"/>
      <c r="C460" s="60"/>
      <c r="D460" s="426" t="str">
        <f>IF(C460="","",VLOOKUP(C460,団体基本情報!$B$13:$D$22,3,FALSE))</f>
        <v/>
      </c>
      <c r="E460" s="427" t="str">
        <f t="shared" si="21"/>
        <v/>
      </c>
      <c r="F460" s="428" t="str">
        <f t="shared" si="22"/>
        <v/>
      </c>
      <c r="G460" s="129" t="str">
        <f>IF(H460="","",VLOOKUP(H460,プルダウン用リスト!$K$1:$M$15,2,FALSE))</f>
        <v/>
      </c>
      <c r="H460" s="76"/>
      <c r="I460" s="61"/>
      <c r="J460" s="76"/>
      <c r="K460" s="146"/>
      <c r="L460" s="77"/>
      <c r="M460" s="78"/>
      <c r="N460" s="71"/>
      <c r="O460" s="432" t="str">
        <f t="shared" si="23"/>
        <v/>
      </c>
    </row>
    <row r="461" spans="2:15" x14ac:dyDescent="0.4">
      <c r="B461" s="74"/>
      <c r="C461" s="60"/>
      <c r="D461" s="426" t="str">
        <f>IF(C461="","",VLOOKUP(C461,団体基本情報!$B$13:$D$22,3,FALSE))</f>
        <v/>
      </c>
      <c r="E461" s="427" t="str">
        <f t="shared" si="21"/>
        <v/>
      </c>
      <c r="F461" s="428" t="str">
        <f t="shared" si="22"/>
        <v/>
      </c>
      <c r="G461" s="129" t="str">
        <f>IF(H461="","",VLOOKUP(H461,プルダウン用リスト!$K$1:$M$15,2,FALSE))</f>
        <v/>
      </c>
      <c r="H461" s="76"/>
      <c r="I461" s="61"/>
      <c r="J461" s="76"/>
      <c r="K461" s="146"/>
      <c r="L461" s="77"/>
      <c r="M461" s="78"/>
      <c r="N461" s="71"/>
      <c r="O461" s="432" t="str">
        <f t="shared" si="23"/>
        <v/>
      </c>
    </row>
    <row r="462" spans="2:15" x14ac:dyDescent="0.4">
      <c r="B462" s="74"/>
      <c r="C462" s="75"/>
      <c r="D462" s="426" t="str">
        <f>IF(C462="","",VLOOKUP(C462,団体基本情報!$B$13:$D$22,3,FALSE))</f>
        <v/>
      </c>
      <c r="E462" s="427" t="str">
        <f t="shared" si="21"/>
        <v/>
      </c>
      <c r="F462" s="428" t="str">
        <f t="shared" si="22"/>
        <v/>
      </c>
      <c r="G462" s="129" t="str">
        <f>IF(H462="","",VLOOKUP(H462,プルダウン用リスト!$K$1:$M$15,2,FALSE))</f>
        <v/>
      </c>
      <c r="H462" s="76"/>
      <c r="I462" s="76"/>
      <c r="J462" s="76"/>
      <c r="K462" s="146"/>
      <c r="L462" s="77"/>
      <c r="M462" s="78"/>
      <c r="N462" s="71"/>
      <c r="O462" s="432" t="str">
        <f t="shared" si="23"/>
        <v/>
      </c>
    </row>
    <row r="463" spans="2:15" x14ac:dyDescent="0.4">
      <c r="B463" s="74"/>
      <c r="C463" s="60"/>
      <c r="D463" s="426" t="str">
        <f>IF(C463="","",VLOOKUP(C463,団体基本情報!$B$13:$D$22,3,FALSE))</f>
        <v/>
      </c>
      <c r="E463" s="427" t="str">
        <f t="shared" si="21"/>
        <v/>
      </c>
      <c r="F463" s="428" t="str">
        <f t="shared" si="22"/>
        <v/>
      </c>
      <c r="G463" s="129" t="str">
        <f>IF(H463="","",VLOOKUP(H463,プルダウン用リスト!$K$1:$M$15,2,FALSE))</f>
        <v/>
      </c>
      <c r="H463" s="76"/>
      <c r="I463" s="61"/>
      <c r="J463" s="76"/>
      <c r="K463" s="146"/>
      <c r="L463" s="77"/>
      <c r="M463" s="78"/>
      <c r="N463" s="71"/>
      <c r="O463" s="432" t="str">
        <f t="shared" si="23"/>
        <v/>
      </c>
    </row>
    <row r="464" spans="2:15" x14ac:dyDescent="0.4">
      <c r="B464" s="74"/>
      <c r="C464" s="60"/>
      <c r="D464" s="426" t="str">
        <f>IF(C464="","",VLOOKUP(C464,団体基本情報!$B$13:$D$22,3,FALSE))</f>
        <v/>
      </c>
      <c r="E464" s="427" t="str">
        <f t="shared" si="21"/>
        <v/>
      </c>
      <c r="F464" s="428" t="str">
        <f t="shared" si="22"/>
        <v/>
      </c>
      <c r="G464" s="129" t="str">
        <f>IF(H464="","",VLOOKUP(H464,プルダウン用リスト!$K$1:$M$15,2,FALSE))</f>
        <v/>
      </c>
      <c r="H464" s="76"/>
      <c r="I464" s="61"/>
      <c r="J464" s="76"/>
      <c r="K464" s="146"/>
      <c r="L464" s="77"/>
      <c r="M464" s="78"/>
      <c r="N464" s="71"/>
      <c r="O464" s="432" t="str">
        <f t="shared" si="23"/>
        <v/>
      </c>
    </row>
    <row r="465" spans="2:15" x14ac:dyDescent="0.4">
      <c r="B465" s="74"/>
      <c r="C465" s="60"/>
      <c r="D465" s="426" t="str">
        <f>IF(C465="","",VLOOKUP(C465,団体基本情報!$B$13:$D$22,3,FALSE))</f>
        <v/>
      </c>
      <c r="E465" s="427" t="str">
        <f t="shared" si="21"/>
        <v/>
      </c>
      <c r="F465" s="428" t="str">
        <f t="shared" si="22"/>
        <v/>
      </c>
      <c r="G465" s="129" t="str">
        <f>IF(H465="","",VLOOKUP(H465,プルダウン用リスト!$K$1:$M$15,2,FALSE))</f>
        <v/>
      </c>
      <c r="H465" s="76"/>
      <c r="I465" s="76"/>
      <c r="J465" s="76"/>
      <c r="K465" s="146"/>
      <c r="L465" s="77"/>
      <c r="M465" s="78"/>
      <c r="N465" s="71"/>
      <c r="O465" s="432" t="str">
        <f t="shared" si="23"/>
        <v/>
      </c>
    </row>
    <row r="466" spans="2:15" x14ac:dyDescent="0.4">
      <c r="B466" s="74"/>
      <c r="C466" s="60"/>
      <c r="D466" s="426" t="str">
        <f>IF(C466="","",VLOOKUP(C466,団体基本情報!$B$13:$D$22,3,FALSE))</f>
        <v/>
      </c>
      <c r="E466" s="427" t="str">
        <f t="shared" si="21"/>
        <v/>
      </c>
      <c r="F466" s="428" t="str">
        <f t="shared" si="22"/>
        <v/>
      </c>
      <c r="G466" s="129" t="str">
        <f>IF(H466="","",VLOOKUP(H466,プルダウン用リスト!$K$1:$M$15,2,FALSE))</f>
        <v/>
      </c>
      <c r="H466" s="76"/>
      <c r="I466" s="61"/>
      <c r="J466" s="76"/>
      <c r="K466" s="146"/>
      <c r="L466" s="77"/>
      <c r="M466" s="78"/>
      <c r="N466" s="71"/>
      <c r="O466" s="432" t="str">
        <f t="shared" si="23"/>
        <v/>
      </c>
    </row>
    <row r="467" spans="2:15" x14ac:dyDescent="0.4">
      <c r="B467" s="74"/>
      <c r="C467" s="60"/>
      <c r="D467" s="426" t="str">
        <f>IF(C467="","",VLOOKUP(C467,団体基本情報!$B$13:$D$22,3,FALSE))</f>
        <v/>
      </c>
      <c r="E467" s="427" t="str">
        <f t="shared" si="21"/>
        <v/>
      </c>
      <c r="F467" s="428" t="str">
        <f t="shared" si="22"/>
        <v/>
      </c>
      <c r="G467" s="129" t="str">
        <f>IF(H467="","",VLOOKUP(H467,プルダウン用リスト!$K$1:$M$15,2,FALSE))</f>
        <v/>
      </c>
      <c r="H467" s="76"/>
      <c r="I467" s="61"/>
      <c r="J467" s="76"/>
      <c r="K467" s="146"/>
      <c r="L467" s="77"/>
      <c r="M467" s="78"/>
      <c r="N467" s="71"/>
      <c r="O467" s="432" t="str">
        <f t="shared" si="23"/>
        <v/>
      </c>
    </row>
    <row r="468" spans="2:15" x14ac:dyDescent="0.4">
      <c r="B468" s="74"/>
      <c r="C468" s="60"/>
      <c r="D468" s="426" t="str">
        <f>IF(C468="","",VLOOKUP(C468,団体基本情報!$B$13:$D$22,3,FALSE))</f>
        <v/>
      </c>
      <c r="E468" s="427" t="str">
        <f t="shared" si="21"/>
        <v/>
      </c>
      <c r="F468" s="428" t="str">
        <f t="shared" si="22"/>
        <v/>
      </c>
      <c r="G468" s="129" t="str">
        <f>IF(H468="","",VLOOKUP(H468,プルダウン用リスト!$K$1:$M$15,2,FALSE))</f>
        <v/>
      </c>
      <c r="H468" s="76"/>
      <c r="I468" s="76"/>
      <c r="J468" s="76"/>
      <c r="K468" s="146"/>
      <c r="L468" s="77"/>
      <c r="M468" s="78"/>
      <c r="N468" s="71"/>
      <c r="O468" s="432" t="str">
        <f t="shared" si="23"/>
        <v/>
      </c>
    </row>
    <row r="469" spans="2:15" x14ac:dyDescent="0.4">
      <c r="B469" s="74"/>
      <c r="C469" s="60"/>
      <c r="D469" s="426" t="str">
        <f>IF(C469="","",VLOOKUP(C469,団体基本情報!$B$13:$D$22,3,FALSE))</f>
        <v/>
      </c>
      <c r="E469" s="427" t="str">
        <f t="shared" si="21"/>
        <v/>
      </c>
      <c r="F469" s="428" t="str">
        <f t="shared" si="22"/>
        <v/>
      </c>
      <c r="G469" s="129" t="str">
        <f>IF(H469="","",VLOOKUP(H469,プルダウン用リスト!$K$1:$M$15,2,FALSE))</f>
        <v/>
      </c>
      <c r="H469" s="76"/>
      <c r="I469" s="61"/>
      <c r="J469" s="76"/>
      <c r="K469" s="146"/>
      <c r="L469" s="77"/>
      <c r="M469" s="78"/>
      <c r="N469" s="71"/>
      <c r="O469" s="432" t="str">
        <f t="shared" si="23"/>
        <v/>
      </c>
    </row>
    <row r="470" spans="2:15" x14ac:dyDescent="0.4">
      <c r="B470" s="74"/>
      <c r="C470" s="60"/>
      <c r="D470" s="426" t="str">
        <f>IF(C470="","",VLOOKUP(C470,団体基本情報!$B$13:$D$22,3,FALSE))</f>
        <v/>
      </c>
      <c r="E470" s="427" t="str">
        <f t="shared" si="21"/>
        <v/>
      </c>
      <c r="F470" s="428" t="str">
        <f t="shared" si="22"/>
        <v/>
      </c>
      <c r="G470" s="129" t="str">
        <f>IF(H470="","",VLOOKUP(H470,プルダウン用リスト!$K$1:$M$15,2,FALSE))</f>
        <v/>
      </c>
      <c r="H470" s="76"/>
      <c r="I470" s="61"/>
      <c r="J470" s="76"/>
      <c r="K470" s="146"/>
      <c r="L470" s="77"/>
      <c r="M470" s="78"/>
      <c r="N470" s="71"/>
      <c r="O470" s="432" t="str">
        <f t="shared" si="23"/>
        <v/>
      </c>
    </row>
    <row r="471" spans="2:15" x14ac:dyDescent="0.4">
      <c r="B471" s="74"/>
      <c r="C471" s="60"/>
      <c r="D471" s="426" t="str">
        <f>IF(C471="","",VLOOKUP(C471,団体基本情報!$B$13:$D$22,3,FALSE))</f>
        <v/>
      </c>
      <c r="E471" s="427" t="str">
        <f t="shared" si="21"/>
        <v/>
      </c>
      <c r="F471" s="428" t="str">
        <f t="shared" si="22"/>
        <v/>
      </c>
      <c r="G471" s="129" t="str">
        <f>IF(H471="","",VLOOKUP(H471,プルダウン用リスト!$K$1:$M$15,2,FALSE))</f>
        <v/>
      </c>
      <c r="H471" s="76"/>
      <c r="I471" s="76"/>
      <c r="J471" s="76"/>
      <c r="K471" s="146"/>
      <c r="L471" s="77"/>
      <c r="M471" s="78"/>
      <c r="N471" s="71"/>
      <c r="O471" s="432" t="str">
        <f t="shared" si="23"/>
        <v/>
      </c>
    </row>
    <row r="472" spans="2:15" x14ac:dyDescent="0.4">
      <c r="B472" s="74"/>
      <c r="C472" s="60"/>
      <c r="D472" s="426" t="str">
        <f>IF(C472="","",VLOOKUP(C472,団体基本情報!$B$13:$D$22,3,FALSE))</f>
        <v/>
      </c>
      <c r="E472" s="427" t="str">
        <f t="shared" si="21"/>
        <v/>
      </c>
      <c r="F472" s="428" t="str">
        <f t="shared" si="22"/>
        <v/>
      </c>
      <c r="G472" s="129" t="str">
        <f>IF(H472="","",VLOOKUP(H472,プルダウン用リスト!$K$1:$M$15,2,FALSE))</f>
        <v/>
      </c>
      <c r="H472" s="76"/>
      <c r="I472" s="61"/>
      <c r="J472" s="76"/>
      <c r="K472" s="146"/>
      <c r="L472" s="77"/>
      <c r="M472" s="78"/>
      <c r="N472" s="71"/>
      <c r="O472" s="432" t="str">
        <f t="shared" si="23"/>
        <v/>
      </c>
    </row>
    <row r="473" spans="2:15" x14ac:dyDescent="0.4">
      <c r="B473" s="74"/>
      <c r="C473" s="60"/>
      <c r="D473" s="426" t="str">
        <f>IF(C473="","",VLOOKUP(C473,団体基本情報!$B$13:$D$22,3,FALSE))</f>
        <v/>
      </c>
      <c r="E473" s="427" t="str">
        <f t="shared" si="21"/>
        <v/>
      </c>
      <c r="F473" s="428" t="str">
        <f t="shared" si="22"/>
        <v/>
      </c>
      <c r="G473" s="129" t="str">
        <f>IF(H473="","",VLOOKUP(H473,プルダウン用リスト!$K$1:$M$15,2,FALSE))</f>
        <v/>
      </c>
      <c r="H473" s="76"/>
      <c r="I473" s="61"/>
      <c r="J473" s="76"/>
      <c r="K473" s="146"/>
      <c r="L473" s="77"/>
      <c r="M473" s="78"/>
      <c r="N473" s="71"/>
      <c r="O473" s="432" t="str">
        <f t="shared" si="23"/>
        <v/>
      </c>
    </row>
    <row r="474" spans="2:15" x14ac:dyDescent="0.4">
      <c r="B474" s="74"/>
      <c r="C474" s="75"/>
      <c r="D474" s="426" t="str">
        <f>IF(C474="","",VLOOKUP(C474,団体基本情報!$B$13:$D$22,3,FALSE))</f>
        <v/>
      </c>
      <c r="E474" s="427" t="str">
        <f t="shared" si="21"/>
        <v/>
      </c>
      <c r="F474" s="428" t="str">
        <f t="shared" si="22"/>
        <v/>
      </c>
      <c r="G474" s="129" t="str">
        <f>IF(H474="","",VLOOKUP(H474,プルダウン用リスト!$K$1:$M$15,2,FALSE))</f>
        <v/>
      </c>
      <c r="H474" s="76"/>
      <c r="I474" s="76"/>
      <c r="J474" s="76"/>
      <c r="K474" s="146"/>
      <c r="L474" s="77"/>
      <c r="M474" s="78"/>
      <c r="N474" s="71"/>
      <c r="O474" s="432" t="str">
        <f t="shared" si="23"/>
        <v/>
      </c>
    </row>
    <row r="475" spans="2:15" x14ac:dyDescent="0.4">
      <c r="B475" s="74"/>
      <c r="C475" s="60"/>
      <c r="D475" s="426" t="str">
        <f>IF(C475="","",VLOOKUP(C475,団体基本情報!$B$13:$D$22,3,FALSE))</f>
        <v/>
      </c>
      <c r="E475" s="427" t="str">
        <f t="shared" si="21"/>
        <v/>
      </c>
      <c r="F475" s="428" t="str">
        <f t="shared" si="22"/>
        <v/>
      </c>
      <c r="G475" s="129" t="str">
        <f>IF(H475="","",VLOOKUP(H475,プルダウン用リスト!$K$1:$M$15,2,FALSE))</f>
        <v/>
      </c>
      <c r="H475" s="76"/>
      <c r="I475" s="61"/>
      <c r="J475" s="76"/>
      <c r="K475" s="146"/>
      <c r="L475" s="77"/>
      <c r="M475" s="78"/>
      <c r="N475" s="71"/>
      <c r="O475" s="432" t="str">
        <f t="shared" si="23"/>
        <v/>
      </c>
    </row>
    <row r="476" spans="2:15" x14ac:dyDescent="0.4">
      <c r="B476" s="74"/>
      <c r="C476" s="60"/>
      <c r="D476" s="426" t="str">
        <f>IF(C476="","",VLOOKUP(C476,団体基本情報!$B$13:$D$22,3,FALSE))</f>
        <v/>
      </c>
      <c r="E476" s="427" t="str">
        <f t="shared" si="21"/>
        <v/>
      </c>
      <c r="F476" s="428" t="str">
        <f t="shared" si="22"/>
        <v/>
      </c>
      <c r="G476" s="129" t="str">
        <f>IF(H476="","",VLOOKUP(H476,プルダウン用リスト!$K$1:$M$15,2,FALSE))</f>
        <v/>
      </c>
      <c r="H476" s="76"/>
      <c r="I476" s="61"/>
      <c r="J476" s="76"/>
      <c r="K476" s="146"/>
      <c r="L476" s="77"/>
      <c r="M476" s="78"/>
      <c r="N476" s="71"/>
      <c r="O476" s="432" t="str">
        <f t="shared" si="23"/>
        <v/>
      </c>
    </row>
    <row r="477" spans="2:15" x14ac:dyDescent="0.4">
      <c r="B477" s="74"/>
      <c r="C477" s="60"/>
      <c r="D477" s="426" t="str">
        <f>IF(C477="","",VLOOKUP(C477,団体基本情報!$B$13:$D$22,3,FALSE))</f>
        <v/>
      </c>
      <c r="E477" s="427" t="str">
        <f t="shared" si="21"/>
        <v/>
      </c>
      <c r="F477" s="428" t="str">
        <f t="shared" si="22"/>
        <v/>
      </c>
      <c r="G477" s="129" t="str">
        <f>IF(H477="","",VLOOKUP(H477,プルダウン用リスト!$K$1:$M$15,2,FALSE))</f>
        <v/>
      </c>
      <c r="H477" s="76"/>
      <c r="I477" s="76"/>
      <c r="J477" s="76"/>
      <c r="K477" s="146"/>
      <c r="L477" s="77"/>
      <c r="M477" s="78"/>
      <c r="N477" s="71"/>
      <c r="O477" s="432" t="str">
        <f t="shared" si="23"/>
        <v/>
      </c>
    </row>
    <row r="478" spans="2:15" x14ac:dyDescent="0.4">
      <c r="B478" s="74"/>
      <c r="C478" s="60"/>
      <c r="D478" s="426" t="str">
        <f>IF(C478="","",VLOOKUP(C478,団体基本情報!$B$13:$D$22,3,FALSE))</f>
        <v/>
      </c>
      <c r="E478" s="427" t="str">
        <f t="shared" si="21"/>
        <v/>
      </c>
      <c r="F478" s="428" t="str">
        <f t="shared" si="22"/>
        <v/>
      </c>
      <c r="G478" s="129" t="str">
        <f>IF(H478="","",VLOOKUP(H478,プルダウン用リスト!$K$1:$M$15,2,FALSE))</f>
        <v/>
      </c>
      <c r="H478" s="76"/>
      <c r="I478" s="61"/>
      <c r="J478" s="76"/>
      <c r="K478" s="146"/>
      <c r="L478" s="77"/>
      <c r="M478" s="78"/>
      <c r="N478" s="71"/>
      <c r="O478" s="432" t="str">
        <f t="shared" si="23"/>
        <v/>
      </c>
    </row>
    <row r="479" spans="2:15" x14ac:dyDescent="0.4">
      <c r="B479" s="74"/>
      <c r="C479" s="60"/>
      <c r="D479" s="426" t="str">
        <f>IF(C479="","",VLOOKUP(C479,団体基本情報!$B$13:$D$22,3,FALSE))</f>
        <v/>
      </c>
      <c r="E479" s="427" t="str">
        <f t="shared" si="21"/>
        <v/>
      </c>
      <c r="F479" s="428" t="str">
        <f t="shared" si="22"/>
        <v/>
      </c>
      <c r="G479" s="129" t="str">
        <f>IF(H479="","",VLOOKUP(H479,プルダウン用リスト!$K$1:$M$15,2,FALSE))</f>
        <v/>
      </c>
      <c r="H479" s="76"/>
      <c r="I479" s="61"/>
      <c r="J479" s="76"/>
      <c r="K479" s="146"/>
      <c r="L479" s="77"/>
      <c r="M479" s="78"/>
      <c r="N479" s="71"/>
      <c r="O479" s="432" t="str">
        <f t="shared" si="23"/>
        <v/>
      </c>
    </row>
    <row r="480" spans="2:15" x14ac:dyDescent="0.4">
      <c r="B480" s="74"/>
      <c r="C480" s="60"/>
      <c r="D480" s="426" t="str">
        <f>IF(C480="","",VLOOKUP(C480,団体基本情報!$B$13:$D$22,3,FALSE))</f>
        <v/>
      </c>
      <c r="E480" s="427" t="str">
        <f t="shared" si="21"/>
        <v/>
      </c>
      <c r="F480" s="428" t="str">
        <f t="shared" si="22"/>
        <v/>
      </c>
      <c r="G480" s="129" t="str">
        <f>IF(H480="","",VLOOKUP(H480,プルダウン用リスト!$K$1:$M$15,2,FALSE))</f>
        <v/>
      </c>
      <c r="H480" s="76"/>
      <c r="I480" s="76"/>
      <c r="J480" s="76"/>
      <c r="K480" s="146"/>
      <c r="L480" s="77"/>
      <c r="M480" s="78"/>
      <c r="N480" s="71"/>
      <c r="O480" s="432" t="str">
        <f t="shared" si="23"/>
        <v/>
      </c>
    </row>
    <row r="481" spans="2:15" x14ac:dyDescent="0.4">
      <c r="B481" s="74"/>
      <c r="C481" s="60"/>
      <c r="D481" s="426" t="str">
        <f>IF(C481="","",VLOOKUP(C481,団体基本情報!$B$13:$D$22,3,FALSE))</f>
        <v/>
      </c>
      <c r="E481" s="427" t="str">
        <f t="shared" si="21"/>
        <v/>
      </c>
      <c r="F481" s="428" t="str">
        <f t="shared" si="22"/>
        <v/>
      </c>
      <c r="G481" s="129" t="str">
        <f>IF(H481="","",VLOOKUP(H481,プルダウン用リスト!$K$1:$M$15,2,FALSE))</f>
        <v/>
      </c>
      <c r="H481" s="76"/>
      <c r="I481" s="61"/>
      <c r="J481" s="76"/>
      <c r="K481" s="146"/>
      <c r="L481" s="77"/>
      <c r="M481" s="78"/>
      <c r="N481" s="71"/>
      <c r="O481" s="432" t="str">
        <f t="shared" si="23"/>
        <v/>
      </c>
    </row>
    <row r="482" spans="2:15" x14ac:dyDescent="0.4">
      <c r="B482" s="74"/>
      <c r="C482" s="60"/>
      <c r="D482" s="426" t="str">
        <f>IF(C482="","",VLOOKUP(C482,団体基本情報!$B$13:$D$22,3,FALSE))</f>
        <v/>
      </c>
      <c r="E482" s="427" t="str">
        <f t="shared" si="21"/>
        <v/>
      </c>
      <c r="F482" s="428" t="str">
        <f t="shared" si="22"/>
        <v/>
      </c>
      <c r="G482" s="129" t="str">
        <f>IF(H482="","",VLOOKUP(H482,プルダウン用リスト!$K$1:$M$15,2,FALSE))</f>
        <v/>
      </c>
      <c r="H482" s="76"/>
      <c r="I482" s="61"/>
      <c r="J482" s="76"/>
      <c r="K482" s="146"/>
      <c r="L482" s="77"/>
      <c r="M482" s="78"/>
      <c r="N482" s="71"/>
      <c r="O482" s="432" t="str">
        <f t="shared" si="23"/>
        <v/>
      </c>
    </row>
    <row r="483" spans="2:15" x14ac:dyDescent="0.4">
      <c r="B483" s="74"/>
      <c r="C483" s="60"/>
      <c r="D483" s="426" t="str">
        <f>IF(C483="","",VLOOKUP(C483,団体基本情報!$B$13:$D$22,3,FALSE))</f>
        <v/>
      </c>
      <c r="E483" s="427" t="str">
        <f t="shared" si="21"/>
        <v/>
      </c>
      <c r="F483" s="428" t="str">
        <f t="shared" si="22"/>
        <v/>
      </c>
      <c r="G483" s="129" t="str">
        <f>IF(H483="","",VLOOKUP(H483,プルダウン用リスト!$K$1:$M$15,2,FALSE))</f>
        <v/>
      </c>
      <c r="H483" s="76"/>
      <c r="I483" s="76"/>
      <c r="J483" s="76"/>
      <c r="K483" s="146"/>
      <c r="L483" s="77"/>
      <c r="M483" s="78"/>
      <c r="N483" s="71"/>
      <c r="O483" s="432" t="str">
        <f t="shared" si="23"/>
        <v/>
      </c>
    </row>
    <row r="484" spans="2:15" x14ac:dyDescent="0.4">
      <c r="B484" s="74"/>
      <c r="C484" s="60"/>
      <c r="D484" s="426" t="str">
        <f>IF(C484="","",VLOOKUP(C484,団体基本情報!$B$13:$D$22,3,FALSE))</f>
        <v/>
      </c>
      <c r="E484" s="427" t="str">
        <f t="shared" si="21"/>
        <v/>
      </c>
      <c r="F484" s="428" t="str">
        <f t="shared" si="22"/>
        <v/>
      </c>
      <c r="G484" s="129" t="str">
        <f>IF(H484="","",VLOOKUP(H484,プルダウン用リスト!$K$1:$M$15,2,FALSE))</f>
        <v/>
      </c>
      <c r="H484" s="76"/>
      <c r="I484" s="61"/>
      <c r="J484" s="76"/>
      <c r="K484" s="146"/>
      <c r="L484" s="77"/>
      <c r="M484" s="78"/>
      <c r="N484" s="71"/>
      <c r="O484" s="432" t="str">
        <f t="shared" si="23"/>
        <v/>
      </c>
    </row>
    <row r="485" spans="2:15" x14ac:dyDescent="0.4">
      <c r="B485" s="74"/>
      <c r="C485" s="60"/>
      <c r="D485" s="426" t="str">
        <f>IF(C485="","",VLOOKUP(C485,団体基本情報!$B$13:$D$22,3,FALSE))</f>
        <v/>
      </c>
      <c r="E485" s="427" t="str">
        <f t="shared" si="21"/>
        <v/>
      </c>
      <c r="F485" s="428" t="str">
        <f t="shared" si="22"/>
        <v/>
      </c>
      <c r="G485" s="129" t="str">
        <f>IF(H485="","",VLOOKUP(H485,プルダウン用リスト!$K$1:$M$15,2,FALSE))</f>
        <v/>
      </c>
      <c r="H485" s="76"/>
      <c r="I485" s="61"/>
      <c r="J485" s="76"/>
      <c r="K485" s="146"/>
      <c r="L485" s="77"/>
      <c r="M485" s="78"/>
      <c r="N485" s="71"/>
      <c r="O485" s="432" t="str">
        <f t="shared" si="23"/>
        <v/>
      </c>
    </row>
    <row r="486" spans="2:15" x14ac:dyDescent="0.4">
      <c r="B486" s="74"/>
      <c r="C486" s="75"/>
      <c r="D486" s="426" t="str">
        <f>IF(C486="","",VLOOKUP(C486,団体基本情報!$B$13:$D$22,3,FALSE))</f>
        <v/>
      </c>
      <c r="E486" s="427" t="str">
        <f t="shared" si="21"/>
        <v/>
      </c>
      <c r="F486" s="428" t="str">
        <f t="shared" si="22"/>
        <v/>
      </c>
      <c r="G486" s="129" t="str">
        <f>IF(H486="","",VLOOKUP(H486,プルダウン用リスト!$K$1:$M$15,2,FALSE))</f>
        <v/>
      </c>
      <c r="H486" s="76"/>
      <c r="I486" s="76"/>
      <c r="J486" s="76"/>
      <c r="K486" s="146"/>
      <c r="L486" s="77"/>
      <c r="M486" s="78"/>
      <c r="N486" s="71"/>
      <c r="O486" s="432" t="str">
        <f t="shared" si="23"/>
        <v/>
      </c>
    </row>
    <row r="487" spans="2:15" x14ac:dyDescent="0.4">
      <c r="B487" s="74"/>
      <c r="C487" s="60"/>
      <c r="D487" s="426" t="str">
        <f>IF(C487="","",VLOOKUP(C487,団体基本情報!$B$13:$D$22,3,FALSE))</f>
        <v/>
      </c>
      <c r="E487" s="427" t="str">
        <f t="shared" si="21"/>
        <v/>
      </c>
      <c r="F487" s="428" t="str">
        <f t="shared" si="22"/>
        <v/>
      </c>
      <c r="G487" s="129" t="str">
        <f>IF(H487="","",VLOOKUP(H487,プルダウン用リスト!$K$1:$M$15,2,FALSE))</f>
        <v/>
      </c>
      <c r="H487" s="76"/>
      <c r="I487" s="61"/>
      <c r="J487" s="76"/>
      <c r="K487" s="146"/>
      <c r="L487" s="77"/>
      <c r="M487" s="78"/>
      <c r="N487" s="71"/>
      <c r="O487" s="432" t="str">
        <f t="shared" si="23"/>
        <v/>
      </c>
    </row>
    <row r="488" spans="2:15" x14ac:dyDescent="0.4">
      <c r="B488" s="74"/>
      <c r="C488" s="60"/>
      <c r="D488" s="426" t="str">
        <f>IF(C488="","",VLOOKUP(C488,団体基本情報!$B$13:$D$22,3,FALSE))</f>
        <v/>
      </c>
      <c r="E488" s="427" t="str">
        <f t="shared" si="21"/>
        <v/>
      </c>
      <c r="F488" s="428" t="str">
        <f t="shared" si="22"/>
        <v/>
      </c>
      <c r="G488" s="129" t="str">
        <f>IF(H488="","",VLOOKUP(H488,プルダウン用リスト!$K$1:$M$15,2,FALSE))</f>
        <v/>
      </c>
      <c r="H488" s="76"/>
      <c r="I488" s="61"/>
      <c r="J488" s="76"/>
      <c r="K488" s="146"/>
      <c r="L488" s="77"/>
      <c r="M488" s="78"/>
      <c r="N488" s="71"/>
      <c r="O488" s="432" t="str">
        <f t="shared" si="23"/>
        <v/>
      </c>
    </row>
    <row r="489" spans="2:15" x14ac:dyDescent="0.4">
      <c r="B489" s="74"/>
      <c r="C489" s="60"/>
      <c r="D489" s="426" t="str">
        <f>IF(C489="","",VLOOKUP(C489,団体基本情報!$B$13:$D$22,3,FALSE))</f>
        <v/>
      </c>
      <c r="E489" s="427" t="str">
        <f t="shared" si="21"/>
        <v/>
      </c>
      <c r="F489" s="428" t="str">
        <f t="shared" si="22"/>
        <v/>
      </c>
      <c r="G489" s="129" t="str">
        <f>IF(H489="","",VLOOKUP(H489,プルダウン用リスト!$K$1:$M$15,2,FALSE))</f>
        <v/>
      </c>
      <c r="H489" s="76"/>
      <c r="I489" s="76"/>
      <c r="J489" s="76"/>
      <c r="K489" s="146"/>
      <c r="L489" s="77"/>
      <c r="M489" s="78"/>
      <c r="N489" s="71"/>
      <c r="O489" s="432" t="str">
        <f t="shared" si="23"/>
        <v/>
      </c>
    </row>
    <row r="490" spans="2:15" x14ac:dyDescent="0.4">
      <c r="B490" s="74"/>
      <c r="C490" s="60"/>
      <c r="D490" s="426" t="str">
        <f>IF(C490="","",VLOOKUP(C490,団体基本情報!$B$13:$D$22,3,FALSE))</f>
        <v/>
      </c>
      <c r="E490" s="427" t="str">
        <f t="shared" si="21"/>
        <v/>
      </c>
      <c r="F490" s="428" t="str">
        <f t="shared" si="22"/>
        <v/>
      </c>
      <c r="G490" s="129" t="str">
        <f>IF(H490="","",VLOOKUP(H490,プルダウン用リスト!$K$1:$M$15,2,FALSE))</f>
        <v/>
      </c>
      <c r="H490" s="76"/>
      <c r="I490" s="61"/>
      <c r="J490" s="76"/>
      <c r="K490" s="146"/>
      <c r="L490" s="77"/>
      <c r="M490" s="78"/>
      <c r="N490" s="71"/>
      <c r="O490" s="432" t="str">
        <f t="shared" si="23"/>
        <v/>
      </c>
    </row>
    <row r="491" spans="2:15" x14ac:dyDescent="0.4">
      <c r="B491" s="74"/>
      <c r="C491" s="60"/>
      <c r="D491" s="426" t="str">
        <f>IF(C491="","",VLOOKUP(C491,団体基本情報!$B$13:$D$22,3,FALSE))</f>
        <v/>
      </c>
      <c r="E491" s="427" t="str">
        <f t="shared" si="21"/>
        <v/>
      </c>
      <c r="F491" s="428" t="str">
        <f t="shared" si="22"/>
        <v/>
      </c>
      <c r="G491" s="129" t="str">
        <f>IF(H491="","",VLOOKUP(H491,プルダウン用リスト!$K$1:$M$15,2,FALSE))</f>
        <v/>
      </c>
      <c r="H491" s="76"/>
      <c r="I491" s="61"/>
      <c r="J491" s="76"/>
      <c r="K491" s="146"/>
      <c r="L491" s="77"/>
      <c r="M491" s="78"/>
      <c r="N491" s="71"/>
      <c r="O491" s="432" t="str">
        <f t="shared" si="23"/>
        <v/>
      </c>
    </row>
    <row r="492" spans="2:15" x14ac:dyDescent="0.4">
      <c r="B492" s="74"/>
      <c r="C492" s="60"/>
      <c r="D492" s="426" t="str">
        <f>IF(C492="","",VLOOKUP(C492,団体基本情報!$B$13:$D$22,3,FALSE))</f>
        <v/>
      </c>
      <c r="E492" s="427" t="str">
        <f t="shared" si="21"/>
        <v/>
      </c>
      <c r="F492" s="428" t="str">
        <f t="shared" si="22"/>
        <v/>
      </c>
      <c r="G492" s="129" t="str">
        <f>IF(H492="","",VLOOKUP(H492,プルダウン用リスト!$K$1:$M$15,2,FALSE))</f>
        <v/>
      </c>
      <c r="H492" s="76"/>
      <c r="I492" s="76"/>
      <c r="J492" s="76"/>
      <c r="K492" s="146"/>
      <c r="L492" s="77"/>
      <c r="M492" s="78"/>
      <c r="N492" s="71"/>
      <c r="O492" s="432" t="str">
        <f t="shared" si="23"/>
        <v/>
      </c>
    </row>
    <row r="493" spans="2:15" x14ac:dyDescent="0.4">
      <c r="B493" s="74"/>
      <c r="C493" s="60"/>
      <c r="D493" s="426" t="str">
        <f>IF(C493="","",VLOOKUP(C493,団体基本情報!$B$13:$D$22,3,FALSE))</f>
        <v/>
      </c>
      <c r="E493" s="427" t="str">
        <f t="shared" si="21"/>
        <v/>
      </c>
      <c r="F493" s="428" t="str">
        <f t="shared" si="22"/>
        <v/>
      </c>
      <c r="G493" s="129" t="str">
        <f>IF(H493="","",VLOOKUP(H493,プルダウン用リスト!$K$1:$M$15,2,FALSE))</f>
        <v/>
      </c>
      <c r="H493" s="76"/>
      <c r="I493" s="61"/>
      <c r="J493" s="76"/>
      <c r="K493" s="146"/>
      <c r="L493" s="77"/>
      <c r="M493" s="78"/>
      <c r="N493" s="71"/>
      <c r="O493" s="432" t="str">
        <f t="shared" si="23"/>
        <v/>
      </c>
    </row>
    <row r="494" spans="2:15" x14ac:dyDescent="0.4">
      <c r="B494" s="74"/>
      <c r="C494" s="60"/>
      <c r="D494" s="426" t="str">
        <f>IF(C494="","",VLOOKUP(C494,団体基本情報!$B$13:$D$22,3,FALSE))</f>
        <v/>
      </c>
      <c r="E494" s="427" t="str">
        <f t="shared" si="21"/>
        <v/>
      </c>
      <c r="F494" s="428" t="str">
        <f t="shared" si="22"/>
        <v/>
      </c>
      <c r="G494" s="129" t="str">
        <f>IF(H494="","",VLOOKUP(H494,プルダウン用リスト!$K$1:$M$15,2,FALSE))</f>
        <v/>
      </c>
      <c r="H494" s="76"/>
      <c r="I494" s="61"/>
      <c r="J494" s="76"/>
      <c r="K494" s="146"/>
      <c r="L494" s="77"/>
      <c r="M494" s="78"/>
      <c r="N494" s="71"/>
      <c r="O494" s="432" t="str">
        <f t="shared" si="23"/>
        <v/>
      </c>
    </row>
    <row r="495" spans="2:15" x14ac:dyDescent="0.4">
      <c r="B495" s="74"/>
      <c r="C495" s="60"/>
      <c r="D495" s="426" t="str">
        <f>IF(C495="","",VLOOKUP(C495,団体基本情報!$B$13:$D$22,3,FALSE))</f>
        <v/>
      </c>
      <c r="E495" s="427" t="str">
        <f t="shared" si="21"/>
        <v/>
      </c>
      <c r="F495" s="428" t="str">
        <f t="shared" si="22"/>
        <v/>
      </c>
      <c r="G495" s="129" t="str">
        <f>IF(H495="","",VLOOKUP(H495,プルダウン用リスト!$K$1:$M$15,2,FALSE))</f>
        <v/>
      </c>
      <c r="H495" s="76"/>
      <c r="I495" s="76"/>
      <c r="J495" s="76"/>
      <c r="K495" s="146"/>
      <c r="L495" s="77"/>
      <c r="M495" s="78"/>
      <c r="N495" s="71"/>
      <c r="O495" s="432" t="str">
        <f t="shared" si="23"/>
        <v/>
      </c>
    </row>
    <row r="496" spans="2:15" x14ac:dyDescent="0.4">
      <c r="B496" s="74"/>
      <c r="C496" s="60"/>
      <c r="D496" s="426" t="str">
        <f>IF(C496="","",VLOOKUP(C496,団体基本情報!$B$13:$D$22,3,FALSE))</f>
        <v/>
      </c>
      <c r="E496" s="427" t="str">
        <f t="shared" si="21"/>
        <v/>
      </c>
      <c r="F496" s="428" t="str">
        <f t="shared" si="22"/>
        <v/>
      </c>
      <c r="G496" s="129" t="str">
        <f>IF(H496="","",VLOOKUP(H496,プルダウン用リスト!$K$1:$M$15,2,FALSE))</f>
        <v/>
      </c>
      <c r="H496" s="76"/>
      <c r="I496" s="61"/>
      <c r="J496" s="76"/>
      <c r="K496" s="146"/>
      <c r="L496" s="77"/>
      <c r="M496" s="78"/>
      <c r="N496" s="71"/>
      <c r="O496" s="432" t="str">
        <f t="shared" si="23"/>
        <v/>
      </c>
    </row>
    <row r="497" spans="2:15" x14ac:dyDescent="0.4">
      <c r="B497" s="74"/>
      <c r="C497" s="60"/>
      <c r="D497" s="426" t="str">
        <f>IF(C497="","",VLOOKUP(C497,団体基本情報!$B$13:$D$22,3,FALSE))</f>
        <v/>
      </c>
      <c r="E497" s="427" t="str">
        <f t="shared" si="21"/>
        <v/>
      </c>
      <c r="F497" s="428" t="str">
        <f t="shared" si="22"/>
        <v/>
      </c>
      <c r="G497" s="129" t="str">
        <f>IF(H497="","",VLOOKUP(H497,プルダウン用リスト!$K$1:$M$15,2,FALSE))</f>
        <v/>
      </c>
      <c r="H497" s="76"/>
      <c r="I497" s="61"/>
      <c r="J497" s="76"/>
      <c r="K497" s="146"/>
      <c r="L497" s="77"/>
      <c r="M497" s="78"/>
      <c r="N497" s="71"/>
      <c r="O497" s="432" t="str">
        <f t="shared" si="23"/>
        <v/>
      </c>
    </row>
    <row r="498" spans="2:15" x14ac:dyDescent="0.4">
      <c r="B498" s="74"/>
      <c r="C498" s="75"/>
      <c r="D498" s="426" t="str">
        <f>IF(C498="","",VLOOKUP(C498,団体基本情報!$B$13:$D$22,3,FALSE))</f>
        <v/>
      </c>
      <c r="E498" s="427" t="str">
        <f t="shared" si="21"/>
        <v/>
      </c>
      <c r="F498" s="428" t="str">
        <f t="shared" si="22"/>
        <v/>
      </c>
      <c r="G498" s="129" t="str">
        <f>IF(H498="","",VLOOKUP(H498,プルダウン用リスト!$K$1:$M$15,2,FALSE))</f>
        <v/>
      </c>
      <c r="H498" s="76"/>
      <c r="I498" s="76"/>
      <c r="J498" s="76"/>
      <c r="K498" s="146"/>
      <c r="L498" s="77"/>
      <c r="M498" s="78"/>
      <c r="N498" s="71"/>
      <c r="O498" s="432" t="str">
        <f t="shared" si="23"/>
        <v/>
      </c>
    </row>
    <row r="499" spans="2:15" x14ac:dyDescent="0.4">
      <c r="B499" s="74"/>
      <c r="C499" s="60"/>
      <c r="D499" s="426" t="str">
        <f>IF(C499="","",VLOOKUP(C499,団体基本情報!$B$13:$D$22,3,FALSE))</f>
        <v/>
      </c>
      <c r="E499" s="427" t="str">
        <f t="shared" si="21"/>
        <v/>
      </c>
      <c r="F499" s="428" t="str">
        <f t="shared" si="22"/>
        <v/>
      </c>
      <c r="G499" s="129" t="str">
        <f>IF(H499="","",VLOOKUP(H499,プルダウン用リスト!$K$1:$M$15,2,FALSE))</f>
        <v/>
      </c>
      <c r="H499" s="76"/>
      <c r="I499" s="61"/>
      <c r="J499" s="76"/>
      <c r="K499" s="146"/>
      <c r="L499" s="77"/>
      <c r="M499" s="78"/>
      <c r="N499" s="71"/>
      <c r="O499" s="432" t="str">
        <f t="shared" si="23"/>
        <v/>
      </c>
    </row>
    <row r="500" spans="2:15" x14ac:dyDescent="0.4">
      <c r="B500" s="74"/>
      <c r="C500" s="60"/>
      <c r="D500" s="426" t="str">
        <f>IF(C500="","",VLOOKUP(C500,団体基本情報!$B$13:$D$22,3,FALSE))</f>
        <v/>
      </c>
      <c r="E500" s="427" t="str">
        <f t="shared" si="21"/>
        <v/>
      </c>
      <c r="F500" s="428" t="str">
        <f t="shared" si="22"/>
        <v/>
      </c>
      <c r="G500" s="129" t="str">
        <f>IF(H500="","",VLOOKUP(H500,プルダウン用リスト!$K$1:$M$15,2,FALSE))</f>
        <v/>
      </c>
      <c r="H500" s="76"/>
      <c r="I500" s="61"/>
      <c r="J500" s="76"/>
      <c r="K500" s="146"/>
      <c r="L500" s="77"/>
      <c r="M500" s="78"/>
      <c r="N500" s="71"/>
      <c r="O500" s="432" t="str">
        <f t="shared" si="23"/>
        <v/>
      </c>
    </row>
    <row r="501" spans="2:15" x14ac:dyDescent="0.4">
      <c r="B501" s="74"/>
      <c r="C501" s="60"/>
      <c r="D501" s="426" t="str">
        <f>IF(C501="","",VLOOKUP(C501,団体基本情報!$B$13:$D$22,3,FALSE))</f>
        <v/>
      </c>
      <c r="E501" s="427" t="str">
        <f t="shared" si="21"/>
        <v/>
      </c>
      <c r="F501" s="428" t="str">
        <f t="shared" si="22"/>
        <v/>
      </c>
      <c r="G501" s="129" t="str">
        <f>IF(H501="","",VLOOKUP(H501,プルダウン用リスト!$K$1:$M$15,2,FALSE))</f>
        <v/>
      </c>
      <c r="H501" s="76"/>
      <c r="I501" s="76"/>
      <c r="J501" s="76"/>
      <c r="K501" s="146"/>
      <c r="L501" s="77"/>
      <c r="M501" s="78"/>
      <c r="N501" s="71"/>
      <c r="O501" s="432" t="str">
        <f t="shared" si="23"/>
        <v/>
      </c>
    </row>
    <row r="502" spans="2:15" x14ac:dyDescent="0.4">
      <c r="B502" s="74"/>
      <c r="C502" s="60"/>
      <c r="D502" s="426" t="str">
        <f>IF(C502="","",VLOOKUP(C502,団体基本情報!$B$13:$D$22,3,FALSE))</f>
        <v/>
      </c>
      <c r="E502" s="427" t="str">
        <f t="shared" si="21"/>
        <v/>
      </c>
      <c r="F502" s="428" t="str">
        <f t="shared" si="22"/>
        <v/>
      </c>
      <c r="G502" s="129" t="str">
        <f>IF(H502="","",VLOOKUP(H502,プルダウン用リスト!$K$1:$M$15,2,FALSE))</f>
        <v/>
      </c>
      <c r="H502" s="76"/>
      <c r="I502" s="61"/>
      <c r="J502" s="76"/>
      <c r="K502" s="146"/>
      <c r="L502" s="77"/>
      <c r="M502" s="78"/>
      <c r="N502" s="71"/>
      <c r="O502" s="432" t="str">
        <f t="shared" si="23"/>
        <v/>
      </c>
    </row>
    <row r="503" spans="2:15" x14ac:dyDescent="0.4">
      <c r="B503" s="74"/>
      <c r="C503" s="60"/>
      <c r="D503" s="426" t="str">
        <f>IF(C503="","",VLOOKUP(C503,団体基本情報!$B$13:$D$22,3,FALSE))</f>
        <v/>
      </c>
      <c r="E503" s="427" t="str">
        <f t="shared" si="21"/>
        <v/>
      </c>
      <c r="F503" s="428" t="str">
        <f t="shared" si="22"/>
        <v/>
      </c>
      <c r="G503" s="129" t="str">
        <f>IF(H503="","",VLOOKUP(H503,プルダウン用リスト!$K$1:$M$15,2,FALSE))</f>
        <v/>
      </c>
      <c r="H503" s="76"/>
      <c r="I503" s="61"/>
      <c r="J503" s="76"/>
      <c r="K503" s="146"/>
      <c r="L503" s="77"/>
      <c r="M503" s="78"/>
      <c r="N503" s="71"/>
      <c r="O503" s="432" t="str">
        <f t="shared" si="23"/>
        <v/>
      </c>
    </row>
    <row r="504" spans="2:15" x14ac:dyDescent="0.4">
      <c r="B504" s="74"/>
      <c r="C504" s="60"/>
      <c r="D504" s="426" t="str">
        <f>IF(C504="","",VLOOKUP(C504,団体基本情報!$B$13:$D$22,3,FALSE))</f>
        <v/>
      </c>
      <c r="E504" s="427" t="str">
        <f t="shared" si="21"/>
        <v/>
      </c>
      <c r="F504" s="428" t="str">
        <f t="shared" si="22"/>
        <v/>
      </c>
      <c r="G504" s="129" t="str">
        <f>IF(H504="","",VLOOKUP(H504,プルダウン用リスト!$K$1:$M$15,2,FALSE))</f>
        <v/>
      </c>
      <c r="H504" s="76"/>
      <c r="I504" s="76"/>
      <c r="J504" s="76"/>
      <c r="K504" s="146"/>
      <c r="L504" s="77"/>
      <c r="M504" s="78"/>
      <c r="N504" s="71"/>
      <c r="O504" s="432" t="str">
        <f t="shared" si="23"/>
        <v/>
      </c>
    </row>
    <row r="505" spans="2:15" x14ac:dyDescent="0.4">
      <c r="B505" s="74"/>
      <c r="C505" s="60"/>
      <c r="D505" s="426" t="str">
        <f>IF(C505="","",VLOOKUP(C505,団体基本情報!$B$13:$D$22,3,FALSE))</f>
        <v/>
      </c>
      <c r="E505" s="427" t="str">
        <f t="shared" si="21"/>
        <v/>
      </c>
      <c r="F505" s="428" t="str">
        <f t="shared" si="22"/>
        <v/>
      </c>
      <c r="G505" s="129" t="str">
        <f>IF(H505="","",VLOOKUP(H505,プルダウン用リスト!$K$1:$M$15,2,FALSE))</f>
        <v/>
      </c>
      <c r="H505" s="76"/>
      <c r="I505" s="61"/>
      <c r="J505" s="76"/>
      <c r="K505" s="146"/>
      <c r="L505" s="77"/>
      <c r="M505" s="78"/>
      <c r="N505" s="71"/>
      <c r="O505" s="432" t="str">
        <f t="shared" si="23"/>
        <v/>
      </c>
    </row>
    <row r="506" spans="2:15" x14ac:dyDescent="0.4">
      <c r="B506" s="74"/>
      <c r="C506" s="60"/>
      <c r="D506" s="426" t="str">
        <f>IF(C506="","",VLOOKUP(C506,団体基本情報!$B$13:$D$22,3,FALSE))</f>
        <v/>
      </c>
      <c r="E506" s="427" t="str">
        <f t="shared" si="21"/>
        <v/>
      </c>
      <c r="F506" s="428" t="str">
        <f t="shared" si="22"/>
        <v/>
      </c>
      <c r="G506" s="129" t="str">
        <f>IF(H506="","",VLOOKUP(H506,プルダウン用リスト!$K$1:$M$15,2,FALSE))</f>
        <v/>
      </c>
      <c r="H506" s="76"/>
      <c r="I506" s="61"/>
      <c r="J506" s="76"/>
      <c r="K506" s="146"/>
      <c r="L506" s="77"/>
      <c r="M506" s="78"/>
      <c r="N506" s="71"/>
      <c r="O506" s="432" t="str">
        <f t="shared" si="23"/>
        <v/>
      </c>
    </row>
    <row r="507" spans="2:15" x14ac:dyDescent="0.4">
      <c r="B507" s="74"/>
      <c r="C507" s="60"/>
      <c r="D507" s="426" t="str">
        <f>IF(C507="","",VLOOKUP(C507,団体基本情報!$B$13:$D$22,3,FALSE))</f>
        <v/>
      </c>
      <c r="E507" s="427" t="str">
        <f t="shared" si="21"/>
        <v/>
      </c>
      <c r="F507" s="428" t="str">
        <f t="shared" si="22"/>
        <v/>
      </c>
      <c r="G507" s="129" t="str">
        <f>IF(H507="","",VLOOKUP(H507,プルダウン用リスト!$K$1:$M$15,2,FALSE))</f>
        <v/>
      </c>
      <c r="H507" s="76"/>
      <c r="I507" s="76"/>
      <c r="J507" s="76"/>
      <c r="K507" s="146"/>
      <c r="L507" s="77"/>
      <c r="M507" s="78"/>
      <c r="N507" s="71"/>
      <c r="O507" s="432" t="str">
        <f t="shared" si="23"/>
        <v/>
      </c>
    </row>
    <row r="508" spans="2:15" x14ac:dyDescent="0.4">
      <c r="B508" s="74"/>
      <c r="C508" s="60"/>
      <c r="D508" s="426" t="str">
        <f>IF(C508="","",VLOOKUP(C508,団体基本情報!$B$13:$D$22,3,FALSE))</f>
        <v/>
      </c>
      <c r="E508" s="427" t="str">
        <f t="shared" si="21"/>
        <v/>
      </c>
      <c r="F508" s="428" t="str">
        <f t="shared" si="22"/>
        <v/>
      </c>
      <c r="G508" s="129" t="str">
        <f>IF(H508="","",VLOOKUP(H508,プルダウン用リスト!$K$1:$M$15,2,FALSE))</f>
        <v/>
      </c>
      <c r="H508" s="76"/>
      <c r="I508" s="61"/>
      <c r="J508" s="76"/>
      <c r="K508" s="146"/>
      <c r="L508" s="77"/>
      <c r="M508" s="78"/>
      <c r="N508" s="71"/>
      <c r="O508" s="432" t="str">
        <f t="shared" si="23"/>
        <v/>
      </c>
    </row>
    <row r="509" spans="2:15" x14ac:dyDescent="0.4">
      <c r="B509" s="74"/>
      <c r="C509" s="60"/>
      <c r="D509" s="426" t="str">
        <f>IF(C509="","",VLOOKUP(C509,団体基本情報!$B$13:$D$22,3,FALSE))</f>
        <v/>
      </c>
      <c r="E509" s="427" t="str">
        <f t="shared" si="21"/>
        <v/>
      </c>
      <c r="F509" s="428" t="str">
        <f t="shared" si="22"/>
        <v/>
      </c>
      <c r="G509" s="129" t="str">
        <f>IF(H509="","",VLOOKUP(H509,プルダウン用リスト!$K$1:$M$15,2,FALSE))</f>
        <v/>
      </c>
      <c r="H509" s="76"/>
      <c r="I509" s="61"/>
      <c r="J509" s="76"/>
      <c r="K509" s="146"/>
      <c r="L509" s="77"/>
      <c r="M509" s="78"/>
      <c r="N509" s="71"/>
      <c r="O509" s="432" t="str">
        <f t="shared" si="23"/>
        <v/>
      </c>
    </row>
    <row r="510" spans="2:15" x14ac:dyDescent="0.4">
      <c r="B510" s="74"/>
      <c r="C510" s="75"/>
      <c r="D510" s="426" t="str">
        <f>IF(C510="","",VLOOKUP(C510,団体基本情報!$B$13:$D$22,3,FALSE))</f>
        <v/>
      </c>
      <c r="E510" s="427" t="str">
        <f t="shared" si="21"/>
        <v/>
      </c>
      <c r="F510" s="428" t="str">
        <f t="shared" si="22"/>
        <v/>
      </c>
      <c r="G510" s="129" t="str">
        <f>IF(H510="","",VLOOKUP(H510,プルダウン用リスト!$K$1:$M$15,2,FALSE))</f>
        <v/>
      </c>
      <c r="H510" s="76"/>
      <c r="I510" s="76"/>
      <c r="J510" s="76"/>
      <c r="K510" s="146"/>
      <c r="L510" s="77"/>
      <c r="M510" s="78"/>
      <c r="N510" s="71"/>
      <c r="O510" s="432" t="str">
        <f t="shared" si="23"/>
        <v/>
      </c>
    </row>
    <row r="511" spans="2:15" x14ac:dyDescent="0.4">
      <c r="B511" s="74"/>
      <c r="C511" s="60"/>
      <c r="D511" s="426" t="str">
        <f>IF(C511="","",VLOOKUP(C511,団体基本情報!$B$13:$D$22,3,FALSE))</f>
        <v/>
      </c>
      <c r="E511" s="427" t="str">
        <f t="shared" si="21"/>
        <v/>
      </c>
      <c r="F511" s="428" t="str">
        <f t="shared" si="22"/>
        <v/>
      </c>
      <c r="G511" s="129" t="str">
        <f>IF(H511="","",VLOOKUP(H511,プルダウン用リスト!$K$1:$M$15,2,FALSE))</f>
        <v/>
      </c>
      <c r="H511" s="76"/>
      <c r="I511" s="61"/>
      <c r="J511" s="76"/>
      <c r="K511" s="146"/>
      <c r="L511" s="77"/>
      <c r="M511" s="78"/>
      <c r="N511" s="71"/>
      <c r="O511" s="432" t="str">
        <f t="shared" si="23"/>
        <v/>
      </c>
    </row>
    <row r="512" spans="2:15" x14ac:dyDescent="0.4">
      <c r="B512" s="74"/>
      <c r="C512" s="60"/>
      <c r="D512" s="426" t="str">
        <f>IF(C512="","",VLOOKUP(C512,団体基本情報!$B$13:$D$22,3,FALSE))</f>
        <v/>
      </c>
      <c r="E512" s="427" t="str">
        <f t="shared" si="21"/>
        <v/>
      </c>
      <c r="F512" s="428" t="str">
        <f t="shared" si="22"/>
        <v/>
      </c>
      <c r="G512" s="129" t="str">
        <f>IF(H512="","",VLOOKUP(H512,プルダウン用リスト!$K$1:$M$15,2,FALSE))</f>
        <v/>
      </c>
      <c r="H512" s="76"/>
      <c r="I512" s="61"/>
      <c r="J512" s="76"/>
      <c r="K512" s="146"/>
      <c r="L512" s="77"/>
      <c r="M512" s="78"/>
      <c r="N512" s="71"/>
      <c r="O512" s="432" t="str">
        <f t="shared" si="23"/>
        <v/>
      </c>
    </row>
    <row r="513" spans="2:15" x14ac:dyDescent="0.4">
      <c r="B513" s="74"/>
      <c r="C513" s="60"/>
      <c r="D513" s="426" t="str">
        <f>IF(C513="","",VLOOKUP(C513,団体基本情報!$B$13:$D$22,3,FALSE))</f>
        <v/>
      </c>
      <c r="E513" s="427" t="str">
        <f t="shared" si="21"/>
        <v/>
      </c>
      <c r="F513" s="428" t="str">
        <f t="shared" si="22"/>
        <v/>
      </c>
      <c r="G513" s="129" t="str">
        <f>IF(H513="","",VLOOKUP(H513,プルダウン用リスト!$K$1:$M$15,2,FALSE))</f>
        <v/>
      </c>
      <c r="H513" s="76"/>
      <c r="I513" s="76"/>
      <c r="J513" s="76"/>
      <c r="K513" s="146"/>
      <c r="L513" s="77"/>
      <c r="M513" s="78"/>
      <c r="N513" s="71"/>
      <c r="O513" s="432" t="str">
        <f t="shared" si="23"/>
        <v/>
      </c>
    </row>
    <row r="514" spans="2:15" x14ac:dyDescent="0.4">
      <c r="B514" s="74"/>
      <c r="C514" s="60"/>
      <c r="D514" s="426" t="str">
        <f>IF(C514="","",VLOOKUP(C514,団体基本情報!$B$13:$D$22,3,FALSE))</f>
        <v/>
      </c>
      <c r="E514" s="427" t="str">
        <f t="shared" si="21"/>
        <v/>
      </c>
      <c r="F514" s="428" t="str">
        <f t="shared" si="22"/>
        <v/>
      </c>
      <c r="G514" s="129" t="str">
        <f>IF(H514="","",VLOOKUP(H514,プルダウン用リスト!$K$1:$M$15,2,FALSE))</f>
        <v/>
      </c>
      <c r="H514" s="76"/>
      <c r="I514" s="61"/>
      <c r="J514" s="76"/>
      <c r="K514" s="146"/>
      <c r="L514" s="77"/>
      <c r="M514" s="78"/>
      <c r="N514" s="71"/>
      <c r="O514" s="432" t="str">
        <f t="shared" si="23"/>
        <v/>
      </c>
    </row>
    <row r="515" spans="2:15" x14ac:dyDescent="0.4">
      <c r="B515" s="74"/>
      <c r="C515" s="60"/>
      <c r="D515" s="426" t="str">
        <f>IF(C515="","",VLOOKUP(C515,団体基本情報!$B$13:$D$22,3,FALSE))</f>
        <v/>
      </c>
      <c r="E515" s="427" t="str">
        <f t="shared" si="21"/>
        <v/>
      </c>
      <c r="F515" s="428" t="str">
        <f t="shared" si="22"/>
        <v/>
      </c>
      <c r="G515" s="129" t="str">
        <f>IF(H515="","",VLOOKUP(H515,プルダウン用リスト!$K$1:$M$15,2,FALSE))</f>
        <v/>
      </c>
      <c r="H515" s="76"/>
      <c r="I515" s="61"/>
      <c r="J515" s="76"/>
      <c r="K515" s="146"/>
      <c r="L515" s="77"/>
      <c r="M515" s="78"/>
      <c r="N515" s="71"/>
      <c r="O515" s="432" t="str">
        <f t="shared" si="23"/>
        <v/>
      </c>
    </row>
    <row r="516" spans="2:15" x14ac:dyDescent="0.4">
      <c r="B516" s="74"/>
      <c r="C516" s="60"/>
      <c r="D516" s="426" t="str">
        <f>IF(C516="","",VLOOKUP(C516,団体基本情報!$B$13:$D$22,3,FALSE))</f>
        <v/>
      </c>
      <c r="E516" s="427" t="str">
        <f t="shared" si="21"/>
        <v/>
      </c>
      <c r="F516" s="428" t="str">
        <f t="shared" si="22"/>
        <v/>
      </c>
      <c r="G516" s="129" t="str">
        <f>IF(H516="","",VLOOKUP(H516,プルダウン用リスト!$K$1:$M$15,2,FALSE))</f>
        <v/>
      </c>
      <c r="H516" s="76"/>
      <c r="I516" s="76"/>
      <c r="J516" s="76"/>
      <c r="K516" s="146"/>
      <c r="L516" s="77"/>
      <c r="M516" s="78"/>
      <c r="N516" s="71"/>
      <c r="O516" s="432" t="str">
        <f t="shared" si="23"/>
        <v/>
      </c>
    </row>
    <row r="517" spans="2:15" x14ac:dyDescent="0.4">
      <c r="B517" s="74"/>
      <c r="C517" s="60"/>
      <c r="D517" s="426" t="str">
        <f>IF(C517="","",VLOOKUP(C517,団体基本情報!$B$13:$D$22,3,FALSE))</f>
        <v/>
      </c>
      <c r="E517" s="427" t="str">
        <f t="shared" si="21"/>
        <v/>
      </c>
      <c r="F517" s="428" t="str">
        <f t="shared" si="22"/>
        <v/>
      </c>
      <c r="G517" s="129" t="str">
        <f>IF(H517="","",VLOOKUP(H517,プルダウン用リスト!$K$1:$M$15,2,FALSE))</f>
        <v/>
      </c>
      <c r="H517" s="76"/>
      <c r="I517" s="61"/>
      <c r="J517" s="76"/>
      <c r="K517" s="146"/>
      <c r="L517" s="77"/>
      <c r="M517" s="78"/>
      <c r="N517" s="71"/>
      <c r="O517" s="432" t="str">
        <f t="shared" si="23"/>
        <v/>
      </c>
    </row>
    <row r="518" spans="2:15" x14ac:dyDescent="0.4">
      <c r="B518" s="74"/>
      <c r="C518" s="60"/>
      <c r="D518" s="426" t="str">
        <f>IF(C518="","",VLOOKUP(C518,団体基本情報!$B$13:$D$22,3,FALSE))</f>
        <v/>
      </c>
      <c r="E518" s="427" t="str">
        <f t="shared" si="21"/>
        <v/>
      </c>
      <c r="F518" s="428" t="str">
        <f t="shared" si="22"/>
        <v/>
      </c>
      <c r="G518" s="129" t="str">
        <f>IF(H518="","",VLOOKUP(H518,プルダウン用リスト!$K$1:$M$15,2,FALSE))</f>
        <v/>
      </c>
      <c r="H518" s="76"/>
      <c r="I518" s="61"/>
      <c r="J518" s="76"/>
      <c r="K518" s="146"/>
      <c r="L518" s="77"/>
      <c r="M518" s="78"/>
      <c r="N518" s="71"/>
      <c r="O518" s="432" t="str">
        <f t="shared" si="23"/>
        <v/>
      </c>
    </row>
    <row r="519" spans="2:15" x14ac:dyDescent="0.4">
      <c r="B519" s="74"/>
      <c r="C519" s="60"/>
      <c r="D519" s="426" t="str">
        <f>IF(C519="","",VLOOKUP(C519,団体基本情報!$B$13:$D$22,3,FALSE))</f>
        <v/>
      </c>
      <c r="E519" s="427" t="str">
        <f t="shared" ref="E519:E582" si="24">IF(F519="","",IF(F519="謝金","01.",IF(F519="旅費","02.",IF(F519="その他","04.","03."))))</f>
        <v/>
      </c>
      <c r="F519" s="428" t="str">
        <f t="shared" ref="F519:F582" si="25">IF(H519="","",IF(H519="謝金","謝金",IF(H519="旅費","旅費",IF(H519="対象外経費","その他","所費"))))</f>
        <v/>
      </c>
      <c r="G519" s="129" t="str">
        <f>IF(H519="","",VLOOKUP(H519,プルダウン用リスト!$K$1:$M$15,2,FALSE))</f>
        <v/>
      </c>
      <c r="H519" s="76"/>
      <c r="I519" s="76"/>
      <c r="J519" s="76"/>
      <c r="K519" s="146"/>
      <c r="L519" s="77"/>
      <c r="M519" s="78"/>
      <c r="N519" s="71"/>
      <c r="O519" s="432" t="str">
        <f t="shared" ref="O519:O582" si="26">IF(H519="対象外経費",M519,IF(N519="","",M519-N519))</f>
        <v/>
      </c>
    </row>
    <row r="520" spans="2:15" x14ac:dyDescent="0.4">
      <c r="B520" s="74"/>
      <c r="C520" s="60"/>
      <c r="D520" s="426" t="str">
        <f>IF(C520="","",VLOOKUP(C520,団体基本情報!$B$13:$D$22,3,FALSE))</f>
        <v/>
      </c>
      <c r="E520" s="427" t="str">
        <f t="shared" si="24"/>
        <v/>
      </c>
      <c r="F520" s="428" t="str">
        <f t="shared" si="25"/>
        <v/>
      </c>
      <c r="G520" s="129" t="str">
        <f>IF(H520="","",VLOOKUP(H520,プルダウン用リスト!$K$1:$M$15,2,FALSE))</f>
        <v/>
      </c>
      <c r="H520" s="76"/>
      <c r="I520" s="61"/>
      <c r="J520" s="76"/>
      <c r="K520" s="146"/>
      <c r="L520" s="77"/>
      <c r="M520" s="78"/>
      <c r="N520" s="71"/>
      <c r="O520" s="432" t="str">
        <f t="shared" si="26"/>
        <v/>
      </c>
    </row>
    <row r="521" spans="2:15" x14ac:dyDescent="0.4">
      <c r="B521" s="74"/>
      <c r="C521" s="60"/>
      <c r="D521" s="426" t="str">
        <f>IF(C521="","",VLOOKUP(C521,団体基本情報!$B$13:$D$22,3,FALSE))</f>
        <v/>
      </c>
      <c r="E521" s="427" t="str">
        <f t="shared" si="24"/>
        <v/>
      </c>
      <c r="F521" s="428" t="str">
        <f t="shared" si="25"/>
        <v/>
      </c>
      <c r="G521" s="129" t="str">
        <f>IF(H521="","",VLOOKUP(H521,プルダウン用リスト!$K$1:$M$15,2,FALSE))</f>
        <v/>
      </c>
      <c r="H521" s="76"/>
      <c r="I521" s="61"/>
      <c r="J521" s="76"/>
      <c r="K521" s="146"/>
      <c r="L521" s="77"/>
      <c r="M521" s="78"/>
      <c r="N521" s="71"/>
      <c r="O521" s="432" t="str">
        <f t="shared" si="26"/>
        <v/>
      </c>
    </row>
    <row r="522" spans="2:15" x14ac:dyDescent="0.4">
      <c r="B522" s="74"/>
      <c r="C522" s="75"/>
      <c r="D522" s="426" t="str">
        <f>IF(C522="","",VLOOKUP(C522,団体基本情報!$B$13:$D$22,3,FALSE))</f>
        <v/>
      </c>
      <c r="E522" s="427" t="str">
        <f t="shared" si="24"/>
        <v/>
      </c>
      <c r="F522" s="428" t="str">
        <f t="shared" si="25"/>
        <v/>
      </c>
      <c r="G522" s="129" t="str">
        <f>IF(H522="","",VLOOKUP(H522,プルダウン用リスト!$K$1:$M$15,2,FALSE))</f>
        <v/>
      </c>
      <c r="H522" s="76"/>
      <c r="I522" s="76"/>
      <c r="J522" s="76"/>
      <c r="K522" s="146"/>
      <c r="L522" s="77"/>
      <c r="M522" s="78"/>
      <c r="N522" s="71"/>
      <c r="O522" s="432" t="str">
        <f t="shared" si="26"/>
        <v/>
      </c>
    </row>
    <row r="523" spans="2:15" x14ac:dyDescent="0.4">
      <c r="B523" s="74"/>
      <c r="C523" s="60"/>
      <c r="D523" s="426" t="str">
        <f>IF(C523="","",VLOOKUP(C523,団体基本情報!$B$13:$D$22,3,FALSE))</f>
        <v/>
      </c>
      <c r="E523" s="427" t="str">
        <f t="shared" si="24"/>
        <v/>
      </c>
      <c r="F523" s="428" t="str">
        <f t="shared" si="25"/>
        <v/>
      </c>
      <c r="G523" s="129" t="str">
        <f>IF(H523="","",VLOOKUP(H523,プルダウン用リスト!$K$1:$M$15,2,FALSE))</f>
        <v/>
      </c>
      <c r="H523" s="76"/>
      <c r="I523" s="61"/>
      <c r="J523" s="76"/>
      <c r="K523" s="146"/>
      <c r="L523" s="77"/>
      <c r="M523" s="78"/>
      <c r="N523" s="71"/>
      <c r="O523" s="432" t="str">
        <f t="shared" si="26"/>
        <v/>
      </c>
    </row>
    <row r="524" spans="2:15" x14ac:dyDescent="0.4">
      <c r="B524" s="74"/>
      <c r="C524" s="60"/>
      <c r="D524" s="426" t="str">
        <f>IF(C524="","",VLOOKUP(C524,団体基本情報!$B$13:$D$22,3,FALSE))</f>
        <v/>
      </c>
      <c r="E524" s="427" t="str">
        <f t="shared" si="24"/>
        <v/>
      </c>
      <c r="F524" s="428" t="str">
        <f t="shared" si="25"/>
        <v/>
      </c>
      <c r="G524" s="129" t="str">
        <f>IF(H524="","",VLOOKUP(H524,プルダウン用リスト!$K$1:$M$15,2,FALSE))</f>
        <v/>
      </c>
      <c r="H524" s="76"/>
      <c r="I524" s="61"/>
      <c r="J524" s="76"/>
      <c r="K524" s="146"/>
      <c r="L524" s="77"/>
      <c r="M524" s="78"/>
      <c r="N524" s="71"/>
      <c r="O524" s="432" t="str">
        <f t="shared" si="26"/>
        <v/>
      </c>
    </row>
    <row r="525" spans="2:15" x14ac:dyDescent="0.4">
      <c r="B525" s="74"/>
      <c r="C525" s="60"/>
      <c r="D525" s="426" t="str">
        <f>IF(C525="","",VLOOKUP(C525,団体基本情報!$B$13:$D$22,3,FALSE))</f>
        <v/>
      </c>
      <c r="E525" s="427" t="str">
        <f t="shared" si="24"/>
        <v/>
      </c>
      <c r="F525" s="428" t="str">
        <f t="shared" si="25"/>
        <v/>
      </c>
      <c r="G525" s="129" t="str">
        <f>IF(H525="","",VLOOKUP(H525,プルダウン用リスト!$K$1:$M$15,2,FALSE))</f>
        <v/>
      </c>
      <c r="H525" s="76"/>
      <c r="I525" s="76"/>
      <c r="J525" s="76"/>
      <c r="K525" s="146"/>
      <c r="L525" s="77"/>
      <c r="M525" s="78"/>
      <c r="N525" s="71"/>
      <c r="O525" s="432" t="str">
        <f t="shared" si="26"/>
        <v/>
      </c>
    </row>
    <row r="526" spans="2:15" x14ac:dyDescent="0.4">
      <c r="B526" s="74"/>
      <c r="C526" s="60"/>
      <c r="D526" s="426" t="str">
        <f>IF(C526="","",VLOOKUP(C526,団体基本情報!$B$13:$D$22,3,FALSE))</f>
        <v/>
      </c>
      <c r="E526" s="427" t="str">
        <f t="shared" si="24"/>
        <v/>
      </c>
      <c r="F526" s="428" t="str">
        <f t="shared" si="25"/>
        <v/>
      </c>
      <c r="G526" s="129" t="str">
        <f>IF(H526="","",VLOOKUP(H526,プルダウン用リスト!$K$1:$M$15,2,FALSE))</f>
        <v/>
      </c>
      <c r="H526" s="76"/>
      <c r="I526" s="61"/>
      <c r="J526" s="76"/>
      <c r="K526" s="146"/>
      <c r="L526" s="77"/>
      <c r="M526" s="78"/>
      <c r="N526" s="71"/>
      <c r="O526" s="432" t="str">
        <f t="shared" si="26"/>
        <v/>
      </c>
    </row>
    <row r="527" spans="2:15" x14ac:dyDescent="0.4">
      <c r="B527" s="74"/>
      <c r="C527" s="60"/>
      <c r="D527" s="426" t="str">
        <f>IF(C527="","",VLOOKUP(C527,団体基本情報!$B$13:$D$22,3,FALSE))</f>
        <v/>
      </c>
      <c r="E527" s="427" t="str">
        <f t="shared" si="24"/>
        <v/>
      </c>
      <c r="F527" s="428" t="str">
        <f t="shared" si="25"/>
        <v/>
      </c>
      <c r="G527" s="129" t="str">
        <f>IF(H527="","",VLOOKUP(H527,プルダウン用リスト!$K$1:$M$15,2,FALSE))</f>
        <v/>
      </c>
      <c r="H527" s="76"/>
      <c r="I527" s="61"/>
      <c r="J527" s="76"/>
      <c r="K527" s="146"/>
      <c r="L527" s="77"/>
      <c r="M527" s="78"/>
      <c r="N527" s="71"/>
      <c r="O527" s="432" t="str">
        <f t="shared" si="26"/>
        <v/>
      </c>
    </row>
    <row r="528" spans="2:15" x14ac:dyDescent="0.4">
      <c r="B528" s="74"/>
      <c r="C528" s="60"/>
      <c r="D528" s="426" t="str">
        <f>IF(C528="","",VLOOKUP(C528,団体基本情報!$B$13:$D$22,3,FALSE))</f>
        <v/>
      </c>
      <c r="E528" s="427" t="str">
        <f t="shared" si="24"/>
        <v/>
      </c>
      <c r="F528" s="428" t="str">
        <f t="shared" si="25"/>
        <v/>
      </c>
      <c r="G528" s="129" t="str">
        <f>IF(H528="","",VLOOKUP(H528,プルダウン用リスト!$K$1:$M$15,2,FALSE))</f>
        <v/>
      </c>
      <c r="H528" s="76"/>
      <c r="I528" s="76"/>
      <c r="J528" s="76"/>
      <c r="K528" s="146"/>
      <c r="L528" s="77"/>
      <c r="M528" s="78"/>
      <c r="N528" s="71"/>
      <c r="O528" s="432" t="str">
        <f t="shared" si="26"/>
        <v/>
      </c>
    </row>
    <row r="529" spans="2:15" x14ac:dyDescent="0.4">
      <c r="B529" s="74"/>
      <c r="C529" s="60"/>
      <c r="D529" s="426" t="str">
        <f>IF(C529="","",VLOOKUP(C529,団体基本情報!$B$13:$D$22,3,FALSE))</f>
        <v/>
      </c>
      <c r="E529" s="427" t="str">
        <f t="shared" si="24"/>
        <v/>
      </c>
      <c r="F529" s="428" t="str">
        <f t="shared" si="25"/>
        <v/>
      </c>
      <c r="G529" s="129" t="str">
        <f>IF(H529="","",VLOOKUP(H529,プルダウン用リスト!$K$1:$M$15,2,FALSE))</f>
        <v/>
      </c>
      <c r="H529" s="76"/>
      <c r="I529" s="61"/>
      <c r="J529" s="76"/>
      <c r="K529" s="146"/>
      <c r="L529" s="77"/>
      <c r="M529" s="78"/>
      <c r="N529" s="71"/>
      <c r="O529" s="432" t="str">
        <f t="shared" si="26"/>
        <v/>
      </c>
    </row>
    <row r="530" spans="2:15" x14ac:dyDescent="0.4">
      <c r="B530" s="74"/>
      <c r="C530" s="60"/>
      <c r="D530" s="426" t="str">
        <f>IF(C530="","",VLOOKUP(C530,団体基本情報!$B$13:$D$22,3,FALSE))</f>
        <v/>
      </c>
      <c r="E530" s="427" t="str">
        <f t="shared" si="24"/>
        <v/>
      </c>
      <c r="F530" s="428" t="str">
        <f t="shared" si="25"/>
        <v/>
      </c>
      <c r="G530" s="129" t="str">
        <f>IF(H530="","",VLOOKUP(H530,プルダウン用リスト!$K$1:$M$15,2,FALSE))</f>
        <v/>
      </c>
      <c r="H530" s="76"/>
      <c r="I530" s="61"/>
      <c r="J530" s="76"/>
      <c r="K530" s="146"/>
      <c r="L530" s="77"/>
      <c r="M530" s="78"/>
      <c r="N530" s="71"/>
      <c r="O530" s="432" t="str">
        <f t="shared" si="26"/>
        <v/>
      </c>
    </row>
    <row r="531" spans="2:15" x14ac:dyDescent="0.4">
      <c r="B531" s="74"/>
      <c r="C531" s="60"/>
      <c r="D531" s="426" t="str">
        <f>IF(C531="","",VLOOKUP(C531,団体基本情報!$B$13:$D$22,3,FALSE))</f>
        <v/>
      </c>
      <c r="E531" s="427" t="str">
        <f t="shared" si="24"/>
        <v/>
      </c>
      <c r="F531" s="428" t="str">
        <f t="shared" si="25"/>
        <v/>
      </c>
      <c r="G531" s="129" t="str">
        <f>IF(H531="","",VLOOKUP(H531,プルダウン用リスト!$K$1:$M$15,2,FALSE))</f>
        <v/>
      </c>
      <c r="H531" s="76"/>
      <c r="I531" s="76"/>
      <c r="J531" s="76"/>
      <c r="K531" s="146"/>
      <c r="L531" s="77"/>
      <c r="M531" s="78"/>
      <c r="N531" s="71"/>
      <c r="O531" s="432" t="str">
        <f t="shared" si="26"/>
        <v/>
      </c>
    </row>
    <row r="532" spans="2:15" x14ac:dyDescent="0.4">
      <c r="B532" s="74"/>
      <c r="C532" s="60"/>
      <c r="D532" s="426" t="str">
        <f>IF(C532="","",VLOOKUP(C532,団体基本情報!$B$13:$D$22,3,FALSE))</f>
        <v/>
      </c>
      <c r="E532" s="427" t="str">
        <f t="shared" si="24"/>
        <v/>
      </c>
      <c r="F532" s="428" t="str">
        <f t="shared" si="25"/>
        <v/>
      </c>
      <c r="G532" s="129" t="str">
        <f>IF(H532="","",VLOOKUP(H532,プルダウン用リスト!$K$1:$M$15,2,FALSE))</f>
        <v/>
      </c>
      <c r="H532" s="76"/>
      <c r="I532" s="61"/>
      <c r="J532" s="76"/>
      <c r="K532" s="146"/>
      <c r="L532" s="77"/>
      <c r="M532" s="78"/>
      <c r="N532" s="71"/>
      <c r="O532" s="432" t="str">
        <f t="shared" si="26"/>
        <v/>
      </c>
    </row>
    <row r="533" spans="2:15" x14ac:dyDescent="0.4">
      <c r="B533" s="74"/>
      <c r="C533" s="60"/>
      <c r="D533" s="426" t="str">
        <f>IF(C533="","",VLOOKUP(C533,団体基本情報!$B$13:$D$22,3,FALSE))</f>
        <v/>
      </c>
      <c r="E533" s="427" t="str">
        <f t="shared" si="24"/>
        <v/>
      </c>
      <c r="F533" s="428" t="str">
        <f t="shared" si="25"/>
        <v/>
      </c>
      <c r="G533" s="129" t="str">
        <f>IF(H533="","",VLOOKUP(H533,プルダウン用リスト!$K$1:$M$15,2,FALSE))</f>
        <v/>
      </c>
      <c r="H533" s="76"/>
      <c r="I533" s="61"/>
      <c r="J533" s="76"/>
      <c r="K533" s="146"/>
      <c r="L533" s="77"/>
      <c r="M533" s="78"/>
      <c r="N533" s="71"/>
      <c r="O533" s="432" t="str">
        <f t="shared" si="26"/>
        <v/>
      </c>
    </row>
    <row r="534" spans="2:15" x14ac:dyDescent="0.4">
      <c r="B534" s="74"/>
      <c r="C534" s="75"/>
      <c r="D534" s="426" t="str">
        <f>IF(C534="","",VLOOKUP(C534,団体基本情報!$B$13:$D$22,3,FALSE))</f>
        <v/>
      </c>
      <c r="E534" s="427" t="str">
        <f t="shared" si="24"/>
        <v/>
      </c>
      <c r="F534" s="428" t="str">
        <f t="shared" si="25"/>
        <v/>
      </c>
      <c r="G534" s="129" t="str">
        <f>IF(H534="","",VLOOKUP(H534,プルダウン用リスト!$K$1:$M$15,2,FALSE))</f>
        <v/>
      </c>
      <c r="H534" s="76"/>
      <c r="I534" s="76"/>
      <c r="J534" s="76"/>
      <c r="K534" s="146"/>
      <c r="L534" s="77"/>
      <c r="M534" s="78"/>
      <c r="N534" s="71"/>
      <c r="O534" s="432" t="str">
        <f t="shared" si="26"/>
        <v/>
      </c>
    </row>
    <row r="535" spans="2:15" x14ac:dyDescent="0.4">
      <c r="B535" s="74"/>
      <c r="C535" s="60"/>
      <c r="D535" s="426" t="str">
        <f>IF(C535="","",VLOOKUP(C535,団体基本情報!$B$13:$D$22,3,FALSE))</f>
        <v/>
      </c>
      <c r="E535" s="427" t="str">
        <f t="shared" si="24"/>
        <v/>
      </c>
      <c r="F535" s="428" t="str">
        <f t="shared" si="25"/>
        <v/>
      </c>
      <c r="G535" s="129" t="str">
        <f>IF(H535="","",VLOOKUP(H535,プルダウン用リスト!$K$1:$M$15,2,FALSE))</f>
        <v/>
      </c>
      <c r="H535" s="76"/>
      <c r="I535" s="61"/>
      <c r="J535" s="76"/>
      <c r="K535" s="146"/>
      <c r="L535" s="77"/>
      <c r="M535" s="78"/>
      <c r="N535" s="71"/>
      <c r="O535" s="432" t="str">
        <f t="shared" si="26"/>
        <v/>
      </c>
    </row>
    <row r="536" spans="2:15" x14ac:dyDescent="0.4">
      <c r="B536" s="74"/>
      <c r="C536" s="60"/>
      <c r="D536" s="426" t="str">
        <f>IF(C536="","",VLOOKUP(C536,団体基本情報!$B$13:$D$22,3,FALSE))</f>
        <v/>
      </c>
      <c r="E536" s="427" t="str">
        <f t="shared" si="24"/>
        <v/>
      </c>
      <c r="F536" s="428" t="str">
        <f t="shared" si="25"/>
        <v/>
      </c>
      <c r="G536" s="129" t="str">
        <f>IF(H536="","",VLOOKUP(H536,プルダウン用リスト!$K$1:$M$15,2,FALSE))</f>
        <v/>
      </c>
      <c r="H536" s="76"/>
      <c r="I536" s="61"/>
      <c r="J536" s="76"/>
      <c r="K536" s="146"/>
      <c r="L536" s="77"/>
      <c r="M536" s="78"/>
      <c r="N536" s="71"/>
      <c r="O536" s="432" t="str">
        <f t="shared" si="26"/>
        <v/>
      </c>
    </row>
    <row r="537" spans="2:15" x14ac:dyDescent="0.4">
      <c r="B537" s="74"/>
      <c r="C537" s="60"/>
      <c r="D537" s="426" t="str">
        <f>IF(C537="","",VLOOKUP(C537,団体基本情報!$B$13:$D$22,3,FALSE))</f>
        <v/>
      </c>
      <c r="E537" s="427" t="str">
        <f t="shared" si="24"/>
        <v/>
      </c>
      <c r="F537" s="428" t="str">
        <f t="shared" si="25"/>
        <v/>
      </c>
      <c r="G537" s="129" t="str">
        <f>IF(H537="","",VLOOKUP(H537,プルダウン用リスト!$K$1:$M$15,2,FALSE))</f>
        <v/>
      </c>
      <c r="H537" s="76"/>
      <c r="I537" s="76"/>
      <c r="J537" s="76"/>
      <c r="K537" s="146"/>
      <c r="L537" s="77"/>
      <c r="M537" s="78"/>
      <c r="N537" s="71"/>
      <c r="O537" s="432" t="str">
        <f t="shared" si="26"/>
        <v/>
      </c>
    </row>
    <row r="538" spans="2:15" x14ac:dyDescent="0.4">
      <c r="B538" s="74"/>
      <c r="C538" s="60"/>
      <c r="D538" s="426" t="str">
        <f>IF(C538="","",VLOOKUP(C538,団体基本情報!$B$13:$D$22,3,FALSE))</f>
        <v/>
      </c>
      <c r="E538" s="427" t="str">
        <f t="shared" si="24"/>
        <v/>
      </c>
      <c r="F538" s="428" t="str">
        <f t="shared" si="25"/>
        <v/>
      </c>
      <c r="G538" s="129" t="str">
        <f>IF(H538="","",VLOOKUP(H538,プルダウン用リスト!$K$1:$M$15,2,FALSE))</f>
        <v/>
      </c>
      <c r="H538" s="76"/>
      <c r="I538" s="61"/>
      <c r="J538" s="76"/>
      <c r="K538" s="146"/>
      <c r="L538" s="77"/>
      <c r="M538" s="78"/>
      <c r="N538" s="71"/>
      <c r="O538" s="432" t="str">
        <f t="shared" si="26"/>
        <v/>
      </c>
    </row>
    <row r="539" spans="2:15" x14ac:dyDescent="0.4">
      <c r="B539" s="74"/>
      <c r="C539" s="60"/>
      <c r="D539" s="426" t="str">
        <f>IF(C539="","",VLOOKUP(C539,団体基本情報!$B$13:$D$22,3,FALSE))</f>
        <v/>
      </c>
      <c r="E539" s="427" t="str">
        <f t="shared" si="24"/>
        <v/>
      </c>
      <c r="F539" s="428" t="str">
        <f t="shared" si="25"/>
        <v/>
      </c>
      <c r="G539" s="129" t="str">
        <f>IF(H539="","",VLOOKUP(H539,プルダウン用リスト!$K$1:$M$15,2,FALSE))</f>
        <v/>
      </c>
      <c r="H539" s="76"/>
      <c r="I539" s="61"/>
      <c r="J539" s="76"/>
      <c r="K539" s="146"/>
      <c r="L539" s="77"/>
      <c r="M539" s="78"/>
      <c r="N539" s="71"/>
      <c r="O539" s="432" t="str">
        <f t="shared" si="26"/>
        <v/>
      </c>
    </row>
    <row r="540" spans="2:15" x14ac:dyDescent="0.4">
      <c r="B540" s="74"/>
      <c r="C540" s="60"/>
      <c r="D540" s="426" t="str">
        <f>IF(C540="","",VLOOKUP(C540,団体基本情報!$B$13:$D$22,3,FALSE))</f>
        <v/>
      </c>
      <c r="E540" s="427" t="str">
        <f t="shared" si="24"/>
        <v/>
      </c>
      <c r="F540" s="428" t="str">
        <f t="shared" si="25"/>
        <v/>
      </c>
      <c r="G540" s="129" t="str">
        <f>IF(H540="","",VLOOKUP(H540,プルダウン用リスト!$K$1:$M$15,2,FALSE))</f>
        <v/>
      </c>
      <c r="H540" s="76"/>
      <c r="I540" s="76"/>
      <c r="J540" s="76"/>
      <c r="K540" s="146"/>
      <c r="L540" s="77"/>
      <c r="M540" s="78"/>
      <c r="N540" s="71"/>
      <c r="O540" s="432" t="str">
        <f t="shared" si="26"/>
        <v/>
      </c>
    </row>
    <row r="541" spans="2:15" x14ac:dyDescent="0.4">
      <c r="B541" s="74"/>
      <c r="C541" s="60"/>
      <c r="D541" s="426" t="str">
        <f>IF(C541="","",VLOOKUP(C541,団体基本情報!$B$13:$D$22,3,FALSE))</f>
        <v/>
      </c>
      <c r="E541" s="427" t="str">
        <f t="shared" si="24"/>
        <v/>
      </c>
      <c r="F541" s="428" t="str">
        <f t="shared" si="25"/>
        <v/>
      </c>
      <c r="G541" s="129" t="str">
        <f>IF(H541="","",VLOOKUP(H541,プルダウン用リスト!$K$1:$M$15,2,FALSE))</f>
        <v/>
      </c>
      <c r="H541" s="76"/>
      <c r="I541" s="61"/>
      <c r="J541" s="76"/>
      <c r="K541" s="146"/>
      <c r="L541" s="77"/>
      <c r="M541" s="78"/>
      <c r="N541" s="71"/>
      <c r="O541" s="432" t="str">
        <f t="shared" si="26"/>
        <v/>
      </c>
    </row>
    <row r="542" spans="2:15" x14ac:dyDescent="0.4">
      <c r="B542" s="74"/>
      <c r="C542" s="60"/>
      <c r="D542" s="426" t="str">
        <f>IF(C542="","",VLOOKUP(C542,団体基本情報!$B$13:$D$22,3,FALSE))</f>
        <v/>
      </c>
      <c r="E542" s="427" t="str">
        <f t="shared" si="24"/>
        <v/>
      </c>
      <c r="F542" s="428" t="str">
        <f t="shared" si="25"/>
        <v/>
      </c>
      <c r="G542" s="129" t="str">
        <f>IF(H542="","",VLOOKUP(H542,プルダウン用リスト!$K$1:$M$15,2,FALSE))</f>
        <v/>
      </c>
      <c r="H542" s="76"/>
      <c r="I542" s="61"/>
      <c r="J542" s="76"/>
      <c r="K542" s="146"/>
      <c r="L542" s="77"/>
      <c r="M542" s="78"/>
      <c r="N542" s="71"/>
      <c r="O542" s="432" t="str">
        <f t="shared" si="26"/>
        <v/>
      </c>
    </row>
    <row r="543" spans="2:15" x14ac:dyDescent="0.4">
      <c r="B543" s="74"/>
      <c r="C543" s="60"/>
      <c r="D543" s="426" t="str">
        <f>IF(C543="","",VLOOKUP(C543,団体基本情報!$B$13:$D$22,3,FALSE))</f>
        <v/>
      </c>
      <c r="E543" s="427" t="str">
        <f t="shared" si="24"/>
        <v/>
      </c>
      <c r="F543" s="428" t="str">
        <f t="shared" si="25"/>
        <v/>
      </c>
      <c r="G543" s="129" t="str">
        <f>IF(H543="","",VLOOKUP(H543,プルダウン用リスト!$K$1:$M$15,2,FALSE))</f>
        <v/>
      </c>
      <c r="H543" s="76"/>
      <c r="I543" s="76"/>
      <c r="J543" s="76"/>
      <c r="K543" s="146"/>
      <c r="L543" s="77"/>
      <c r="M543" s="78"/>
      <c r="N543" s="71"/>
      <c r="O543" s="432" t="str">
        <f t="shared" si="26"/>
        <v/>
      </c>
    </row>
    <row r="544" spans="2:15" x14ac:dyDescent="0.4">
      <c r="B544" s="74"/>
      <c r="C544" s="60"/>
      <c r="D544" s="426" t="str">
        <f>IF(C544="","",VLOOKUP(C544,団体基本情報!$B$13:$D$22,3,FALSE))</f>
        <v/>
      </c>
      <c r="E544" s="427" t="str">
        <f t="shared" si="24"/>
        <v/>
      </c>
      <c r="F544" s="428" t="str">
        <f t="shared" si="25"/>
        <v/>
      </c>
      <c r="G544" s="129" t="str">
        <f>IF(H544="","",VLOOKUP(H544,プルダウン用リスト!$K$1:$M$15,2,FALSE))</f>
        <v/>
      </c>
      <c r="H544" s="76"/>
      <c r="I544" s="61"/>
      <c r="J544" s="76"/>
      <c r="K544" s="146"/>
      <c r="L544" s="77"/>
      <c r="M544" s="78"/>
      <c r="N544" s="71"/>
      <c r="O544" s="432" t="str">
        <f t="shared" si="26"/>
        <v/>
      </c>
    </row>
    <row r="545" spans="2:15" x14ac:dyDescent="0.4">
      <c r="B545" s="74"/>
      <c r="C545" s="60"/>
      <c r="D545" s="426" t="str">
        <f>IF(C545="","",VLOOKUP(C545,団体基本情報!$B$13:$D$22,3,FALSE))</f>
        <v/>
      </c>
      <c r="E545" s="427" t="str">
        <f t="shared" si="24"/>
        <v/>
      </c>
      <c r="F545" s="428" t="str">
        <f t="shared" si="25"/>
        <v/>
      </c>
      <c r="G545" s="129" t="str">
        <f>IF(H545="","",VLOOKUP(H545,プルダウン用リスト!$K$1:$M$15,2,FALSE))</f>
        <v/>
      </c>
      <c r="H545" s="76"/>
      <c r="I545" s="61"/>
      <c r="J545" s="76"/>
      <c r="K545" s="146"/>
      <c r="L545" s="77"/>
      <c r="M545" s="78"/>
      <c r="N545" s="71"/>
      <c r="O545" s="432" t="str">
        <f t="shared" si="26"/>
        <v/>
      </c>
    </row>
    <row r="546" spans="2:15" x14ac:dyDescent="0.4">
      <c r="B546" s="74"/>
      <c r="C546" s="75"/>
      <c r="D546" s="426" t="str">
        <f>IF(C546="","",VLOOKUP(C546,団体基本情報!$B$13:$D$22,3,FALSE))</f>
        <v/>
      </c>
      <c r="E546" s="427" t="str">
        <f t="shared" si="24"/>
        <v/>
      </c>
      <c r="F546" s="428" t="str">
        <f t="shared" si="25"/>
        <v/>
      </c>
      <c r="G546" s="129" t="str">
        <f>IF(H546="","",VLOOKUP(H546,プルダウン用リスト!$K$1:$M$15,2,FALSE))</f>
        <v/>
      </c>
      <c r="H546" s="76"/>
      <c r="I546" s="76"/>
      <c r="J546" s="76"/>
      <c r="K546" s="146"/>
      <c r="L546" s="77"/>
      <c r="M546" s="78"/>
      <c r="N546" s="71"/>
      <c r="O546" s="432" t="str">
        <f t="shared" si="26"/>
        <v/>
      </c>
    </row>
    <row r="547" spans="2:15" x14ac:dyDescent="0.4">
      <c r="B547" s="74"/>
      <c r="C547" s="60"/>
      <c r="D547" s="426" t="str">
        <f>IF(C547="","",VLOOKUP(C547,団体基本情報!$B$13:$D$22,3,FALSE))</f>
        <v/>
      </c>
      <c r="E547" s="427" t="str">
        <f t="shared" si="24"/>
        <v/>
      </c>
      <c r="F547" s="428" t="str">
        <f t="shared" si="25"/>
        <v/>
      </c>
      <c r="G547" s="129" t="str">
        <f>IF(H547="","",VLOOKUP(H547,プルダウン用リスト!$K$1:$M$15,2,FALSE))</f>
        <v/>
      </c>
      <c r="H547" s="76"/>
      <c r="I547" s="61"/>
      <c r="J547" s="76"/>
      <c r="K547" s="146"/>
      <c r="L547" s="77"/>
      <c r="M547" s="78"/>
      <c r="N547" s="71"/>
      <c r="O547" s="432" t="str">
        <f t="shared" si="26"/>
        <v/>
      </c>
    </row>
    <row r="548" spans="2:15" x14ac:dyDescent="0.4">
      <c r="B548" s="74"/>
      <c r="C548" s="60"/>
      <c r="D548" s="426" t="str">
        <f>IF(C548="","",VLOOKUP(C548,団体基本情報!$B$13:$D$22,3,FALSE))</f>
        <v/>
      </c>
      <c r="E548" s="427" t="str">
        <f t="shared" si="24"/>
        <v/>
      </c>
      <c r="F548" s="428" t="str">
        <f t="shared" si="25"/>
        <v/>
      </c>
      <c r="G548" s="129" t="str">
        <f>IF(H548="","",VLOOKUP(H548,プルダウン用リスト!$K$1:$M$15,2,FALSE))</f>
        <v/>
      </c>
      <c r="H548" s="76"/>
      <c r="I548" s="61"/>
      <c r="J548" s="76"/>
      <c r="K548" s="146"/>
      <c r="L548" s="77"/>
      <c r="M548" s="78"/>
      <c r="N548" s="71"/>
      <c r="O548" s="432" t="str">
        <f t="shared" si="26"/>
        <v/>
      </c>
    </row>
    <row r="549" spans="2:15" x14ac:dyDescent="0.4">
      <c r="B549" s="74"/>
      <c r="C549" s="60"/>
      <c r="D549" s="426" t="str">
        <f>IF(C549="","",VLOOKUP(C549,団体基本情報!$B$13:$D$22,3,FALSE))</f>
        <v/>
      </c>
      <c r="E549" s="427" t="str">
        <f t="shared" si="24"/>
        <v/>
      </c>
      <c r="F549" s="428" t="str">
        <f t="shared" si="25"/>
        <v/>
      </c>
      <c r="G549" s="129" t="str">
        <f>IF(H549="","",VLOOKUP(H549,プルダウン用リスト!$K$1:$M$15,2,FALSE))</f>
        <v/>
      </c>
      <c r="H549" s="76"/>
      <c r="I549" s="76"/>
      <c r="J549" s="76"/>
      <c r="K549" s="146"/>
      <c r="L549" s="77"/>
      <c r="M549" s="78"/>
      <c r="N549" s="71"/>
      <c r="O549" s="432" t="str">
        <f t="shared" si="26"/>
        <v/>
      </c>
    </row>
    <row r="550" spans="2:15" x14ac:dyDescent="0.4">
      <c r="B550" s="74"/>
      <c r="C550" s="60"/>
      <c r="D550" s="426" t="str">
        <f>IF(C550="","",VLOOKUP(C550,団体基本情報!$B$13:$D$22,3,FALSE))</f>
        <v/>
      </c>
      <c r="E550" s="427" t="str">
        <f t="shared" si="24"/>
        <v/>
      </c>
      <c r="F550" s="428" t="str">
        <f t="shared" si="25"/>
        <v/>
      </c>
      <c r="G550" s="129" t="str">
        <f>IF(H550="","",VLOOKUP(H550,プルダウン用リスト!$K$1:$M$15,2,FALSE))</f>
        <v/>
      </c>
      <c r="H550" s="76"/>
      <c r="I550" s="61"/>
      <c r="J550" s="76"/>
      <c r="K550" s="146"/>
      <c r="L550" s="77"/>
      <c r="M550" s="78"/>
      <c r="N550" s="71"/>
      <c r="O550" s="432" t="str">
        <f t="shared" si="26"/>
        <v/>
      </c>
    </row>
    <row r="551" spans="2:15" x14ac:dyDescent="0.4">
      <c r="B551" s="74"/>
      <c r="C551" s="60"/>
      <c r="D551" s="426" t="str">
        <f>IF(C551="","",VLOOKUP(C551,団体基本情報!$B$13:$D$22,3,FALSE))</f>
        <v/>
      </c>
      <c r="E551" s="427" t="str">
        <f t="shared" si="24"/>
        <v/>
      </c>
      <c r="F551" s="428" t="str">
        <f t="shared" si="25"/>
        <v/>
      </c>
      <c r="G551" s="129" t="str">
        <f>IF(H551="","",VLOOKUP(H551,プルダウン用リスト!$K$1:$M$15,2,FALSE))</f>
        <v/>
      </c>
      <c r="H551" s="76"/>
      <c r="I551" s="61"/>
      <c r="J551" s="76"/>
      <c r="K551" s="146"/>
      <c r="L551" s="77"/>
      <c r="M551" s="78"/>
      <c r="N551" s="71"/>
      <c r="O551" s="432" t="str">
        <f t="shared" si="26"/>
        <v/>
      </c>
    </row>
    <row r="552" spans="2:15" x14ac:dyDescent="0.4">
      <c r="B552" s="74"/>
      <c r="C552" s="60"/>
      <c r="D552" s="426" t="str">
        <f>IF(C552="","",VLOOKUP(C552,団体基本情報!$B$13:$D$22,3,FALSE))</f>
        <v/>
      </c>
      <c r="E552" s="427" t="str">
        <f t="shared" si="24"/>
        <v/>
      </c>
      <c r="F552" s="428" t="str">
        <f t="shared" si="25"/>
        <v/>
      </c>
      <c r="G552" s="129" t="str">
        <f>IF(H552="","",VLOOKUP(H552,プルダウン用リスト!$K$1:$M$15,2,FALSE))</f>
        <v/>
      </c>
      <c r="H552" s="76"/>
      <c r="I552" s="76"/>
      <c r="J552" s="76"/>
      <c r="K552" s="146"/>
      <c r="L552" s="77"/>
      <c r="M552" s="78"/>
      <c r="N552" s="71"/>
      <c r="O552" s="432" t="str">
        <f t="shared" si="26"/>
        <v/>
      </c>
    </row>
    <row r="553" spans="2:15" x14ac:dyDescent="0.4">
      <c r="B553" s="74"/>
      <c r="C553" s="60"/>
      <c r="D553" s="426" t="str">
        <f>IF(C553="","",VLOOKUP(C553,団体基本情報!$B$13:$D$22,3,FALSE))</f>
        <v/>
      </c>
      <c r="E553" s="427" t="str">
        <f t="shared" si="24"/>
        <v/>
      </c>
      <c r="F553" s="428" t="str">
        <f t="shared" si="25"/>
        <v/>
      </c>
      <c r="G553" s="129" t="str">
        <f>IF(H553="","",VLOOKUP(H553,プルダウン用リスト!$K$1:$M$15,2,FALSE))</f>
        <v/>
      </c>
      <c r="H553" s="76"/>
      <c r="I553" s="61"/>
      <c r="J553" s="76"/>
      <c r="K553" s="146"/>
      <c r="L553" s="77"/>
      <c r="M553" s="78"/>
      <c r="N553" s="71"/>
      <c r="O553" s="432" t="str">
        <f t="shared" si="26"/>
        <v/>
      </c>
    </row>
    <row r="554" spans="2:15" x14ac:dyDescent="0.4">
      <c r="B554" s="74"/>
      <c r="C554" s="60"/>
      <c r="D554" s="426" t="str">
        <f>IF(C554="","",VLOOKUP(C554,団体基本情報!$B$13:$D$22,3,FALSE))</f>
        <v/>
      </c>
      <c r="E554" s="427" t="str">
        <f t="shared" si="24"/>
        <v/>
      </c>
      <c r="F554" s="428" t="str">
        <f t="shared" si="25"/>
        <v/>
      </c>
      <c r="G554" s="129" t="str">
        <f>IF(H554="","",VLOOKUP(H554,プルダウン用リスト!$K$1:$M$15,2,FALSE))</f>
        <v/>
      </c>
      <c r="H554" s="76"/>
      <c r="I554" s="61"/>
      <c r="J554" s="76"/>
      <c r="K554" s="146"/>
      <c r="L554" s="77"/>
      <c r="M554" s="78"/>
      <c r="N554" s="71"/>
      <c r="O554" s="432" t="str">
        <f t="shared" si="26"/>
        <v/>
      </c>
    </row>
    <row r="555" spans="2:15" x14ac:dyDescent="0.4">
      <c r="B555" s="74"/>
      <c r="C555" s="60"/>
      <c r="D555" s="426" t="str">
        <f>IF(C555="","",VLOOKUP(C555,団体基本情報!$B$13:$D$22,3,FALSE))</f>
        <v/>
      </c>
      <c r="E555" s="427" t="str">
        <f t="shared" si="24"/>
        <v/>
      </c>
      <c r="F555" s="428" t="str">
        <f t="shared" si="25"/>
        <v/>
      </c>
      <c r="G555" s="129" t="str">
        <f>IF(H555="","",VLOOKUP(H555,プルダウン用リスト!$K$1:$M$15,2,FALSE))</f>
        <v/>
      </c>
      <c r="H555" s="76"/>
      <c r="I555" s="76"/>
      <c r="J555" s="76"/>
      <c r="K555" s="146"/>
      <c r="L555" s="77"/>
      <c r="M555" s="78"/>
      <c r="N555" s="71"/>
      <c r="O555" s="432" t="str">
        <f t="shared" si="26"/>
        <v/>
      </c>
    </row>
    <row r="556" spans="2:15" x14ac:dyDescent="0.4">
      <c r="B556" s="74"/>
      <c r="C556" s="60"/>
      <c r="D556" s="426" t="str">
        <f>IF(C556="","",VLOOKUP(C556,団体基本情報!$B$13:$D$22,3,FALSE))</f>
        <v/>
      </c>
      <c r="E556" s="427" t="str">
        <f t="shared" si="24"/>
        <v/>
      </c>
      <c r="F556" s="428" t="str">
        <f t="shared" si="25"/>
        <v/>
      </c>
      <c r="G556" s="129" t="str">
        <f>IF(H556="","",VLOOKUP(H556,プルダウン用リスト!$K$1:$M$15,2,FALSE))</f>
        <v/>
      </c>
      <c r="H556" s="76"/>
      <c r="I556" s="61"/>
      <c r="J556" s="76"/>
      <c r="K556" s="146"/>
      <c r="L556" s="77"/>
      <c r="M556" s="78"/>
      <c r="N556" s="71"/>
      <c r="O556" s="432" t="str">
        <f t="shared" si="26"/>
        <v/>
      </c>
    </row>
    <row r="557" spans="2:15" x14ac:dyDescent="0.4">
      <c r="B557" s="74"/>
      <c r="C557" s="60"/>
      <c r="D557" s="426" t="str">
        <f>IF(C557="","",VLOOKUP(C557,団体基本情報!$B$13:$D$22,3,FALSE))</f>
        <v/>
      </c>
      <c r="E557" s="427" t="str">
        <f t="shared" si="24"/>
        <v/>
      </c>
      <c r="F557" s="428" t="str">
        <f t="shared" si="25"/>
        <v/>
      </c>
      <c r="G557" s="129" t="str">
        <f>IF(H557="","",VLOOKUP(H557,プルダウン用リスト!$K$1:$M$15,2,FALSE))</f>
        <v/>
      </c>
      <c r="H557" s="76"/>
      <c r="I557" s="61"/>
      <c r="J557" s="76"/>
      <c r="K557" s="146"/>
      <c r="L557" s="77"/>
      <c r="M557" s="78"/>
      <c r="N557" s="71"/>
      <c r="O557" s="432" t="str">
        <f t="shared" si="26"/>
        <v/>
      </c>
    </row>
    <row r="558" spans="2:15" x14ac:dyDescent="0.4">
      <c r="B558" s="74"/>
      <c r="C558" s="75"/>
      <c r="D558" s="426" t="str">
        <f>IF(C558="","",VLOOKUP(C558,団体基本情報!$B$13:$D$22,3,FALSE))</f>
        <v/>
      </c>
      <c r="E558" s="427" t="str">
        <f t="shared" si="24"/>
        <v/>
      </c>
      <c r="F558" s="428" t="str">
        <f t="shared" si="25"/>
        <v/>
      </c>
      <c r="G558" s="129" t="str">
        <f>IF(H558="","",VLOOKUP(H558,プルダウン用リスト!$K$1:$M$15,2,FALSE))</f>
        <v/>
      </c>
      <c r="H558" s="76"/>
      <c r="I558" s="76"/>
      <c r="J558" s="76"/>
      <c r="K558" s="146"/>
      <c r="L558" s="77"/>
      <c r="M558" s="78"/>
      <c r="N558" s="71"/>
      <c r="O558" s="432" t="str">
        <f t="shared" si="26"/>
        <v/>
      </c>
    </row>
    <row r="559" spans="2:15" x14ac:dyDescent="0.4">
      <c r="B559" s="74"/>
      <c r="C559" s="60"/>
      <c r="D559" s="426" t="str">
        <f>IF(C559="","",VLOOKUP(C559,団体基本情報!$B$13:$D$22,3,FALSE))</f>
        <v/>
      </c>
      <c r="E559" s="427" t="str">
        <f t="shared" si="24"/>
        <v/>
      </c>
      <c r="F559" s="428" t="str">
        <f t="shared" si="25"/>
        <v/>
      </c>
      <c r="G559" s="129" t="str">
        <f>IF(H559="","",VLOOKUP(H559,プルダウン用リスト!$K$1:$M$15,2,FALSE))</f>
        <v/>
      </c>
      <c r="H559" s="76"/>
      <c r="I559" s="61"/>
      <c r="J559" s="76"/>
      <c r="K559" s="146"/>
      <c r="L559" s="77"/>
      <c r="M559" s="78"/>
      <c r="N559" s="71"/>
      <c r="O559" s="432" t="str">
        <f t="shared" si="26"/>
        <v/>
      </c>
    </row>
    <row r="560" spans="2:15" x14ac:dyDescent="0.4">
      <c r="B560" s="74"/>
      <c r="C560" s="60"/>
      <c r="D560" s="426" t="str">
        <f>IF(C560="","",VLOOKUP(C560,団体基本情報!$B$13:$D$22,3,FALSE))</f>
        <v/>
      </c>
      <c r="E560" s="427" t="str">
        <f t="shared" si="24"/>
        <v/>
      </c>
      <c r="F560" s="428" t="str">
        <f t="shared" si="25"/>
        <v/>
      </c>
      <c r="G560" s="129" t="str">
        <f>IF(H560="","",VLOOKUP(H560,プルダウン用リスト!$K$1:$M$15,2,FALSE))</f>
        <v/>
      </c>
      <c r="H560" s="76"/>
      <c r="I560" s="61"/>
      <c r="J560" s="76"/>
      <c r="K560" s="146"/>
      <c r="L560" s="77"/>
      <c r="M560" s="78"/>
      <c r="N560" s="71"/>
      <c r="O560" s="432" t="str">
        <f t="shared" si="26"/>
        <v/>
      </c>
    </row>
    <row r="561" spans="2:15" x14ac:dyDescent="0.4">
      <c r="B561" s="74"/>
      <c r="C561" s="60"/>
      <c r="D561" s="426" t="str">
        <f>IF(C561="","",VLOOKUP(C561,団体基本情報!$B$13:$D$22,3,FALSE))</f>
        <v/>
      </c>
      <c r="E561" s="427" t="str">
        <f t="shared" si="24"/>
        <v/>
      </c>
      <c r="F561" s="428" t="str">
        <f t="shared" si="25"/>
        <v/>
      </c>
      <c r="G561" s="129" t="str">
        <f>IF(H561="","",VLOOKUP(H561,プルダウン用リスト!$K$1:$M$15,2,FALSE))</f>
        <v/>
      </c>
      <c r="H561" s="76"/>
      <c r="I561" s="76"/>
      <c r="J561" s="76"/>
      <c r="K561" s="146"/>
      <c r="L561" s="77"/>
      <c r="M561" s="78"/>
      <c r="N561" s="71"/>
      <c r="O561" s="432" t="str">
        <f t="shared" si="26"/>
        <v/>
      </c>
    </row>
    <row r="562" spans="2:15" x14ac:dyDescent="0.4">
      <c r="B562" s="74"/>
      <c r="C562" s="60"/>
      <c r="D562" s="426" t="str">
        <f>IF(C562="","",VLOOKUP(C562,団体基本情報!$B$13:$D$22,3,FALSE))</f>
        <v/>
      </c>
      <c r="E562" s="427" t="str">
        <f t="shared" si="24"/>
        <v/>
      </c>
      <c r="F562" s="428" t="str">
        <f t="shared" si="25"/>
        <v/>
      </c>
      <c r="G562" s="129" t="str">
        <f>IF(H562="","",VLOOKUP(H562,プルダウン用リスト!$K$1:$M$15,2,FALSE))</f>
        <v/>
      </c>
      <c r="H562" s="76"/>
      <c r="I562" s="61"/>
      <c r="J562" s="76"/>
      <c r="K562" s="146"/>
      <c r="L562" s="77"/>
      <c r="M562" s="78"/>
      <c r="N562" s="71"/>
      <c r="O562" s="432" t="str">
        <f t="shared" si="26"/>
        <v/>
      </c>
    </row>
    <row r="563" spans="2:15" x14ac:dyDescent="0.4">
      <c r="B563" s="74"/>
      <c r="C563" s="60"/>
      <c r="D563" s="426" t="str">
        <f>IF(C563="","",VLOOKUP(C563,団体基本情報!$B$13:$D$22,3,FALSE))</f>
        <v/>
      </c>
      <c r="E563" s="427" t="str">
        <f t="shared" si="24"/>
        <v/>
      </c>
      <c r="F563" s="428" t="str">
        <f t="shared" si="25"/>
        <v/>
      </c>
      <c r="G563" s="129" t="str">
        <f>IF(H563="","",VLOOKUP(H563,プルダウン用リスト!$K$1:$M$15,2,FALSE))</f>
        <v/>
      </c>
      <c r="H563" s="76"/>
      <c r="I563" s="61"/>
      <c r="J563" s="76"/>
      <c r="K563" s="146"/>
      <c r="L563" s="77"/>
      <c r="M563" s="78"/>
      <c r="N563" s="71"/>
      <c r="O563" s="432" t="str">
        <f t="shared" si="26"/>
        <v/>
      </c>
    </row>
    <row r="564" spans="2:15" x14ac:dyDescent="0.4">
      <c r="B564" s="74"/>
      <c r="C564" s="60"/>
      <c r="D564" s="426" t="str">
        <f>IF(C564="","",VLOOKUP(C564,団体基本情報!$B$13:$D$22,3,FALSE))</f>
        <v/>
      </c>
      <c r="E564" s="427" t="str">
        <f t="shared" si="24"/>
        <v/>
      </c>
      <c r="F564" s="428" t="str">
        <f t="shared" si="25"/>
        <v/>
      </c>
      <c r="G564" s="129" t="str">
        <f>IF(H564="","",VLOOKUP(H564,プルダウン用リスト!$K$1:$M$15,2,FALSE))</f>
        <v/>
      </c>
      <c r="H564" s="76"/>
      <c r="I564" s="76"/>
      <c r="J564" s="76"/>
      <c r="K564" s="146"/>
      <c r="L564" s="77"/>
      <c r="M564" s="78"/>
      <c r="N564" s="71"/>
      <c r="O564" s="432" t="str">
        <f t="shared" si="26"/>
        <v/>
      </c>
    </row>
    <row r="565" spans="2:15" x14ac:dyDescent="0.4">
      <c r="B565" s="74"/>
      <c r="C565" s="60"/>
      <c r="D565" s="426" t="str">
        <f>IF(C565="","",VLOOKUP(C565,団体基本情報!$B$13:$D$22,3,FALSE))</f>
        <v/>
      </c>
      <c r="E565" s="427" t="str">
        <f t="shared" si="24"/>
        <v/>
      </c>
      <c r="F565" s="428" t="str">
        <f t="shared" si="25"/>
        <v/>
      </c>
      <c r="G565" s="129" t="str">
        <f>IF(H565="","",VLOOKUP(H565,プルダウン用リスト!$K$1:$M$15,2,FALSE))</f>
        <v/>
      </c>
      <c r="H565" s="76"/>
      <c r="I565" s="61"/>
      <c r="J565" s="76"/>
      <c r="K565" s="146"/>
      <c r="L565" s="77"/>
      <c r="M565" s="78"/>
      <c r="N565" s="71"/>
      <c r="O565" s="432" t="str">
        <f t="shared" si="26"/>
        <v/>
      </c>
    </row>
    <row r="566" spans="2:15" x14ac:dyDescent="0.4">
      <c r="B566" s="74"/>
      <c r="C566" s="60"/>
      <c r="D566" s="426" t="str">
        <f>IF(C566="","",VLOOKUP(C566,団体基本情報!$B$13:$D$22,3,FALSE))</f>
        <v/>
      </c>
      <c r="E566" s="427" t="str">
        <f t="shared" si="24"/>
        <v/>
      </c>
      <c r="F566" s="428" t="str">
        <f t="shared" si="25"/>
        <v/>
      </c>
      <c r="G566" s="129" t="str">
        <f>IF(H566="","",VLOOKUP(H566,プルダウン用リスト!$K$1:$M$15,2,FALSE))</f>
        <v/>
      </c>
      <c r="H566" s="76"/>
      <c r="I566" s="61"/>
      <c r="J566" s="76"/>
      <c r="K566" s="146"/>
      <c r="L566" s="77"/>
      <c r="M566" s="78"/>
      <c r="N566" s="71"/>
      <c r="O566" s="432" t="str">
        <f t="shared" si="26"/>
        <v/>
      </c>
    </row>
    <row r="567" spans="2:15" x14ac:dyDescent="0.4">
      <c r="B567" s="74"/>
      <c r="C567" s="60"/>
      <c r="D567" s="426" t="str">
        <f>IF(C567="","",VLOOKUP(C567,団体基本情報!$B$13:$D$22,3,FALSE))</f>
        <v/>
      </c>
      <c r="E567" s="427" t="str">
        <f t="shared" si="24"/>
        <v/>
      </c>
      <c r="F567" s="428" t="str">
        <f t="shared" si="25"/>
        <v/>
      </c>
      <c r="G567" s="129" t="str">
        <f>IF(H567="","",VLOOKUP(H567,プルダウン用リスト!$K$1:$M$15,2,FALSE))</f>
        <v/>
      </c>
      <c r="H567" s="76"/>
      <c r="I567" s="76"/>
      <c r="J567" s="76"/>
      <c r="K567" s="146"/>
      <c r="L567" s="77"/>
      <c r="M567" s="78"/>
      <c r="N567" s="71"/>
      <c r="O567" s="432" t="str">
        <f t="shared" si="26"/>
        <v/>
      </c>
    </row>
    <row r="568" spans="2:15" x14ac:dyDescent="0.4">
      <c r="B568" s="74"/>
      <c r="C568" s="60"/>
      <c r="D568" s="426" t="str">
        <f>IF(C568="","",VLOOKUP(C568,団体基本情報!$B$13:$D$22,3,FALSE))</f>
        <v/>
      </c>
      <c r="E568" s="427" t="str">
        <f t="shared" si="24"/>
        <v/>
      </c>
      <c r="F568" s="428" t="str">
        <f t="shared" si="25"/>
        <v/>
      </c>
      <c r="G568" s="129" t="str">
        <f>IF(H568="","",VLOOKUP(H568,プルダウン用リスト!$K$1:$M$15,2,FALSE))</f>
        <v/>
      </c>
      <c r="H568" s="76"/>
      <c r="I568" s="61"/>
      <c r="J568" s="76"/>
      <c r="K568" s="146"/>
      <c r="L568" s="77"/>
      <c r="M568" s="78"/>
      <c r="N568" s="71"/>
      <c r="O568" s="432" t="str">
        <f t="shared" si="26"/>
        <v/>
      </c>
    </row>
    <row r="569" spans="2:15" x14ac:dyDescent="0.4">
      <c r="B569" s="74"/>
      <c r="C569" s="60"/>
      <c r="D569" s="426" t="str">
        <f>IF(C569="","",VLOOKUP(C569,団体基本情報!$B$13:$D$22,3,FALSE))</f>
        <v/>
      </c>
      <c r="E569" s="427" t="str">
        <f t="shared" si="24"/>
        <v/>
      </c>
      <c r="F569" s="428" t="str">
        <f t="shared" si="25"/>
        <v/>
      </c>
      <c r="G569" s="129" t="str">
        <f>IF(H569="","",VLOOKUP(H569,プルダウン用リスト!$K$1:$M$15,2,FALSE))</f>
        <v/>
      </c>
      <c r="H569" s="76"/>
      <c r="I569" s="61"/>
      <c r="J569" s="76"/>
      <c r="K569" s="146"/>
      <c r="L569" s="77"/>
      <c r="M569" s="78"/>
      <c r="N569" s="71"/>
      <c r="O569" s="432" t="str">
        <f t="shared" si="26"/>
        <v/>
      </c>
    </row>
    <row r="570" spans="2:15" x14ac:dyDescent="0.4">
      <c r="B570" s="74"/>
      <c r="C570" s="75"/>
      <c r="D570" s="426" t="str">
        <f>IF(C570="","",VLOOKUP(C570,団体基本情報!$B$13:$D$22,3,FALSE))</f>
        <v/>
      </c>
      <c r="E570" s="427" t="str">
        <f t="shared" si="24"/>
        <v/>
      </c>
      <c r="F570" s="428" t="str">
        <f t="shared" si="25"/>
        <v/>
      </c>
      <c r="G570" s="129" t="str">
        <f>IF(H570="","",VLOOKUP(H570,プルダウン用リスト!$K$1:$M$15,2,FALSE))</f>
        <v/>
      </c>
      <c r="H570" s="76"/>
      <c r="I570" s="76"/>
      <c r="J570" s="76"/>
      <c r="K570" s="146"/>
      <c r="L570" s="77"/>
      <c r="M570" s="78"/>
      <c r="N570" s="71"/>
      <c r="O570" s="432" t="str">
        <f t="shared" si="26"/>
        <v/>
      </c>
    </row>
    <row r="571" spans="2:15" x14ac:dyDescent="0.4">
      <c r="B571" s="74"/>
      <c r="C571" s="60"/>
      <c r="D571" s="426" t="str">
        <f>IF(C571="","",VLOOKUP(C571,団体基本情報!$B$13:$D$22,3,FALSE))</f>
        <v/>
      </c>
      <c r="E571" s="427" t="str">
        <f t="shared" si="24"/>
        <v/>
      </c>
      <c r="F571" s="428" t="str">
        <f t="shared" si="25"/>
        <v/>
      </c>
      <c r="G571" s="129" t="str">
        <f>IF(H571="","",VLOOKUP(H571,プルダウン用リスト!$K$1:$M$15,2,FALSE))</f>
        <v/>
      </c>
      <c r="H571" s="76"/>
      <c r="I571" s="61"/>
      <c r="J571" s="76"/>
      <c r="K571" s="146"/>
      <c r="L571" s="77"/>
      <c r="M571" s="78"/>
      <c r="N571" s="71"/>
      <c r="O571" s="432" t="str">
        <f t="shared" si="26"/>
        <v/>
      </c>
    </row>
    <row r="572" spans="2:15" x14ac:dyDescent="0.4">
      <c r="B572" s="74"/>
      <c r="C572" s="60"/>
      <c r="D572" s="426" t="str">
        <f>IF(C572="","",VLOOKUP(C572,団体基本情報!$B$13:$D$22,3,FALSE))</f>
        <v/>
      </c>
      <c r="E572" s="427" t="str">
        <f t="shared" si="24"/>
        <v/>
      </c>
      <c r="F572" s="428" t="str">
        <f t="shared" si="25"/>
        <v/>
      </c>
      <c r="G572" s="129" t="str">
        <f>IF(H572="","",VLOOKUP(H572,プルダウン用リスト!$K$1:$M$15,2,FALSE))</f>
        <v/>
      </c>
      <c r="H572" s="76"/>
      <c r="I572" s="61"/>
      <c r="J572" s="76"/>
      <c r="K572" s="146"/>
      <c r="L572" s="77"/>
      <c r="M572" s="78"/>
      <c r="N572" s="71"/>
      <c r="O572" s="432" t="str">
        <f t="shared" si="26"/>
        <v/>
      </c>
    </row>
    <row r="573" spans="2:15" x14ac:dyDescent="0.4">
      <c r="B573" s="74"/>
      <c r="C573" s="60"/>
      <c r="D573" s="426" t="str">
        <f>IF(C573="","",VLOOKUP(C573,団体基本情報!$B$13:$D$22,3,FALSE))</f>
        <v/>
      </c>
      <c r="E573" s="427" t="str">
        <f t="shared" si="24"/>
        <v/>
      </c>
      <c r="F573" s="428" t="str">
        <f t="shared" si="25"/>
        <v/>
      </c>
      <c r="G573" s="129" t="str">
        <f>IF(H573="","",VLOOKUP(H573,プルダウン用リスト!$K$1:$M$15,2,FALSE))</f>
        <v/>
      </c>
      <c r="H573" s="76"/>
      <c r="I573" s="76"/>
      <c r="J573" s="76"/>
      <c r="K573" s="146"/>
      <c r="L573" s="77"/>
      <c r="M573" s="78"/>
      <c r="N573" s="71"/>
      <c r="O573" s="432" t="str">
        <f t="shared" si="26"/>
        <v/>
      </c>
    </row>
    <row r="574" spans="2:15" x14ac:dyDescent="0.4">
      <c r="B574" s="74"/>
      <c r="C574" s="60"/>
      <c r="D574" s="426" t="str">
        <f>IF(C574="","",VLOOKUP(C574,団体基本情報!$B$13:$D$22,3,FALSE))</f>
        <v/>
      </c>
      <c r="E574" s="427" t="str">
        <f t="shared" si="24"/>
        <v/>
      </c>
      <c r="F574" s="428" t="str">
        <f t="shared" si="25"/>
        <v/>
      </c>
      <c r="G574" s="129" t="str">
        <f>IF(H574="","",VLOOKUP(H574,プルダウン用リスト!$K$1:$M$15,2,FALSE))</f>
        <v/>
      </c>
      <c r="H574" s="76"/>
      <c r="I574" s="61"/>
      <c r="J574" s="76"/>
      <c r="K574" s="146"/>
      <c r="L574" s="77"/>
      <c r="M574" s="78"/>
      <c r="N574" s="71"/>
      <c r="O574" s="432" t="str">
        <f t="shared" si="26"/>
        <v/>
      </c>
    </row>
    <row r="575" spans="2:15" x14ac:dyDescent="0.4">
      <c r="B575" s="74"/>
      <c r="C575" s="60"/>
      <c r="D575" s="426" t="str">
        <f>IF(C575="","",VLOOKUP(C575,団体基本情報!$B$13:$D$22,3,FALSE))</f>
        <v/>
      </c>
      <c r="E575" s="427" t="str">
        <f t="shared" si="24"/>
        <v/>
      </c>
      <c r="F575" s="428" t="str">
        <f t="shared" si="25"/>
        <v/>
      </c>
      <c r="G575" s="129" t="str">
        <f>IF(H575="","",VLOOKUP(H575,プルダウン用リスト!$K$1:$M$15,2,FALSE))</f>
        <v/>
      </c>
      <c r="H575" s="76"/>
      <c r="I575" s="61"/>
      <c r="J575" s="76"/>
      <c r="K575" s="146"/>
      <c r="L575" s="77"/>
      <c r="M575" s="78"/>
      <c r="N575" s="71"/>
      <c r="O575" s="432" t="str">
        <f t="shared" si="26"/>
        <v/>
      </c>
    </row>
    <row r="576" spans="2:15" x14ac:dyDescent="0.4">
      <c r="B576" s="74"/>
      <c r="C576" s="60"/>
      <c r="D576" s="426" t="str">
        <f>IF(C576="","",VLOOKUP(C576,団体基本情報!$B$13:$D$22,3,FALSE))</f>
        <v/>
      </c>
      <c r="E576" s="427" t="str">
        <f t="shared" si="24"/>
        <v/>
      </c>
      <c r="F576" s="428" t="str">
        <f t="shared" si="25"/>
        <v/>
      </c>
      <c r="G576" s="129" t="str">
        <f>IF(H576="","",VLOOKUP(H576,プルダウン用リスト!$K$1:$M$15,2,FALSE))</f>
        <v/>
      </c>
      <c r="H576" s="76"/>
      <c r="I576" s="76"/>
      <c r="J576" s="76"/>
      <c r="K576" s="146"/>
      <c r="L576" s="77"/>
      <c r="M576" s="78"/>
      <c r="N576" s="71"/>
      <c r="O576" s="432" t="str">
        <f t="shared" si="26"/>
        <v/>
      </c>
    </row>
    <row r="577" spans="2:15" x14ac:dyDescent="0.4">
      <c r="B577" s="74"/>
      <c r="C577" s="60"/>
      <c r="D577" s="426" t="str">
        <f>IF(C577="","",VLOOKUP(C577,団体基本情報!$B$13:$D$22,3,FALSE))</f>
        <v/>
      </c>
      <c r="E577" s="427" t="str">
        <f t="shared" si="24"/>
        <v/>
      </c>
      <c r="F577" s="428" t="str">
        <f t="shared" si="25"/>
        <v/>
      </c>
      <c r="G577" s="129" t="str">
        <f>IF(H577="","",VLOOKUP(H577,プルダウン用リスト!$K$1:$M$15,2,FALSE))</f>
        <v/>
      </c>
      <c r="H577" s="76"/>
      <c r="I577" s="61"/>
      <c r="J577" s="76"/>
      <c r="K577" s="146"/>
      <c r="L577" s="77"/>
      <c r="M577" s="78"/>
      <c r="N577" s="71"/>
      <c r="O577" s="432" t="str">
        <f t="shared" si="26"/>
        <v/>
      </c>
    </row>
    <row r="578" spans="2:15" x14ac:dyDescent="0.4">
      <c r="B578" s="74"/>
      <c r="C578" s="60"/>
      <c r="D578" s="426" t="str">
        <f>IF(C578="","",VLOOKUP(C578,団体基本情報!$B$13:$D$22,3,FALSE))</f>
        <v/>
      </c>
      <c r="E578" s="427" t="str">
        <f t="shared" si="24"/>
        <v/>
      </c>
      <c r="F578" s="428" t="str">
        <f t="shared" si="25"/>
        <v/>
      </c>
      <c r="G578" s="129" t="str">
        <f>IF(H578="","",VLOOKUP(H578,プルダウン用リスト!$K$1:$M$15,2,FALSE))</f>
        <v/>
      </c>
      <c r="H578" s="76"/>
      <c r="I578" s="61"/>
      <c r="J578" s="76"/>
      <c r="K578" s="146"/>
      <c r="L578" s="77"/>
      <c r="M578" s="78"/>
      <c r="N578" s="71"/>
      <c r="O578" s="432" t="str">
        <f t="shared" si="26"/>
        <v/>
      </c>
    </row>
    <row r="579" spans="2:15" x14ac:dyDescent="0.4">
      <c r="B579" s="74"/>
      <c r="C579" s="60"/>
      <c r="D579" s="426" t="str">
        <f>IF(C579="","",VLOOKUP(C579,団体基本情報!$B$13:$D$22,3,FALSE))</f>
        <v/>
      </c>
      <c r="E579" s="427" t="str">
        <f t="shared" si="24"/>
        <v/>
      </c>
      <c r="F579" s="428" t="str">
        <f t="shared" si="25"/>
        <v/>
      </c>
      <c r="G579" s="129" t="str">
        <f>IF(H579="","",VLOOKUP(H579,プルダウン用リスト!$K$1:$M$15,2,FALSE))</f>
        <v/>
      </c>
      <c r="H579" s="76"/>
      <c r="I579" s="76"/>
      <c r="J579" s="76"/>
      <c r="K579" s="146"/>
      <c r="L579" s="77"/>
      <c r="M579" s="78"/>
      <c r="N579" s="71"/>
      <c r="O579" s="432" t="str">
        <f t="shared" si="26"/>
        <v/>
      </c>
    </row>
    <row r="580" spans="2:15" x14ac:dyDescent="0.4">
      <c r="B580" s="74"/>
      <c r="C580" s="60"/>
      <c r="D580" s="426" t="str">
        <f>IF(C580="","",VLOOKUP(C580,団体基本情報!$B$13:$D$22,3,FALSE))</f>
        <v/>
      </c>
      <c r="E580" s="427" t="str">
        <f t="shared" si="24"/>
        <v/>
      </c>
      <c r="F580" s="428" t="str">
        <f t="shared" si="25"/>
        <v/>
      </c>
      <c r="G580" s="129" t="str">
        <f>IF(H580="","",VLOOKUP(H580,プルダウン用リスト!$K$1:$M$15,2,FALSE))</f>
        <v/>
      </c>
      <c r="H580" s="76"/>
      <c r="I580" s="61"/>
      <c r="J580" s="76"/>
      <c r="K580" s="146"/>
      <c r="L580" s="77"/>
      <c r="M580" s="78"/>
      <c r="N580" s="71"/>
      <c r="O580" s="432" t="str">
        <f t="shared" si="26"/>
        <v/>
      </c>
    </row>
    <row r="581" spans="2:15" x14ac:dyDescent="0.4">
      <c r="B581" s="74"/>
      <c r="C581" s="60"/>
      <c r="D581" s="426" t="str">
        <f>IF(C581="","",VLOOKUP(C581,団体基本情報!$B$13:$D$22,3,FALSE))</f>
        <v/>
      </c>
      <c r="E581" s="427" t="str">
        <f t="shared" si="24"/>
        <v/>
      </c>
      <c r="F581" s="428" t="str">
        <f t="shared" si="25"/>
        <v/>
      </c>
      <c r="G581" s="129" t="str">
        <f>IF(H581="","",VLOOKUP(H581,プルダウン用リスト!$K$1:$M$15,2,FALSE))</f>
        <v/>
      </c>
      <c r="H581" s="76"/>
      <c r="I581" s="61"/>
      <c r="J581" s="76"/>
      <c r="K581" s="146"/>
      <c r="L581" s="77"/>
      <c r="M581" s="78"/>
      <c r="N581" s="71"/>
      <c r="O581" s="432" t="str">
        <f t="shared" si="26"/>
        <v/>
      </c>
    </row>
    <row r="582" spans="2:15" x14ac:dyDescent="0.4">
      <c r="B582" s="74"/>
      <c r="C582" s="75"/>
      <c r="D582" s="426" t="str">
        <f>IF(C582="","",VLOOKUP(C582,団体基本情報!$B$13:$D$22,3,FALSE))</f>
        <v/>
      </c>
      <c r="E582" s="427" t="str">
        <f t="shared" si="24"/>
        <v/>
      </c>
      <c r="F582" s="428" t="str">
        <f t="shared" si="25"/>
        <v/>
      </c>
      <c r="G582" s="129" t="str">
        <f>IF(H582="","",VLOOKUP(H582,プルダウン用リスト!$K$1:$M$15,2,FALSE))</f>
        <v/>
      </c>
      <c r="H582" s="76"/>
      <c r="I582" s="76"/>
      <c r="J582" s="76"/>
      <c r="K582" s="146"/>
      <c r="L582" s="77"/>
      <c r="M582" s="78"/>
      <c r="N582" s="71"/>
      <c r="O582" s="432" t="str">
        <f t="shared" si="26"/>
        <v/>
      </c>
    </row>
    <row r="583" spans="2:15" x14ac:dyDescent="0.4">
      <c r="B583" s="74"/>
      <c r="C583" s="60"/>
      <c r="D583" s="426" t="str">
        <f>IF(C583="","",VLOOKUP(C583,団体基本情報!$B$13:$D$22,3,FALSE))</f>
        <v/>
      </c>
      <c r="E583" s="427" t="str">
        <f t="shared" ref="E583:E646" si="27">IF(F583="","",IF(F583="謝金","01.",IF(F583="旅費","02.",IF(F583="その他","04.","03."))))</f>
        <v/>
      </c>
      <c r="F583" s="428" t="str">
        <f t="shared" ref="F583:F646" si="28">IF(H583="","",IF(H583="謝金","謝金",IF(H583="旅費","旅費",IF(H583="対象外経費","その他","所費"))))</f>
        <v/>
      </c>
      <c r="G583" s="129" t="str">
        <f>IF(H583="","",VLOOKUP(H583,プルダウン用リスト!$K$1:$M$15,2,FALSE))</f>
        <v/>
      </c>
      <c r="H583" s="76"/>
      <c r="I583" s="61"/>
      <c r="J583" s="76"/>
      <c r="K583" s="146"/>
      <c r="L583" s="77"/>
      <c r="M583" s="78"/>
      <c r="N583" s="71"/>
      <c r="O583" s="432" t="str">
        <f t="shared" ref="O583:O646" si="29">IF(H583="対象外経費",M583,IF(N583="","",M583-N583))</f>
        <v/>
      </c>
    </row>
    <row r="584" spans="2:15" x14ac:dyDescent="0.4">
      <c r="B584" s="74"/>
      <c r="C584" s="60"/>
      <c r="D584" s="426" t="str">
        <f>IF(C584="","",VLOOKUP(C584,団体基本情報!$B$13:$D$22,3,FALSE))</f>
        <v/>
      </c>
      <c r="E584" s="427" t="str">
        <f t="shared" si="27"/>
        <v/>
      </c>
      <c r="F584" s="428" t="str">
        <f t="shared" si="28"/>
        <v/>
      </c>
      <c r="G584" s="129" t="str">
        <f>IF(H584="","",VLOOKUP(H584,プルダウン用リスト!$K$1:$M$15,2,FALSE))</f>
        <v/>
      </c>
      <c r="H584" s="76"/>
      <c r="I584" s="61"/>
      <c r="J584" s="76"/>
      <c r="K584" s="146"/>
      <c r="L584" s="77"/>
      <c r="M584" s="78"/>
      <c r="N584" s="71"/>
      <c r="O584" s="432" t="str">
        <f t="shared" si="29"/>
        <v/>
      </c>
    </row>
    <row r="585" spans="2:15" x14ac:dyDescent="0.4">
      <c r="B585" s="74"/>
      <c r="C585" s="60"/>
      <c r="D585" s="426" t="str">
        <f>IF(C585="","",VLOOKUP(C585,団体基本情報!$B$13:$D$22,3,FALSE))</f>
        <v/>
      </c>
      <c r="E585" s="427" t="str">
        <f t="shared" si="27"/>
        <v/>
      </c>
      <c r="F585" s="428" t="str">
        <f t="shared" si="28"/>
        <v/>
      </c>
      <c r="G585" s="129" t="str">
        <f>IF(H585="","",VLOOKUP(H585,プルダウン用リスト!$K$1:$M$15,2,FALSE))</f>
        <v/>
      </c>
      <c r="H585" s="76"/>
      <c r="I585" s="76"/>
      <c r="J585" s="76"/>
      <c r="K585" s="146"/>
      <c r="L585" s="77"/>
      <c r="M585" s="78"/>
      <c r="N585" s="71"/>
      <c r="O585" s="432" t="str">
        <f t="shared" si="29"/>
        <v/>
      </c>
    </row>
    <row r="586" spans="2:15" x14ac:dyDescent="0.4">
      <c r="B586" s="74"/>
      <c r="C586" s="60"/>
      <c r="D586" s="426" t="str">
        <f>IF(C586="","",VLOOKUP(C586,団体基本情報!$B$13:$D$22,3,FALSE))</f>
        <v/>
      </c>
      <c r="E586" s="427" t="str">
        <f t="shared" si="27"/>
        <v/>
      </c>
      <c r="F586" s="428" t="str">
        <f t="shared" si="28"/>
        <v/>
      </c>
      <c r="G586" s="129" t="str">
        <f>IF(H586="","",VLOOKUP(H586,プルダウン用リスト!$K$1:$M$15,2,FALSE))</f>
        <v/>
      </c>
      <c r="H586" s="76"/>
      <c r="I586" s="61"/>
      <c r="J586" s="76"/>
      <c r="K586" s="146"/>
      <c r="L586" s="77"/>
      <c r="M586" s="78"/>
      <c r="N586" s="71"/>
      <c r="O586" s="432" t="str">
        <f t="shared" si="29"/>
        <v/>
      </c>
    </row>
    <row r="587" spans="2:15" x14ac:dyDescent="0.4">
      <c r="B587" s="74"/>
      <c r="C587" s="60"/>
      <c r="D587" s="426" t="str">
        <f>IF(C587="","",VLOOKUP(C587,団体基本情報!$B$13:$D$22,3,FALSE))</f>
        <v/>
      </c>
      <c r="E587" s="427" t="str">
        <f t="shared" si="27"/>
        <v/>
      </c>
      <c r="F587" s="428" t="str">
        <f t="shared" si="28"/>
        <v/>
      </c>
      <c r="G587" s="129" t="str">
        <f>IF(H587="","",VLOOKUP(H587,プルダウン用リスト!$K$1:$M$15,2,FALSE))</f>
        <v/>
      </c>
      <c r="H587" s="76"/>
      <c r="I587" s="61"/>
      <c r="J587" s="76"/>
      <c r="K587" s="146"/>
      <c r="L587" s="77"/>
      <c r="M587" s="78"/>
      <c r="N587" s="71"/>
      <c r="O587" s="432" t="str">
        <f t="shared" si="29"/>
        <v/>
      </c>
    </row>
    <row r="588" spans="2:15" x14ac:dyDescent="0.4">
      <c r="B588" s="74"/>
      <c r="C588" s="60"/>
      <c r="D588" s="426" t="str">
        <f>IF(C588="","",VLOOKUP(C588,団体基本情報!$B$13:$D$22,3,FALSE))</f>
        <v/>
      </c>
      <c r="E588" s="427" t="str">
        <f t="shared" si="27"/>
        <v/>
      </c>
      <c r="F588" s="428" t="str">
        <f t="shared" si="28"/>
        <v/>
      </c>
      <c r="G588" s="129" t="str">
        <f>IF(H588="","",VLOOKUP(H588,プルダウン用リスト!$K$1:$M$15,2,FALSE))</f>
        <v/>
      </c>
      <c r="H588" s="76"/>
      <c r="I588" s="76"/>
      <c r="J588" s="76"/>
      <c r="K588" s="146"/>
      <c r="L588" s="77"/>
      <c r="M588" s="78"/>
      <c r="N588" s="71"/>
      <c r="O588" s="432" t="str">
        <f t="shared" si="29"/>
        <v/>
      </c>
    </row>
    <row r="589" spans="2:15" x14ac:dyDescent="0.4">
      <c r="B589" s="74"/>
      <c r="C589" s="60"/>
      <c r="D589" s="426" t="str">
        <f>IF(C589="","",VLOOKUP(C589,団体基本情報!$B$13:$D$22,3,FALSE))</f>
        <v/>
      </c>
      <c r="E589" s="427" t="str">
        <f t="shared" si="27"/>
        <v/>
      </c>
      <c r="F589" s="428" t="str">
        <f t="shared" si="28"/>
        <v/>
      </c>
      <c r="G589" s="129" t="str">
        <f>IF(H589="","",VLOOKUP(H589,プルダウン用リスト!$K$1:$M$15,2,FALSE))</f>
        <v/>
      </c>
      <c r="H589" s="76"/>
      <c r="I589" s="61"/>
      <c r="J589" s="76"/>
      <c r="K589" s="146"/>
      <c r="L589" s="77"/>
      <c r="M589" s="78"/>
      <c r="N589" s="71"/>
      <c r="O589" s="432" t="str">
        <f t="shared" si="29"/>
        <v/>
      </c>
    </row>
    <row r="590" spans="2:15" x14ac:dyDescent="0.4">
      <c r="B590" s="74"/>
      <c r="C590" s="60"/>
      <c r="D590" s="426" t="str">
        <f>IF(C590="","",VLOOKUP(C590,団体基本情報!$B$13:$D$22,3,FALSE))</f>
        <v/>
      </c>
      <c r="E590" s="427" t="str">
        <f t="shared" si="27"/>
        <v/>
      </c>
      <c r="F590" s="428" t="str">
        <f t="shared" si="28"/>
        <v/>
      </c>
      <c r="G590" s="129" t="str">
        <f>IF(H590="","",VLOOKUP(H590,プルダウン用リスト!$K$1:$M$15,2,FALSE))</f>
        <v/>
      </c>
      <c r="H590" s="76"/>
      <c r="I590" s="61"/>
      <c r="J590" s="76"/>
      <c r="K590" s="146"/>
      <c r="L590" s="77"/>
      <c r="M590" s="78"/>
      <c r="N590" s="71"/>
      <c r="O590" s="432" t="str">
        <f t="shared" si="29"/>
        <v/>
      </c>
    </row>
    <row r="591" spans="2:15" x14ac:dyDescent="0.4">
      <c r="B591" s="74"/>
      <c r="C591" s="60"/>
      <c r="D591" s="426" t="str">
        <f>IF(C591="","",VLOOKUP(C591,団体基本情報!$B$13:$D$22,3,FALSE))</f>
        <v/>
      </c>
      <c r="E591" s="427" t="str">
        <f t="shared" si="27"/>
        <v/>
      </c>
      <c r="F591" s="428" t="str">
        <f t="shared" si="28"/>
        <v/>
      </c>
      <c r="G591" s="129" t="str">
        <f>IF(H591="","",VLOOKUP(H591,プルダウン用リスト!$K$1:$M$15,2,FALSE))</f>
        <v/>
      </c>
      <c r="H591" s="76"/>
      <c r="I591" s="76"/>
      <c r="J591" s="76"/>
      <c r="K591" s="146"/>
      <c r="L591" s="77"/>
      <c r="M591" s="78"/>
      <c r="N591" s="71"/>
      <c r="O591" s="432" t="str">
        <f t="shared" si="29"/>
        <v/>
      </c>
    </row>
    <row r="592" spans="2:15" x14ac:dyDescent="0.4">
      <c r="B592" s="74"/>
      <c r="C592" s="60"/>
      <c r="D592" s="426" t="str">
        <f>IF(C592="","",VLOOKUP(C592,団体基本情報!$B$13:$D$22,3,FALSE))</f>
        <v/>
      </c>
      <c r="E592" s="427" t="str">
        <f t="shared" si="27"/>
        <v/>
      </c>
      <c r="F592" s="428" t="str">
        <f t="shared" si="28"/>
        <v/>
      </c>
      <c r="G592" s="129" t="str">
        <f>IF(H592="","",VLOOKUP(H592,プルダウン用リスト!$K$1:$M$15,2,FALSE))</f>
        <v/>
      </c>
      <c r="H592" s="76"/>
      <c r="I592" s="61"/>
      <c r="J592" s="76"/>
      <c r="K592" s="146"/>
      <c r="L592" s="77"/>
      <c r="M592" s="78"/>
      <c r="N592" s="71"/>
      <c r="O592" s="432" t="str">
        <f t="shared" si="29"/>
        <v/>
      </c>
    </row>
    <row r="593" spans="2:15" x14ac:dyDescent="0.4">
      <c r="B593" s="74"/>
      <c r="C593" s="60"/>
      <c r="D593" s="426" t="str">
        <f>IF(C593="","",VLOOKUP(C593,団体基本情報!$B$13:$D$22,3,FALSE))</f>
        <v/>
      </c>
      <c r="E593" s="427" t="str">
        <f t="shared" si="27"/>
        <v/>
      </c>
      <c r="F593" s="428" t="str">
        <f t="shared" si="28"/>
        <v/>
      </c>
      <c r="G593" s="129" t="str">
        <f>IF(H593="","",VLOOKUP(H593,プルダウン用リスト!$K$1:$M$15,2,FALSE))</f>
        <v/>
      </c>
      <c r="H593" s="76"/>
      <c r="I593" s="61"/>
      <c r="J593" s="76"/>
      <c r="K593" s="146"/>
      <c r="L593" s="77"/>
      <c r="M593" s="78"/>
      <c r="N593" s="71"/>
      <c r="O593" s="432" t="str">
        <f t="shared" si="29"/>
        <v/>
      </c>
    </row>
    <row r="594" spans="2:15" x14ac:dyDescent="0.4">
      <c r="B594" s="74"/>
      <c r="C594" s="75"/>
      <c r="D594" s="426" t="str">
        <f>IF(C594="","",VLOOKUP(C594,団体基本情報!$B$13:$D$22,3,FALSE))</f>
        <v/>
      </c>
      <c r="E594" s="427" t="str">
        <f t="shared" si="27"/>
        <v/>
      </c>
      <c r="F594" s="428" t="str">
        <f t="shared" si="28"/>
        <v/>
      </c>
      <c r="G594" s="129" t="str">
        <f>IF(H594="","",VLOOKUP(H594,プルダウン用リスト!$K$1:$M$15,2,FALSE))</f>
        <v/>
      </c>
      <c r="H594" s="76"/>
      <c r="I594" s="76"/>
      <c r="J594" s="76"/>
      <c r="K594" s="146"/>
      <c r="L594" s="77"/>
      <c r="M594" s="78"/>
      <c r="N594" s="71"/>
      <c r="O594" s="432" t="str">
        <f t="shared" si="29"/>
        <v/>
      </c>
    </row>
    <row r="595" spans="2:15" x14ac:dyDescent="0.4">
      <c r="B595" s="74"/>
      <c r="C595" s="60"/>
      <c r="D595" s="426" t="str">
        <f>IF(C595="","",VLOOKUP(C595,団体基本情報!$B$13:$D$22,3,FALSE))</f>
        <v/>
      </c>
      <c r="E595" s="427" t="str">
        <f t="shared" si="27"/>
        <v/>
      </c>
      <c r="F595" s="428" t="str">
        <f t="shared" si="28"/>
        <v/>
      </c>
      <c r="G595" s="129" t="str">
        <f>IF(H595="","",VLOOKUP(H595,プルダウン用リスト!$K$1:$M$15,2,FALSE))</f>
        <v/>
      </c>
      <c r="H595" s="76"/>
      <c r="I595" s="61"/>
      <c r="J595" s="76"/>
      <c r="K595" s="146"/>
      <c r="L595" s="77"/>
      <c r="M595" s="78"/>
      <c r="N595" s="71"/>
      <c r="O595" s="432" t="str">
        <f t="shared" si="29"/>
        <v/>
      </c>
    </row>
    <row r="596" spans="2:15" x14ac:dyDescent="0.4">
      <c r="B596" s="74"/>
      <c r="C596" s="60"/>
      <c r="D596" s="426" t="str">
        <f>IF(C596="","",VLOOKUP(C596,団体基本情報!$B$13:$D$22,3,FALSE))</f>
        <v/>
      </c>
      <c r="E596" s="427" t="str">
        <f t="shared" si="27"/>
        <v/>
      </c>
      <c r="F596" s="428" t="str">
        <f t="shared" si="28"/>
        <v/>
      </c>
      <c r="G596" s="129" t="str">
        <f>IF(H596="","",VLOOKUP(H596,プルダウン用リスト!$K$1:$M$15,2,FALSE))</f>
        <v/>
      </c>
      <c r="H596" s="76"/>
      <c r="I596" s="61"/>
      <c r="J596" s="76"/>
      <c r="K596" s="146"/>
      <c r="L596" s="77"/>
      <c r="M596" s="78"/>
      <c r="N596" s="71"/>
      <c r="O596" s="432" t="str">
        <f t="shared" si="29"/>
        <v/>
      </c>
    </row>
    <row r="597" spans="2:15" x14ac:dyDescent="0.4">
      <c r="B597" s="74"/>
      <c r="C597" s="60"/>
      <c r="D597" s="426" t="str">
        <f>IF(C597="","",VLOOKUP(C597,団体基本情報!$B$13:$D$22,3,FALSE))</f>
        <v/>
      </c>
      <c r="E597" s="427" t="str">
        <f t="shared" si="27"/>
        <v/>
      </c>
      <c r="F597" s="428" t="str">
        <f t="shared" si="28"/>
        <v/>
      </c>
      <c r="G597" s="129" t="str">
        <f>IF(H597="","",VLOOKUP(H597,プルダウン用リスト!$K$1:$M$15,2,FALSE))</f>
        <v/>
      </c>
      <c r="H597" s="76"/>
      <c r="I597" s="76"/>
      <c r="J597" s="76"/>
      <c r="K597" s="146"/>
      <c r="L597" s="77"/>
      <c r="M597" s="78"/>
      <c r="N597" s="71"/>
      <c r="O597" s="432" t="str">
        <f t="shared" si="29"/>
        <v/>
      </c>
    </row>
    <row r="598" spans="2:15" x14ac:dyDescent="0.4">
      <c r="B598" s="74"/>
      <c r="C598" s="60"/>
      <c r="D598" s="426" t="str">
        <f>IF(C598="","",VLOOKUP(C598,団体基本情報!$B$13:$D$22,3,FALSE))</f>
        <v/>
      </c>
      <c r="E598" s="427" t="str">
        <f t="shared" si="27"/>
        <v/>
      </c>
      <c r="F598" s="428" t="str">
        <f t="shared" si="28"/>
        <v/>
      </c>
      <c r="G598" s="129" t="str">
        <f>IF(H598="","",VLOOKUP(H598,プルダウン用リスト!$K$1:$M$15,2,FALSE))</f>
        <v/>
      </c>
      <c r="H598" s="76"/>
      <c r="I598" s="61"/>
      <c r="J598" s="76"/>
      <c r="K598" s="146"/>
      <c r="L598" s="77"/>
      <c r="M598" s="78"/>
      <c r="N598" s="71"/>
      <c r="O598" s="432" t="str">
        <f t="shared" si="29"/>
        <v/>
      </c>
    </row>
    <row r="599" spans="2:15" x14ac:dyDescent="0.4">
      <c r="B599" s="74"/>
      <c r="C599" s="60"/>
      <c r="D599" s="426" t="str">
        <f>IF(C599="","",VLOOKUP(C599,団体基本情報!$B$13:$D$22,3,FALSE))</f>
        <v/>
      </c>
      <c r="E599" s="427" t="str">
        <f t="shared" si="27"/>
        <v/>
      </c>
      <c r="F599" s="428" t="str">
        <f t="shared" si="28"/>
        <v/>
      </c>
      <c r="G599" s="129" t="str">
        <f>IF(H599="","",VLOOKUP(H599,プルダウン用リスト!$K$1:$M$15,2,FALSE))</f>
        <v/>
      </c>
      <c r="H599" s="76"/>
      <c r="I599" s="61"/>
      <c r="J599" s="76"/>
      <c r="K599" s="146"/>
      <c r="L599" s="77"/>
      <c r="M599" s="78"/>
      <c r="N599" s="71"/>
      <c r="O599" s="432" t="str">
        <f t="shared" si="29"/>
        <v/>
      </c>
    </row>
    <row r="600" spans="2:15" x14ac:dyDescent="0.4">
      <c r="B600" s="74"/>
      <c r="C600" s="60"/>
      <c r="D600" s="426" t="str">
        <f>IF(C600="","",VLOOKUP(C600,団体基本情報!$B$13:$D$22,3,FALSE))</f>
        <v/>
      </c>
      <c r="E600" s="427" t="str">
        <f t="shared" si="27"/>
        <v/>
      </c>
      <c r="F600" s="428" t="str">
        <f t="shared" si="28"/>
        <v/>
      </c>
      <c r="G600" s="129" t="str">
        <f>IF(H600="","",VLOOKUP(H600,プルダウン用リスト!$K$1:$M$15,2,FALSE))</f>
        <v/>
      </c>
      <c r="H600" s="76"/>
      <c r="I600" s="76"/>
      <c r="J600" s="76"/>
      <c r="K600" s="146"/>
      <c r="L600" s="77"/>
      <c r="M600" s="78"/>
      <c r="N600" s="71"/>
      <c r="O600" s="432" t="str">
        <f t="shared" si="29"/>
        <v/>
      </c>
    </row>
    <row r="601" spans="2:15" x14ac:dyDescent="0.4">
      <c r="B601" s="74"/>
      <c r="C601" s="60"/>
      <c r="D601" s="426" t="str">
        <f>IF(C601="","",VLOOKUP(C601,団体基本情報!$B$13:$D$22,3,FALSE))</f>
        <v/>
      </c>
      <c r="E601" s="427" t="str">
        <f t="shared" si="27"/>
        <v/>
      </c>
      <c r="F601" s="428" t="str">
        <f t="shared" si="28"/>
        <v/>
      </c>
      <c r="G601" s="129" t="str">
        <f>IF(H601="","",VLOOKUP(H601,プルダウン用リスト!$K$1:$M$15,2,FALSE))</f>
        <v/>
      </c>
      <c r="H601" s="76"/>
      <c r="I601" s="61"/>
      <c r="J601" s="76"/>
      <c r="K601" s="146"/>
      <c r="L601" s="77"/>
      <c r="M601" s="78"/>
      <c r="N601" s="71"/>
      <c r="O601" s="432" t="str">
        <f t="shared" si="29"/>
        <v/>
      </c>
    </row>
    <row r="602" spans="2:15" x14ac:dyDescent="0.4">
      <c r="B602" s="74"/>
      <c r="C602" s="60"/>
      <c r="D602" s="426" t="str">
        <f>IF(C602="","",VLOOKUP(C602,団体基本情報!$B$13:$D$22,3,FALSE))</f>
        <v/>
      </c>
      <c r="E602" s="427" t="str">
        <f t="shared" si="27"/>
        <v/>
      </c>
      <c r="F602" s="428" t="str">
        <f t="shared" si="28"/>
        <v/>
      </c>
      <c r="G602" s="129" t="str">
        <f>IF(H602="","",VLOOKUP(H602,プルダウン用リスト!$K$1:$M$15,2,FALSE))</f>
        <v/>
      </c>
      <c r="H602" s="76"/>
      <c r="I602" s="61"/>
      <c r="J602" s="76"/>
      <c r="K602" s="146"/>
      <c r="L602" s="77"/>
      <c r="M602" s="78"/>
      <c r="N602" s="71"/>
      <c r="O602" s="432" t="str">
        <f t="shared" si="29"/>
        <v/>
      </c>
    </row>
    <row r="603" spans="2:15" x14ac:dyDescent="0.4">
      <c r="B603" s="74"/>
      <c r="C603" s="60"/>
      <c r="D603" s="426" t="str">
        <f>IF(C603="","",VLOOKUP(C603,団体基本情報!$B$13:$D$22,3,FALSE))</f>
        <v/>
      </c>
      <c r="E603" s="427" t="str">
        <f t="shared" si="27"/>
        <v/>
      </c>
      <c r="F603" s="428" t="str">
        <f t="shared" si="28"/>
        <v/>
      </c>
      <c r="G603" s="129" t="str">
        <f>IF(H603="","",VLOOKUP(H603,プルダウン用リスト!$K$1:$M$15,2,FALSE))</f>
        <v/>
      </c>
      <c r="H603" s="76"/>
      <c r="I603" s="76"/>
      <c r="J603" s="76"/>
      <c r="K603" s="146"/>
      <c r="L603" s="77"/>
      <c r="M603" s="78"/>
      <c r="N603" s="71"/>
      <c r="O603" s="432" t="str">
        <f t="shared" si="29"/>
        <v/>
      </c>
    </row>
    <row r="604" spans="2:15" x14ac:dyDescent="0.4">
      <c r="B604" s="74"/>
      <c r="C604" s="60"/>
      <c r="D604" s="426" t="str">
        <f>IF(C604="","",VLOOKUP(C604,団体基本情報!$B$13:$D$22,3,FALSE))</f>
        <v/>
      </c>
      <c r="E604" s="427" t="str">
        <f t="shared" si="27"/>
        <v/>
      </c>
      <c r="F604" s="428" t="str">
        <f t="shared" si="28"/>
        <v/>
      </c>
      <c r="G604" s="129" t="str">
        <f>IF(H604="","",VLOOKUP(H604,プルダウン用リスト!$K$1:$M$15,2,FALSE))</f>
        <v/>
      </c>
      <c r="H604" s="76"/>
      <c r="I604" s="61"/>
      <c r="J604" s="76"/>
      <c r="K604" s="146"/>
      <c r="L604" s="77"/>
      <c r="M604" s="78"/>
      <c r="N604" s="71"/>
      <c r="O604" s="432" t="str">
        <f t="shared" si="29"/>
        <v/>
      </c>
    </row>
    <row r="605" spans="2:15" x14ac:dyDescent="0.4">
      <c r="B605" s="74"/>
      <c r="C605" s="60"/>
      <c r="D605" s="426" t="str">
        <f>IF(C605="","",VLOOKUP(C605,団体基本情報!$B$13:$D$22,3,FALSE))</f>
        <v/>
      </c>
      <c r="E605" s="427" t="str">
        <f t="shared" si="27"/>
        <v/>
      </c>
      <c r="F605" s="428" t="str">
        <f t="shared" si="28"/>
        <v/>
      </c>
      <c r="G605" s="129" t="str">
        <f>IF(H605="","",VLOOKUP(H605,プルダウン用リスト!$K$1:$M$15,2,FALSE))</f>
        <v/>
      </c>
      <c r="H605" s="76"/>
      <c r="I605" s="61"/>
      <c r="J605" s="76"/>
      <c r="K605" s="146"/>
      <c r="L605" s="77"/>
      <c r="M605" s="78"/>
      <c r="N605" s="71"/>
      <c r="O605" s="432" t="str">
        <f t="shared" si="29"/>
        <v/>
      </c>
    </row>
    <row r="606" spans="2:15" x14ac:dyDescent="0.4">
      <c r="B606" s="74"/>
      <c r="C606" s="75"/>
      <c r="D606" s="426" t="str">
        <f>IF(C606="","",VLOOKUP(C606,団体基本情報!$B$13:$D$22,3,FALSE))</f>
        <v/>
      </c>
      <c r="E606" s="427" t="str">
        <f t="shared" si="27"/>
        <v/>
      </c>
      <c r="F606" s="428" t="str">
        <f t="shared" si="28"/>
        <v/>
      </c>
      <c r="G606" s="129" t="str">
        <f>IF(H606="","",VLOOKUP(H606,プルダウン用リスト!$K$1:$M$15,2,FALSE))</f>
        <v/>
      </c>
      <c r="H606" s="76"/>
      <c r="I606" s="76"/>
      <c r="J606" s="76"/>
      <c r="K606" s="146"/>
      <c r="L606" s="77"/>
      <c r="M606" s="78"/>
      <c r="N606" s="71"/>
      <c r="O606" s="432" t="str">
        <f t="shared" si="29"/>
        <v/>
      </c>
    </row>
    <row r="607" spans="2:15" x14ac:dyDescent="0.4">
      <c r="B607" s="74"/>
      <c r="C607" s="60"/>
      <c r="D607" s="426" t="str">
        <f>IF(C607="","",VLOOKUP(C607,団体基本情報!$B$13:$D$22,3,FALSE))</f>
        <v/>
      </c>
      <c r="E607" s="427" t="str">
        <f t="shared" si="27"/>
        <v/>
      </c>
      <c r="F607" s="428" t="str">
        <f t="shared" si="28"/>
        <v/>
      </c>
      <c r="G607" s="129" t="str">
        <f>IF(H607="","",VLOOKUP(H607,プルダウン用リスト!$K$1:$M$15,2,FALSE))</f>
        <v/>
      </c>
      <c r="H607" s="76"/>
      <c r="I607" s="61"/>
      <c r="J607" s="76"/>
      <c r="K607" s="146"/>
      <c r="L607" s="77"/>
      <c r="M607" s="78"/>
      <c r="N607" s="71"/>
      <c r="O607" s="432" t="str">
        <f t="shared" si="29"/>
        <v/>
      </c>
    </row>
    <row r="608" spans="2:15" x14ac:dyDescent="0.4">
      <c r="B608" s="74"/>
      <c r="C608" s="60"/>
      <c r="D608" s="426" t="str">
        <f>IF(C608="","",VLOOKUP(C608,団体基本情報!$B$13:$D$22,3,FALSE))</f>
        <v/>
      </c>
      <c r="E608" s="427" t="str">
        <f t="shared" si="27"/>
        <v/>
      </c>
      <c r="F608" s="428" t="str">
        <f t="shared" si="28"/>
        <v/>
      </c>
      <c r="G608" s="129" t="str">
        <f>IF(H608="","",VLOOKUP(H608,プルダウン用リスト!$K$1:$M$15,2,FALSE))</f>
        <v/>
      </c>
      <c r="H608" s="76"/>
      <c r="I608" s="61"/>
      <c r="J608" s="76"/>
      <c r="K608" s="146"/>
      <c r="L608" s="77"/>
      <c r="M608" s="78"/>
      <c r="N608" s="71"/>
      <c r="O608" s="432" t="str">
        <f t="shared" si="29"/>
        <v/>
      </c>
    </row>
    <row r="609" spans="2:15" x14ac:dyDescent="0.4">
      <c r="B609" s="74"/>
      <c r="C609" s="60"/>
      <c r="D609" s="426" t="str">
        <f>IF(C609="","",VLOOKUP(C609,団体基本情報!$B$13:$D$22,3,FALSE))</f>
        <v/>
      </c>
      <c r="E609" s="427" t="str">
        <f t="shared" si="27"/>
        <v/>
      </c>
      <c r="F609" s="428" t="str">
        <f t="shared" si="28"/>
        <v/>
      </c>
      <c r="G609" s="129" t="str">
        <f>IF(H609="","",VLOOKUP(H609,プルダウン用リスト!$K$1:$M$15,2,FALSE))</f>
        <v/>
      </c>
      <c r="H609" s="76"/>
      <c r="I609" s="76"/>
      <c r="J609" s="76"/>
      <c r="K609" s="146"/>
      <c r="L609" s="77"/>
      <c r="M609" s="78"/>
      <c r="N609" s="71"/>
      <c r="O609" s="432" t="str">
        <f t="shared" si="29"/>
        <v/>
      </c>
    </row>
    <row r="610" spans="2:15" x14ac:dyDescent="0.4">
      <c r="B610" s="74"/>
      <c r="C610" s="60"/>
      <c r="D610" s="426" t="str">
        <f>IF(C610="","",VLOOKUP(C610,団体基本情報!$B$13:$D$22,3,FALSE))</f>
        <v/>
      </c>
      <c r="E610" s="427" t="str">
        <f t="shared" si="27"/>
        <v/>
      </c>
      <c r="F610" s="428" t="str">
        <f t="shared" si="28"/>
        <v/>
      </c>
      <c r="G610" s="129" t="str">
        <f>IF(H610="","",VLOOKUP(H610,プルダウン用リスト!$K$1:$M$15,2,FALSE))</f>
        <v/>
      </c>
      <c r="H610" s="76"/>
      <c r="I610" s="61"/>
      <c r="J610" s="76"/>
      <c r="K610" s="146"/>
      <c r="L610" s="77"/>
      <c r="M610" s="78"/>
      <c r="N610" s="71"/>
      <c r="O610" s="432" t="str">
        <f t="shared" si="29"/>
        <v/>
      </c>
    </row>
    <row r="611" spans="2:15" x14ac:dyDescent="0.4">
      <c r="B611" s="74"/>
      <c r="C611" s="60"/>
      <c r="D611" s="426" t="str">
        <f>IF(C611="","",VLOOKUP(C611,団体基本情報!$B$13:$D$22,3,FALSE))</f>
        <v/>
      </c>
      <c r="E611" s="427" t="str">
        <f t="shared" si="27"/>
        <v/>
      </c>
      <c r="F611" s="428" t="str">
        <f t="shared" si="28"/>
        <v/>
      </c>
      <c r="G611" s="129" t="str">
        <f>IF(H611="","",VLOOKUP(H611,プルダウン用リスト!$K$1:$M$15,2,FALSE))</f>
        <v/>
      </c>
      <c r="H611" s="76"/>
      <c r="I611" s="61"/>
      <c r="J611" s="76"/>
      <c r="K611" s="146"/>
      <c r="L611" s="77"/>
      <c r="M611" s="78"/>
      <c r="N611" s="71"/>
      <c r="O611" s="432" t="str">
        <f t="shared" si="29"/>
        <v/>
      </c>
    </row>
    <row r="612" spans="2:15" x14ac:dyDescent="0.4">
      <c r="B612" s="74"/>
      <c r="C612" s="60"/>
      <c r="D612" s="426" t="str">
        <f>IF(C612="","",VLOOKUP(C612,団体基本情報!$B$13:$D$22,3,FALSE))</f>
        <v/>
      </c>
      <c r="E612" s="427" t="str">
        <f t="shared" si="27"/>
        <v/>
      </c>
      <c r="F612" s="428" t="str">
        <f t="shared" si="28"/>
        <v/>
      </c>
      <c r="G612" s="129" t="str">
        <f>IF(H612="","",VLOOKUP(H612,プルダウン用リスト!$K$1:$M$15,2,FALSE))</f>
        <v/>
      </c>
      <c r="H612" s="76"/>
      <c r="I612" s="76"/>
      <c r="J612" s="76"/>
      <c r="K612" s="146"/>
      <c r="L612" s="77"/>
      <c r="M612" s="78"/>
      <c r="N612" s="71"/>
      <c r="O612" s="432" t="str">
        <f t="shared" si="29"/>
        <v/>
      </c>
    </row>
    <row r="613" spans="2:15" x14ac:dyDescent="0.4">
      <c r="B613" s="74"/>
      <c r="C613" s="60"/>
      <c r="D613" s="426" t="str">
        <f>IF(C613="","",VLOOKUP(C613,団体基本情報!$B$13:$D$22,3,FALSE))</f>
        <v/>
      </c>
      <c r="E613" s="427" t="str">
        <f t="shared" si="27"/>
        <v/>
      </c>
      <c r="F613" s="428" t="str">
        <f t="shared" si="28"/>
        <v/>
      </c>
      <c r="G613" s="129" t="str">
        <f>IF(H613="","",VLOOKUP(H613,プルダウン用リスト!$K$1:$M$15,2,FALSE))</f>
        <v/>
      </c>
      <c r="H613" s="76"/>
      <c r="I613" s="61"/>
      <c r="J613" s="76"/>
      <c r="K613" s="146"/>
      <c r="L613" s="77"/>
      <c r="M613" s="78"/>
      <c r="N613" s="71"/>
      <c r="O613" s="432" t="str">
        <f t="shared" si="29"/>
        <v/>
      </c>
    </row>
    <row r="614" spans="2:15" x14ac:dyDescent="0.4">
      <c r="B614" s="74"/>
      <c r="C614" s="60"/>
      <c r="D614" s="426" t="str">
        <f>IF(C614="","",VLOOKUP(C614,団体基本情報!$B$13:$D$22,3,FALSE))</f>
        <v/>
      </c>
      <c r="E614" s="427" t="str">
        <f t="shared" si="27"/>
        <v/>
      </c>
      <c r="F614" s="428" t="str">
        <f t="shared" si="28"/>
        <v/>
      </c>
      <c r="G614" s="129" t="str">
        <f>IF(H614="","",VLOOKUP(H614,プルダウン用リスト!$K$1:$M$15,2,FALSE))</f>
        <v/>
      </c>
      <c r="H614" s="76"/>
      <c r="I614" s="61"/>
      <c r="J614" s="76"/>
      <c r="K614" s="146"/>
      <c r="L614" s="77"/>
      <c r="M614" s="78"/>
      <c r="N614" s="71"/>
      <c r="O614" s="432" t="str">
        <f t="shared" si="29"/>
        <v/>
      </c>
    </row>
    <row r="615" spans="2:15" x14ac:dyDescent="0.4">
      <c r="B615" s="74"/>
      <c r="C615" s="60"/>
      <c r="D615" s="426" t="str">
        <f>IF(C615="","",VLOOKUP(C615,団体基本情報!$B$13:$D$22,3,FALSE))</f>
        <v/>
      </c>
      <c r="E615" s="427" t="str">
        <f t="shared" si="27"/>
        <v/>
      </c>
      <c r="F615" s="428" t="str">
        <f t="shared" si="28"/>
        <v/>
      </c>
      <c r="G615" s="129" t="str">
        <f>IF(H615="","",VLOOKUP(H615,プルダウン用リスト!$K$1:$M$15,2,FALSE))</f>
        <v/>
      </c>
      <c r="H615" s="76"/>
      <c r="I615" s="76"/>
      <c r="J615" s="76"/>
      <c r="K615" s="146"/>
      <c r="L615" s="77"/>
      <c r="M615" s="78"/>
      <c r="N615" s="71"/>
      <c r="O615" s="432" t="str">
        <f t="shared" si="29"/>
        <v/>
      </c>
    </row>
    <row r="616" spans="2:15" x14ac:dyDescent="0.4">
      <c r="B616" s="74"/>
      <c r="C616" s="60"/>
      <c r="D616" s="426" t="str">
        <f>IF(C616="","",VLOOKUP(C616,団体基本情報!$B$13:$D$22,3,FALSE))</f>
        <v/>
      </c>
      <c r="E616" s="427" t="str">
        <f t="shared" si="27"/>
        <v/>
      </c>
      <c r="F616" s="428" t="str">
        <f t="shared" si="28"/>
        <v/>
      </c>
      <c r="G616" s="129" t="str">
        <f>IF(H616="","",VLOOKUP(H616,プルダウン用リスト!$K$1:$M$15,2,FALSE))</f>
        <v/>
      </c>
      <c r="H616" s="76"/>
      <c r="I616" s="61"/>
      <c r="J616" s="76"/>
      <c r="K616" s="146"/>
      <c r="L616" s="77"/>
      <c r="M616" s="78"/>
      <c r="N616" s="71"/>
      <c r="O616" s="432" t="str">
        <f t="shared" si="29"/>
        <v/>
      </c>
    </row>
    <row r="617" spans="2:15" x14ac:dyDescent="0.4">
      <c r="B617" s="74"/>
      <c r="C617" s="60"/>
      <c r="D617" s="426" t="str">
        <f>IF(C617="","",VLOOKUP(C617,団体基本情報!$B$13:$D$22,3,FALSE))</f>
        <v/>
      </c>
      <c r="E617" s="427" t="str">
        <f t="shared" si="27"/>
        <v/>
      </c>
      <c r="F617" s="428" t="str">
        <f t="shared" si="28"/>
        <v/>
      </c>
      <c r="G617" s="129" t="str">
        <f>IF(H617="","",VLOOKUP(H617,プルダウン用リスト!$K$1:$M$15,2,FALSE))</f>
        <v/>
      </c>
      <c r="H617" s="76"/>
      <c r="I617" s="61"/>
      <c r="J617" s="76"/>
      <c r="K617" s="146"/>
      <c r="L617" s="77"/>
      <c r="M617" s="78"/>
      <c r="N617" s="71"/>
      <c r="O617" s="432" t="str">
        <f t="shared" si="29"/>
        <v/>
      </c>
    </row>
    <row r="618" spans="2:15" x14ac:dyDescent="0.4">
      <c r="B618" s="74"/>
      <c r="C618" s="75"/>
      <c r="D618" s="426" t="str">
        <f>IF(C618="","",VLOOKUP(C618,団体基本情報!$B$13:$D$22,3,FALSE))</f>
        <v/>
      </c>
      <c r="E618" s="427" t="str">
        <f t="shared" si="27"/>
        <v/>
      </c>
      <c r="F618" s="428" t="str">
        <f t="shared" si="28"/>
        <v/>
      </c>
      <c r="G618" s="129" t="str">
        <f>IF(H618="","",VLOOKUP(H618,プルダウン用リスト!$K$1:$M$15,2,FALSE))</f>
        <v/>
      </c>
      <c r="H618" s="76"/>
      <c r="I618" s="76"/>
      <c r="J618" s="76"/>
      <c r="K618" s="146"/>
      <c r="L618" s="77"/>
      <c r="M618" s="78"/>
      <c r="N618" s="71"/>
      <c r="O618" s="432" t="str">
        <f t="shared" si="29"/>
        <v/>
      </c>
    </row>
    <row r="619" spans="2:15" x14ac:dyDescent="0.4">
      <c r="B619" s="74"/>
      <c r="C619" s="60"/>
      <c r="D619" s="426" t="str">
        <f>IF(C619="","",VLOOKUP(C619,団体基本情報!$B$13:$D$22,3,FALSE))</f>
        <v/>
      </c>
      <c r="E619" s="427" t="str">
        <f t="shared" si="27"/>
        <v/>
      </c>
      <c r="F619" s="428" t="str">
        <f t="shared" si="28"/>
        <v/>
      </c>
      <c r="G619" s="129" t="str">
        <f>IF(H619="","",VLOOKUP(H619,プルダウン用リスト!$K$1:$M$15,2,FALSE))</f>
        <v/>
      </c>
      <c r="H619" s="76"/>
      <c r="I619" s="61"/>
      <c r="J619" s="76"/>
      <c r="K619" s="146"/>
      <c r="L619" s="77"/>
      <c r="M619" s="78"/>
      <c r="N619" s="71"/>
      <c r="O619" s="432" t="str">
        <f t="shared" si="29"/>
        <v/>
      </c>
    </row>
    <row r="620" spans="2:15" x14ac:dyDescent="0.4">
      <c r="B620" s="74"/>
      <c r="C620" s="60"/>
      <c r="D620" s="426" t="str">
        <f>IF(C620="","",VLOOKUP(C620,団体基本情報!$B$13:$D$22,3,FALSE))</f>
        <v/>
      </c>
      <c r="E620" s="427" t="str">
        <f t="shared" si="27"/>
        <v/>
      </c>
      <c r="F620" s="428" t="str">
        <f t="shared" si="28"/>
        <v/>
      </c>
      <c r="G620" s="129" t="str">
        <f>IF(H620="","",VLOOKUP(H620,プルダウン用リスト!$K$1:$M$15,2,FALSE))</f>
        <v/>
      </c>
      <c r="H620" s="76"/>
      <c r="I620" s="61"/>
      <c r="J620" s="76"/>
      <c r="K620" s="146"/>
      <c r="L620" s="77"/>
      <c r="M620" s="78"/>
      <c r="N620" s="71"/>
      <c r="O620" s="432" t="str">
        <f t="shared" si="29"/>
        <v/>
      </c>
    </row>
    <row r="621" spans="2:15" x14ac:dyDescent="0.4">
      <c r="B621" s="74"/>
      <c r="C621" s="60"/>
      <c r="D621" s="426" t="str">
        <f>IF(C621="","",VLOOKUP(C621,団体基本情報!$B$13:$D$22,3,FALSE))</f>
        <v/>
      </c>
      <c r="E621" s="427" t="str">
        <f t="shared" si="27"/>
        <v/>
      </c>
      <c r="F621" s="428" t="str">
        <f t="shared" si="28"/>
        <v/>
      </c>
      <c r="G621" s="129" t="str">
        <f>IF(H621="","",VLOOKUP(H621,プルダウン用リスト!$K$1:$M$15,2,FALSE))</f>
        <v/>
      </c>
      <c r="H621" s="76"/>
      <c r="I621" s="76"/>
      <c r="J621" s="76"/>
      <c r="K621" s="146"/>
      <c r="L621" s="77"/>
      <c r="M621" s="78"/>
      <c r="N621" s="71"/>
      <c r="O621" s="432" t="str">
        <f t="shared" si="29"/>
        <v/>
      </c>
    </row>
    <row r="622" spans="2:15" x14ac:dyDescent="0.4">
      <c r="B622" s="74"/>
      <c r="C622" s="60"/>
      <c r="D622" s="426" t="str">
        <f>IF(C622="","",VLOOKUP(C622,団体基本情報!$B$13:$D$22,3,FALSE))</f>
        <v/>
      </c>
      <c r="E622" s="427" t="str">
        <f t="shared" si="27"/>
        <v/>
      </c>
      <c r="F622" s="428" t="str">
        <f t="shared" si="28"/>
        <v/>
      </c>
      <c r="G622" s="129" t="str">
        <f>IF(H622="","",VLOOKUP(H622,プルダウン用リスト!$K$1:$M$15,2,FALSE))</f>
        <v/>
      </c>
      <c r="H622" s="76"/>
      <c r="I622" s="61"/>
      <c r="J622" s="76"/>
      <c r="K622" s="146"/>
      <c r="L622" s="77"/>
      <c r="M622" s="78"/>
      <c r="N622" s="71"/>
      <c r="O622" s="432" t="str">
        <f t="shared" si="29"/>
        <v/>
      </c>
    </row>
    <row r="623" spans="2:15" x14ac:dyDescent="0.4">
      <c r="B623" s="74"/>
      <c r="C623" s="60"/>
      <c r="D623" s="426" t="str">
        <f>IF(C623="","",VLOOKUP(C623,団体基本情報!$B$13:$D$22,3,FALSE))</f>
        <v/>
      </c>
      <c r="E623" s="427" t="str">
        <f t="shared" si="27"/>
        <v/>
      </c>
      <c r="F623" s="428" t="str">
        <f t="shared" si="28"/>
        <v/>
      </c>
      <c r="G623" s="129" t="str">
        <f>IF(H623="","",VLOOKUP(H623,プルダウン用リスト!$K$1:$M$15,2,FALSE))</f>
        <v/>
      </c>
      <c r="H623" s="76"/>
      <c r="I623" s="61"/>
      <c r="J623" s="76"/>
      <c r="K623" s="146"/>
      <c r="L623" s="77"/>
      <c r="M623" s="78"/>
      <c r="N623" s="71"/>
      <c r="O623" s="432" t="str">
        <f t="shared" si="29"/>
        <v/>
      </c>
    </row>
    <row r="624" spans="2:15" x14ac:dyDescent="0.4">
      <c r="B624" s="74"/>
      <c r="C624" s="60"/>
      <c r="D624" s="426" t="str">
        <f>IF(C624="","",VLOOKUP(C624,団体基本情報!$B$13:$D$22,3,FALSE))</f>
        <v/>
      </c>
      <c r="E624" s="427" t="str">
        <f t="shared" si="27"/>
        <v/>
      </c>
      <c r="F624" s="428" t="str">
        <f t="shared" si="28"/>
        <v/>
      </c>
      <c r="G624" s="129" t="str">
        <f>IF(H624="","",VLOOKUP(H624,プルダウン用リスト!$K$1:$M$15,2,FALSE))</f>
        <v/>
      </c>
      <c r="H624" s="76"/>
      <c r="I624" s="76"/>
      <c r="J624" s="76"/>
      <c r="K624" s="146"/>
      <c r="L624" s="77"/>
      <c r="M624" s="78"/>
      <c r="N624" s="71"/>
      <c r="O624" s="432" t="str">
        <f t="shared" si="29"/>
        <v/>
      </c>
    </row>
    <row r="625" spans="2:15" x14ac:dyDescent="0.4">
      <c r="B625" s="74"/>
      <c r="C625" s="60"/>
      <c r="D625" s="426" t="str">
        <f>IF(C625="","",VLOOKUP(C625,団体基本情報!$B$13:$D$22,3,FALSE))</f>
        <v/>
      </c>
      <c r="E625" s="427" t="str">
        <f t="shared" si="27"/>
        <v/>
      </c>
      <c r="F625" s="428" t="str">
        <f t="shared" si="28"/>
        <v/>
      </c>
      <c r="G625" s="129" t="str">
        <f>IF(H625="","",VLOOKUP(H625,プルダウン用リスト!$K$1:$M$15,2,FALSE))</f>
        <v/>
      </c>
      <c r="H625" s="76"/>
      <c r="I625" s="61"/>
      <c r="J625" s="76"/>
      <c r="K625" s="146"/>
      <c r="L625" s="77"/>
      <c r="M625" s="78"/>
      <c r="N625" s="71"/>
      <c r="O625" s="432" t="str">
        <f t="shared" si="29"/>
        <v/>
      </c>
    </row>
    <row r="626" spans="2:15" x14ac:dyDescent="0.4">
      <c r="B626" s="74"/>
      <c r="C626" s="60"/>
      <c r="D626" s="426" t="str">
        <f>IF(C626="","",VLOOKUP(C626,団体基本情報!$B$13:$D$22,3,FALSE))</f>
        <v/>
      </c>
      <c r="E626" s="427" t="str">
        <f t="shared" si="27"/>
        <v/>
      </c>
      <c r="F626" s="428" t="str">
        <f t="shared" si="28"/>
        <v/>
      </c>
      <c r="G626" s="129" t="str">
        <f>IF(H626="","",VLOOKUP(H626,プルダウン用リスト!$K$1:$M$15,2,FALSE))</f>
        <v/>
      </c>
      <c r="H626" s="76"/>
      <c r="I626" s="61"/>
      <c r="J626" s="76"/>
      <c r="K626" s="146"/>
      <c r="L626" s="77"/>
      <c r="M626" s="78"/>
      <c r="N626" s="71"/>
      <c r="O626" s="432" t="str">
        <f t="shared" si="29"/>
        <v/>
      </c>
    </row>
    <row r="627" spans="2:15" x14ac:dyDescent="0.4">
      <c r="B627" s="74"/>
      <c r="C627" s="60"/>
      <c r="D627" s="426" t="str">
        <f>IF(C627="","",VLOOKUP(C627,団体基本情報!$B$13:$D$22,3,FALSE))</f>
        <v/>
      </c>
      <c r="E627" s="427" t="str">
        <f t="shared" si="27"/>
        <v/>
      </c>
      <c r="F627" s="428" t="str">
        <f t="shared" si="28"/>
        <v/>
      </c>
      <c r="G627" s="129" t="str">
        <f>IF(H627="","",VLOOKUP(H627,プルダウン用リスト!$K$1:$M$15,2,FALSE))</f>
        <v/>
      </c>
      <c r="H627" s="76"/>
      <c r="I627" s="76"/>
      <c r="J627" s="76"/>
      <c r="K627" s="146"/>
      <c r="L627" s="77"/>
      <c r="M627" s="78"/>
      <c r="N627" s="71"/>
      <c r="O627" s="432" t="str">
        <f t="shared" si="29"/>
        <v/>
      </c>
    </row>
    <row r="628" spans="2:15" x14ac:dyDescent="0.4">
      <c r="B628" s="74"/>
      <c r="C628" s="60"/>
      <c r="D628" s="426" t="str">
        <f>IF(C628="","",VLOOKUP(C628,団体基本情報!$B$13:$D$22,3,FALSE))</f>
        <v/>
      </c>
      <c r="E628" s="427" t="str">
        <f t="shared" si="27"/>
        <v/>
      </c>
      <c r="F628" s="428" t="str">
        <f t="shared" si="28"/>
        <v/>
      </c>
      <c r="G628" s="129" t="str">
        <f>IF(H628="","",VLOOKUP(H628,プルダウン用リスト!$K$1:$M$15,2,FALSE))</f>
        <v/>
      </c>
      <c r="H628" s="76"/>
      <c r="I628" s="61"/>
      <c r="J628" s="76"/>
      <c r="K628" s="146"/>
      <c r="L628" s="77"/>
      <c r="M628" s="78"/>
      <c r="N628" s="71"/>
      <c r="O628" s="432" t="str">
        <f t="shared" si="29"/>
        <v/>
      </c>
    </row>
    <row r="629" spans="2:15" x14ac:dyDescent="0.4">
      <c r="B629" s="74"/>
      <c r="C629" s="60"/>
      <c r="D629" s="426" t="str">
        <f>IF(C629="","",VLOOKUP(C629,団体基本情報!$B$13:$D$22,3,FALSE))</f>
        <v/>
      </c>
      <c r="E629" s="427" t="str">
        <f t="shared" si="27"/>
        <v/>
      </c>
      <c r="F629" s="428" t="str">
        <f t="shared" si="28"/>
        <v/>
      </c>
      <c r="G629" s="129" t="str">
        <f>IF(H629="","",VLOOKUP(H629,プルダウン用リスト!$K$1:$M$15,2,FALSE))</f>
        <v/>
      </c>
      <c r="H629" s="76"/>
      <c r="I629" s="61"/>
      <c r="J629" s="76"/>
      <c r="K629" s="146"/>
      <c r="L629" s="77"/>
      <c r="M629" s="78"/>
      <c r="N629" s="71"/>
      <c r="O629" s="432" t="str">
        <f t="shared" si="29"/>
        <v/>
      </c>
    </row>
    <row r="630" spans="2:15" x14ac:dyDescent="0.4">
      <c r="B630" s="74"/>
      <c r="C630" s="75"/>
      <c r="D630" s="426" t="str">
        <f>IF(C630="","",VLOOKUP(C630,団体基本情報!$B$13:$D$22,3,FALSE))</f>
        <v/>
      </c>
      <c r="E630" s="427" t="str">
        <f t="shared" si="27"/>
        <v/>
      </c>
      <c r="F630" s="428" t="str">
        <f t="shared" si="28"/>
        <v/>
      </c>
      <c r="G630" s="129" t="str">
        <f>IF(H630="","",VLOOKUP(H630,プルダウン用リスト!$K$1:$M$15,2,FALSE))</f>
        <v/>
      </c>
      <c r="H630" s="76"/>
      <c r="I630" s="76"/>
      <c r="J630" s="76"/>
      <c r="K630" s="146"/>
      <c r="L630" s="77"/>
      <c r="M630" s="78"/>
      <c r="N630" s="71"/>
      <c r="O630" s="432" t="str">
        <f t="shared" si="29"/>
        <v/>
      </c>
    </row>
    <row r="631" spans="2:15" x14ac:dyDescent="0.4">
      <c r="B631" s="74"/>
      <c r="C631" s="60"/>
      <c r="D631" s="426" t="str">
        <f>IF(C631="","",VLOOKUP(C631,団体基本情報!$B$13:$D$22,3,FALSE))</f>
        <v/>
      </c>
      <c r="E631" s="427" t="str">
        <f t="shared" si="27"/>
        <v/>
      </c>
      <c r="F631" s="428" t="str">
        <f t="shared" si="28"/>
        <v/>
      </c>
      <c r="G631" s="129" t="str">
        <f>IF(H631="","",VLOOKUP(H631,プルダウン用リスト!$K$1:$M$15,2,FALSE))</f>
        <v/>
      </c>
      <c r="H631" s="76"/>
      <c r="I631" s="61"/>
      <c r="J631" s="76"/>
      <c r="K631" s="146"/>
      <c r="L631" s="77"/>
      <c r="M631" s="78"/>
      <c r="N631" s="71"/>
      <c r="O631" s="432" t="str">
        <f t="shared" si="29"/>
        <v/>
      </c>
    </row>
    <row r="632" spans="2:15" x14ac:dyDescent="0.4">
      <c r="B632" s="74"/>
      <c r="C632" s="60"/>
      <c r="D632" s="426" t="str">
        <f>IF(C632="","",VLOOKUP(C632,団体基本情報!$B$13:$D$22,3,FALSE))</f>
        <v/>
      </c>
      <c r="E632" s="427" t="str">
        <f t="shared" si="27"/>
        <v/>
      </c>
      <c r="F632" s="428" t="str">
        <f t="shared" si="28"/>
        <v/>
      </c>
      <c r="G632" s="129" t="str">
        <f>IF(H632="","",VLOOKUP(H632,プルダウン用リスト!$K$1:$M$15,2,FALSE))</f>
        <v/>
      </c>
      <c r="H632" s="76"/>
      <c r="I632" s="61"/>
      <c r="J632" s="76"/>
      <c r="K632" s="146"/>
      <c r="L632" s="77"/>
      <c r="M632" s="78"/>
      <c r="N632" s="71"/>
      <c r="O632" s="432" t="str">
        <f t="shared" si="29"/>
        <v/>
      </c>
    </row>
    <row r="633" spans="2:15" x14ac:dyDescent="0.4">
      <c r="B633" s="74"/>
      <c r="C633" s="60"/>
      <c r="D633" s="426" t="str">
        <f>IF(C633="","",VLOOKUP(C633,団体基本情報!$B$13:$D$22,3,FALSE))</f>
        <v/>
      </c>
      <c r="E633" s="427" t="str">
        <f t="shared" si="27"/>
        <v/>
      </c>
      <c r="F633" s="428" t="str">
        <f t="shared" si="28"/>
        <v/>
      </c>
      <c r="G633" s="129" t="str">
        <f>IF(H633="","",VLOOKUP(H633,プルダウン用リスト!$K$1:$M$15,2,FALSE))</f>
        <v/>
      </c>
      <c r="H633" s="76"/>
      <c r="I633" s="76"/>
      <c r="J633" s="76"/>
      <c r="K633" s="146"/>
      <c r="L633" s="77"/>
      <c r="M633" s="78"/>
      <c r="N633" s="71"/>
      <c r="O633" s="432" t="str">
        <f t="shared" si="29"/>
        <v/>
      </c>
    </row>
    <row r="634" spans="2:15" x14ac:dyDescent="0.4">
      <c r="B634" s="74"/>
      <c r="C634" s="60"/>
      <c r="D634" s="426" t="str">
        <f>IF(C634="","",VLOOKUP(C634,団体基本情報!$B$13:$D$22,3,FALSE))</f>
        <v/>
      </c>
      <c r="E634" s="427" t="str">
        <f t="shared" si="27"/>
        <v/>
      </c>
      <c r="F634" s="428" t="str">
        <f t="shared" si="28"/>
        <v/>
      </c>
      <c r="G634" s="129" t="str">
        <f>IF(H634="","",VLOOKUP(H634,プルダウン用リスト!$K$1:$M$15,2,FALSE))</f>
        <v/>
      </c>
      <c r="H634" s="76"/>
      <c r="I634" s="61"/>
      <c r="J634" s="76"/>
      <c r="K634" s="146"/>
      <c r="L634" s="77"/>
      <c r="M634" s="78"/>
      <c r="N634" s="71"/>
      <c r="O634" s="432" t="str">
        <f t="shared" si="29"/>
        <v/>
      </c>
    </row>
    <row r="635" spans="2:15" x14ac:dyDescent="0.4">
      <c r="B635" s="74"/>
      <c r="C635" s="60"/>
      <c r="D635" s="426" t="str">
        <f>IF(C635="","",VLOOKUP(C635,団体基本情報!$B$13:$D$22,3,FALSE))</f>
        <v/>
      </c>
      <c r="E635" s="427" t="str">
        <f t="shared" si="27"/>
        <v/>
      </c>
      <c r="F635" s="428" t="str">
        <f t="shared" si="28"/>
        <v/>
      </c>
      <c r="G635" s="129" t="str">
        <f>IF(H635="","",VLOOKUP(H635,プルダウン用リスト!$K$1:$M$15,2,FALSE))</f>
        <v/>
      </c>
      <c r="H635" s="76"/>
      <c r="I635" s="61"/>
      <c r="J635" s="76"/>
      <c r="K635" s="146"/>
      <c r="L635" s="77"/>
      <c r="M635" s="78"/>
      <c r="N635" s="71"/>
      <c r="O635" s="432" t="str">
        <f t="shared" si="29"/>
        <v/>
      </c>
    </row>
    <row r="636" spans="2:15" x14ac:dyDescent="0.4">
      <c r="B636" s="74"/>
      <c r="C636" s="60"/>
      <c r="D636" s="426" t="str">
        <f>IF(C636="","",VLOOKUP(C636,団体基本情報!$B$13:$D$22,3,FALSE))</f>
        <v/>
      </c>
      <c r="E636" s="427" t="str">
        <f t="shared" si="27"/>
        <v/>
      </c>
      <c r="F636" s="428" t="str">
        <f t="shared" si="28"/>
        <v/>
      </c>
      <c r="G636" s="129" t="str">
        <f>IF(H636="","",VLOOKUP(H636,プルダウン用リスト!$K$1:$M$15,2,FALSE))</f>
        <v/>
      </c>
      <c r="H636" s="76"/>
      <c r="I636" s="76"/>
      <c r="J636" s="76"/>
      <c r="K636" s="146"/>
      <c r="L636" s="77"/>
      <c r="M636" s="78"/>
      <c r="N636" s="71"/>
      <c r="O636" s="432" t="str">
        <f t="shared" si="29"/>
        <v/>
      </c>
    </row>
    <row r="637" spans="2:15" x14ac:dyDescent="0.4">
      <c r="B637" s="74"/>
      <c r="C637" s="60"/>
      <c r="D637" s="426" t="str">
        <f>IF(C637="","",VLOOKUP(C637,団体基本情報!$B$13:$D$22,3,FALSE))</f>
        <v/>
      </c>
      <c r="E637" s="427" t="str">
        <f t="shared" si="27"/>
        <v/>
      </c>
      <c r="F637" s="428" t="str">
        <f t="shared" si="28"/>
        <v/>
      </c>
      <c r="G637" s="129" t="str">
        <f>IF(H637="","",VLOOKUP(H637,プルダウン用リスト!$K$1:$M$15,2,FALSE))</f>
        <v/>
      </c>
      <c r="H637" s="76"/>
      <c r="I637" s="61"/>
      <c r="J637" s="76"/>
      <c r="K637" s="146"/>
      <c r="L637" s="77"/>
      <c r="M637" s="78"/>
      <c r="N637" s="71"/>
      <c r="O637" s="432" t="str">
        <f t="shared" si="29"/>
        <v/>
      </c>
    </row>
    <row r="638" spans="2:15" x14ac:dyDescent="0.4">
      <c r="B638" s="74"/>
      <c r="C638" s="60"/>
      <c r="D638" s="426" t="str">
        <f>IF(C638="","",VLOOKUP(C638,団体基本情報!$B$13:$D$22,3,FALSE))</f>
        <v/>
      </c>
      <c r="E638" s="427" t="str">
        <f t="shared" si="27"/>
        <v/>
      </c>
      <c r="F638" s="428" t="str">
        <f t="shared" si="28"/>
        <v/>
      </c>
      <c r="G638" s="129" t="str">
        <f>IF(H638="","",VLOOKUP(H638,プルダウン用リスト!$K$1:$M$15,2,FALSE))</f>
        <v/>
      </c>
      <c r="H638" s="76"/>
      <c r="I638" s="61"/>
      <c r="J638" s="76"/>
      <c r="K638" s="146"/>
      <c r="L638" s="77"/>
      <c r="M638" s="78"/>
      <c r="N638" s="71"/>
      <c r="O638" s="432" t="str">
        <f t="shared" si="29"/>
        <v/>
      </c>
    </row>
    <row r="639" spans="2:15" x14ac:dyDescent="0.4">
      <c r="B639" s="74"/>
      <c r="C639" s="60"/>
      <c r="D639" s="426" t="str">
        <f>IF(C639="","",VLOOKUP(C639,団体基本情報!$B$13:$D$22,3,FALSE))</f>
        <v/>
      </c>
      <c r="E639" s="427" t="str">
        <f t="shared" si="27"/>
        <v/>
      </c>
      <c r="F639" s="428" t="str">
        <f t="shared" si="28"/>
        <v/>
      </c>
      <c r="G639" s="129" t="str">
        <f>IF(H639="","",VLOOKUP(H639,プルダウン用リスト!$K$1:$M$15,2,FALSE))</f>
        <v/>
      </c>
      <c r="H639" s="76"/>
      <c r="I639" s="76"/>
      <c r="J639" s="76"/>
      <c r="K639" s="146"/>
      <c r="L639" s="77"/>
      <c r="M639" s="78"/>
      <c r="N639" s="71"/>
      <c r="O639" s="432" t="str">
        <f t="shared" si="29"/>
        <v/>
      </c>
    </row>
    <row r="640" spans="2:15" x14ac:dyDescent="0.4">
      <c r="B640" s="74"/>
      <c r="C640" s="60"/>
      <c r="D640" s="426" t="str">
        <f>IF(C640="","",VLOOKUP(C640,団体基本情報!$B$13:$D$22,3,FALSE))</f>
        <v/>
      </c>
      <c r="E640" s="427" t="str">
        <f t="shared" si="27"/>
        <v/>
      </c>
      <c r="F640" s="428" t="str">
        <f t="shared" si="28"/>
        <v/>
      </c>
      <c r="G640" s="129" t="str">
        <f>IF(H640="","",VLOOKUP(H640,プルダウン用リスト!$K$1:$M$15,2,FALSE))</f>
        <v/>
      </c>
      <c r="H640" s="76"/>
      <c r="I640" s="61"/>
      <c r="J640" s="76"/>
      <c r="K640" s="146"/>
      <c r="L640" s="77"/>
      <c r="M640" s="78"/>
      <c r="N640" s="71"/>
      <c r="O640" s="432" t="str">
        <f t="shared" si="29"/>
        <v/>
      </c>
    </row>
    <row r="641" spans="2:15" x14ac:dyDescent="0.4">
      <c r="B641" s="74"/>
      <c r="C641" s="60"/>
      <c r="D641" s="426" t="str">
        <f>IF(C641="","",VLOOKUP(C641,団体基本情報!$B$13:$D$22,3,FALSE))</f>
        <v/>
      </c>
      <c r="E641" s="427" t="str">
        <f t="shared" si="27"/>
        <v/>
      </c>
      <c r="F641" s="428" t="str">
        <f t="shared" si="28"/>
        <v/>
      </c>
      <c r="G641" s="129" t="str">
        <f>IF(H641="","",VLOOKUP(H641,プルダウン用リスト!$K$1:$M$15,2,FALSE))</f>
        <v/>
      </c>
      <c r="H641" s="76"/>
      <c r="I641" s="61"/>
      <c r="J641" s="76"/>
      <c r="K641" s="146"/>
      <c r="L641" s="77"/>
      <c r="M641" s="78"/>
      <c r="N641" s="71"/>
      <c r="O641" s="432" t="str">
        <f t="shared" si="29"/>
        <v/>
      </c>
    </row>
    <row r="642" spans="2:15" x14ac:dyDescent="0.4">
      <c r="B642" s="74"/>
      <c r="C642" s="75"/>
      <c r="D642" s="426" t="str">
        <f>IF(C642="","",VLOOKUP(C642,団体基本情報!$B$13:$D$22,3,FALSE))</f>
        <v/>
      </c>
      <c r="E642" s="427" t="str">
        <f t="shared" si="27"/>
        <v/>
      </c>
      <c r="F642" s="428" t="str">
        <f t="shared" si="28"/>
        <v/>
      </c>
      <c r="G642" s="129" t="str">
        <f>IF(H642="","",VLOOKUP(H642,プルダウン用リスト!$K$1:$M$15,2,FALSE))</f>
        <v/>
      </c>
      <c r="H642" s="76"/>
      <c r="I642" s="76"/>
      <c r="J642" s="76"/>
      <c r="K642" s="146"/>
      <c r="L642" s="77"/>
      <c r="M642" s="78"/>
      <c r="N642" s="71"/>
      <c r="O642" s="432" t="str">
        <f t="shared" si="29"/>
        <v/>
      </c>
    </row>
    <row r="643" spans="2:15" x14ac:dyDescent="0.4">
      <c r="B643" s="74"/>
      <c r="C643" s="60"/>
      <c r="D643" s="426" t="str">
        <f>IF(C643="","",VLOOKUP(C643,団体基本情報!$B$13:$D$22,3,FALSE))</f>
        <v/>
      </c>
      <c r="E643" s="427" t="str">
        <f t="shared" si="27"/>
        <v/>
      </c>
      <c r="F643" s="428" t="str">
        <f t="shared" si="28"/>
        <v/>
      </c>
      <c r="G643" s="129" t="str">
        <f>IF(H643="","",VLOOKUP(H643,プルダウン用リスト!$K$1:$M$15,2,FALSE))</f>
        <v/>
      </c>
      <c r="H643" s="76"/>
      <c r="I643" s="61"/>
      <c r="J643" s="76"/>
      <c r="K643" s="146"/>
      <c r="L643" s="77"/>
      <c r="M643" s="78"/>
      <c r="N643" s="71"/>
      <c r="O643" s="432" t="str">
        <f t="shared" si="29"/>
        <v/>
      </c>
    </row>
    <row r="644" spans="2:15" x14ac:dyDescent="0.4">
      <c r="B644" s="74"/>
      <c r="C644" s="60"/>
      <c r="D644" s="426" t="str">
        <f>IF(C644="","",VLOOKUP(C644,団体基本情報!$B$13:$D$22,3,FALSE))</f>
        <v/>
      </c>
      <c r="E644" s="427" t="str">
        <f t="shared" si="27"/>
        <v/>
      </c>
      <c r="F644" s="428" t="str">
        <f t="shared" si="28"/>
        <v/>
      </c>
      <c r="G644" s="129" t="str">
        <f>IF(H644="","",VLOOKUP(H644,プルダウン用リスト!$K$1:$M$15,2,FALSE))</f>
        <v/>
      </c>
      <c r="H644" s="76"/>
      <c r="I644" s="61"/>
      <c r="J644" s="76"/>
      <c r="K644" s="146"/>
      <c r="L644" s="77"/>
      <c r="M644" s="78"/>
      <c r="N644" s="71"/>
      <c r="O644" s="432" t="str">
        <f t="shared" si="29"/>
        <v/>
      </c>
    </row>
    <row r="645" spans="2:15" x14ac:dyDescent="0.4">
      <c r="B645" s="74"/>
      <c r="C645" s="60"/>
      <c r="D645" s="426" t="str">
        <f>IF(C645="","",VLOOKUP(C645,団体基本情報!$B$13:$D$22,3,FALSE))</f>
        <v/>
      </c>
      <c r="E645" s="427" t="str">
        <f t="shared" si="27"/>
        <v/>
      </c>
      <c r="F645" s="428" t="str">
        <f t="shared" si="28"/>
        <v/>
      </c>
      <c r="G645" s="129" t="str">
        <f>IF(H645="","",VLOOKUP(H645,プルダウン用リスト!$K$1:$M$15,2,FALSE))</f>
        <v/>
      </c>
      <c r="H645" s="76"/>
      <c r="I645" s="76"/>
      <c r="J645" s="76"/>
      <c r="K645" s="146"/>
      <c r="L645" s="77"/>
      <c r="M645" s="78"/>
      <c r="N645" s="71"/>
      <c r="O645" s="432" t="str">
        <f t="shared" si="29"/>
        <v/>
      </c>
    </row>
    <row r="646" spans="2:15" x14ac:dyDescent="0.4">
      <c r="B646" s="74"/>
      <c r="C646" s="60"/>
      <c r="D646" s="426" t="str">
        <f>IF(C646="","",VLOOKUP(C646,団体基本情報!$B$13:$D$22,3,FALSE))</f>
        <v/>
      </c>
      <c r="E646" s="427" t="str">
        <f t="shared" si="27"/>
        <v/>
      </c>
      <c r="F646" s="428" t="str">
        <f t="shared" si="28"/>
        <v/>
      </c>
      <c r="G646" s="129" t="str">
        <f>IF(H646="","",VLOOKUP(H646,プルダウン用リスト!$K$1:$M$15,2,FALSE))</f>
        <v/>
      </c>
      <c r="H646" s="76"/>
      <c r="I646" s="61"/>
      <c r="J646" s="76"/>
      <c r="K646" s="146"/>
      <c r="L646" s="77"/>
      <c r="M646" s="78"/>
      <c r="N646" s="71"/>
      <c r="O646" s="432" t="str">
        <f t="shared" si="29"/>
        <v/>
      </c>
    </row>
    <row r="647" spans="2:15" x14ac:dyDescent="0.4">
      <c r="B647" s="74"/>
      <c r="C647" s="60"/>
      <c r="D647" s="426" t="str">
        <f>IF(C647="","",VLOOKUP(C647,団体基本情報!$B$13:$D$22,3,FALSE))</f>
        <v/>
      </c>
      <c r="E647" s="427" t="str">
        <f t="shared" ref="E647:E710" si="30">IF(F647="","",IF(F647="謝金","01.",IF(F647="旅費","02.",IF(F647="その他","04.","03."))))</f>
        <v/>
      </c>
      <c r="F647" s="428" t="str">
        <f t="shared" ref="F647:F710" si="31">IF(H647="","",IF(H647="謝金","謝金",IF(H647="旅費","旅費",IF(H647="対象外経費","その他","所費"))))</f>
        <v/>
      </c>
      <c r="G647" s="129" t="str">
        <f>IF(H647="","",VLOOKUP(H647,プルダウン用リスト!$K$1:$M$15,2,FALSE))</f>
        <v/>
      </c>
      <c r="H647" s="76"/>
      <c r="I647" s="61"/>
      <c r="J647" s="76"/>
      <c r="K647" s="146"/>
      <c r="L647" s="77"/>
      <c r="M647" s="78"/>
      <c r="N647" s="71"/>
      <c r="O647" s="432" t="str">
        <f t="shared" ref="O647:O710" si="32">IF(H647="対象外経費",M647,IF(N647="","",M647-N647))</f>
        <v/>
      </c>
    </row>
    <row r="648" spans="2:15" x14ac:dyDescent="0.4">
      <c r="B648" s="74"/>
      <c r="C648" s="60"/>
      <c r="D648" s="426" t="str">
        <f>IF(C648="","",VLOOKUP(C648,団体基本情報!$B$13:$D$22,3,FALSE))</f>
        <v/>
      </c>
      <c r="E648" s="427" t="str">
        <f t="shared" si="30"/>
        <v/>
      </c>
      <c r="F648" s="428" t="str">
        <f t="shared" si="31"/>
        <v/>
      </c>
      <c r="G648" s="129" t="str">
        <f>IF(H648="","",VLOOKUP(H648,プルダウン用リスト!$K$1:$M$15,2,FALSE))</f>
        <v/>
      </c>
      <c r="H648" s="76"/>
      <c r="I648" s="76"/>
      <c r="J648" s="76"/>
      <c r="K648" s="146"/>
      <c r="L648" s="77"/>
      <c r="M648" s="78"/>
      <c r="N648" s="71"/>
      <c r="O648" s="432" t="str">
        <f t="shared" si="32"/>
        <v/>
      </c>
    </row>
    <row r="649" spans="2:15" x14ac:dyDescent="0.4">
      <c r="B649" s="74"/>
      <c r="C649" s="60"/>
      <c r="D649" s="426" t="str">
        <f>IF(C649="","",VLOOKUP(C649,団体基本情報!$B$13:$D$22,3,FALSE))</f>
        <v/>
      </c>
      <c r="E649" s="427" t="str">
        <f t="shared" si="30"/>
        <v/>
      </c>
      <c r="F649" s="428" t="str">
        <f t="shared" si="31"/>
        <v/>
      </c>
      <c r="G649" s="129" t="str">
        <f>IF(H649="","",VLOOKUP(H649,プルダウン用リスト!$K$1:$M$15,2,FALSE))</f>
        <v/>
      </c>
      <c r="H649" s="76"/>
      <c r="I649" s="61"/>
      <c r="J649" s="76"/>
      <c r="K649" s="146"/>
      <c r="L649" s="77"/>
      <c r="M649" s="78"/>
      <c r="N649" s="71"/>
      <c r="O649" s="432" t="str">
        <f t="shared" si="32"/>
        <v/>
      </c>
    </row>
    <row r="650" spans="2:15" x14ac:dyDescent="0.4">
      <c r="B650" s="74"/>
      <c r="C650" s="60"/>
      <c r="D650" s="426" t="str">
        <f>IF(C650="","",VLOOKUP(C650,団体基本情報!$B$13:$D$22,3,FALSE))</f>
        <v/>
      </c>
      <c r="E650" s="427" t="str">
        <f t="shared" si="30"/>
        <v/>
      </c>
      <c r="F650" s="428" t="str">
        <f t="shared" si="31"/>
        <v/>
      </c>
      <c r="G650" s="129" t="str">
        <f>IF(H650="","",VLOOKUP(H650,プルダウン用リスト!$K$1:$M$15,2,FALSE))</f>
        <v/>
      </c>
      <c r="H650" s="76"/>
      <c r="I650" s="61"/>
      <c r="J650" s="76"/>
      <c r="K650" s="146"/>
      <c r="L650" s="77"/>
      <c r="M650" s="78"/>
      <c r="N650" s="71"/>
      <c r="O650" s="432" t="str">
        <f t="shared" si="32"/>
        <v/>
      </c>
    </row>
    <row r="651" spans="2:15" x14ac:dyDescent="0.4">
      <c r="B651" s="74"/>
      <c r="C651" s="60"/>
      <c r="D651" s="426" t="str">
        <f>IF(C651="","",VLOOKUP(C651,団体基本情報!$B$13:$D$22,3,FALSE))</f>
        <v/>
      </c>
      <c r="E651" s="427" t="str">
        <f t="shared" si="30"/>
        <v/>
      </c>
      <c r="F651" s="428" t="str">
        <f t="shared" si="31"/>
        <v/>
      </c>
      <c r="G651" s="129" t="str">
        <f>IF(H651="","",VLOOKUP(H651,プルダウン用リスト!$K$1:$M$15,2,FALSE))</f>
        <v/>
      </c>
      <c r="H651" s="76"/>
      <c r="I651" s="76"/>
      <c r="J651" s="76"/>
      <c r="K651" s="146"/>
      <c r="L651" s="77"/>
      <c r="M651" s="78"/>
      <c r="N651" s="71"/>
      <c r="O651" s="432" t="str">
        <f t="shared" si="32"/>
        <v/>
      </c>
    </row>
    <row r="652" spans="2:15" x14ac:dyDescent="0.4">
      <c r="B652" s="74"/>
      <c r="C652" s="60"/>
      <c r="D652" s="426" t="str">
        <f>IF(C652="","",VLOOKUP(C652,団体基本情報!$B$13:$D$22,3,FALSE))</f>
        <v/>
      </c>
      <c r="E652" s="427" t="str">
        <f t="shared" si="30"/>
        <v/>
      </c>
      <c r="F652" s="428" t="str">
        <f t="shared" si="31"/>
        <v/>
      </c>
      <c r="G652" s="129" t="str">
        <f>IF(H652="","",VLOOKUP(H652,プルダウン用リスト!$K$1:$M$15,2,FALSE))</f>
        <v/>
      </c>
      <c r="H652" s="76"/>
      <c r="I652" s="61"/>
      <c r="J652" s="76"/>
      <c r="K652" s="146"/>
      <c r="L652" s="77"/>
      <c r="M652" s="78"/>
      <c r="N652" s="71"/>
      <c r="O652" s="432" t="str">
        <f t="shared" si="32"/>
        <v/>
      </c>
    </row>
    <row r="653" spans="2:15" x14ac:dyDescent="0.4">
      <c r="B653" s="74"/>
      <c r="C653" s="60"/>
      <c r="D653" s="426" t="str">
        <f>IF(C653="","",VLOOKUP(C653,団体基本情報!$B$13:$D$22,3,FALSE))</f>
        <v/>
      </c>
      <c r="E653" s="427" t="str">
        <f t="shared" si="30"/>
        <v/>
      </c>
      <c r="F653" s="428" t="str">
        <f t="shared" si="31"/>
        <v/>
      </c>
      <c r="G653" s="129" t="str">
        <f>IF(H653="","",VLOOKUP(H653,プルダウン用リスト!$K$1:$M$15,2,FALSE))</f>
        <v/>
      </c>
      <c r="H653" s="76"/>
      <c r="I653" s="61"/>
      <c r="J653" s="76"/>
      <c r="K653" s="146"/>
      <c r="L653" s="77"/>
      <c r="M653" s="78"/>
      <c r="N653" s="71"/>
      <c r="O653" s="432" t="str">
        <f t="shared" si="32"/>
        <v/>
      </c>
    </row>
    <row r="654" spans="2:15" x14ac:dyDescent="0.4">
      <c r="B654" s="74"/>
      <c r="C654" s="75"/>
      <c r="D654" s="426" t="str">
        <f>IF(C654="","",VLOOKUP(C654,団体基本情報!$B$13:$D$22,3,FALSE))</f>
        <v/>
      </c>
      <c r="E654" s="427" t="str">
        <f t="shared" si="30"/>
        <v/>
      </c>
      <c r="F654" s="428" t="str">
        <f t="shared" si="31"/>
        <v/>
      </c>
      <c r="G654" s="129" t="str">
        <f>IF(H654="","",VLOOKUP(H654,プルダウン用リスト!$K$1:$M$15,2,FALSE))</f>
        <v/>
      </c>
      <c r="H654" s="76"/>
      <c r="I654" s="76"/>
      <c r="J654" s="76"/>
      <c r="K654" s="146"/>
      <c r="L654" s="77"/>
      <c r="M654" s="78"/>
      <c r="N654" s="71"/>
      <c r="O654" s="432" t="str">
        <f t="shared" si="32"/>
        <v/>
      </c>
    </row>
    <row r="655" spans="2:15" x14ac:dyDescent="0.4">
      <c r="B655" s="74"/>
      <c r="C655" s="60"/>
      <c r="D655" s="426" t="str">
        <f>IF(C655="","",VLOOKUP(C655,団体基本情報!$B$13:$D$22,3,FALSE))</f>
        <v/>
      </c>
      <c r="E655" s="427" t="str">
        <f t="shared" si="30"/>
        <v/>
      </c>
      <c r="F655" s="428" t="str">
        <f t="shared" si="31"/>
        <v/>
      </c>
      <c r="G655" s="129" t="str">
        <f>IF(H655="","",VLOOKUP(H655,プルダウン用リスト!$K$1:$M$15,2,FALSE))</f>
        <v/>
      </c>
      <c r="H655" s="76"/>
      <c r="I655" s="61"/>
      <c r="J655" s="76"/>
      <c r="K655" s="146"/>
      <c r="L655" s="77"/>
      <c r="M655" s="78"/>
      <c r="N655" s="71"/>
      <c r="O655" s="432" t="str">
        <f t="shared" si="32"/>
        <v/>
      </c>
    </row>
    <row r="656" spans="2:15" x14ac:dyDescent="0.4">
      <c r="B656" s="74"/>
      <c r="C656" s="60"/>
      <c r="D656" s="426" t="str">
        <f>IF(C656="","",VLOOKUP(C656,団体基本情報!$B$13:$D$22,3,FALSE))</f>
        <v/>
      </c>
      <c r="E656" s="427" t="str">
        <f t="shared" si="30"/>
        <v/>
      </c>
      <c r="F656" s="428" t="str">
        <f t="shared" si="31"/>
        <v/>
      </c>
      <c r="G656" s="129" t="str">
        <f>IF(H656="","",VLOOKUP(H656,プルダウン用リスト!$K$1:$M$15,2,FALSE))</f>
        <v/>
      </c>
      <c r="H656" s="76"/>
      <c r="I656" s="61"/>
      <c r="J656" s="76"/>
      <c r="K656" s="146"/>
      <c r="L656" s="77"/>
      <c r="M656" s="78"/>
      <c r="N656" s="71"/>
      <c r="O656" s="432" t="str">
        <f t="shared" si="32"/>
        <v/>
      </c>
    </row>
    <row r="657" spans="2:15" x14ac:dyDescent="0.4">
      <c r="B657" s="74"/>
      <c r="C657" s="60"/>
      <c r="D657" s="426" t="str">
        <f>IF(C657="","",VLOOKUP(C657,団体基本情報!$B$13:$D$22,3,FALSE))</f>
        <v/>
      </c>
      <c r="E657" s="427" t="str">
        <f t="shared" si="30"/>
        <v/>
      </c>
      <c r="F657" s="428" t="str">
        <f t="shared" si="31"/>
        <v/>
      </c>
      <c r="G657" s="129" t="str">
        <f>IF(H657="","",VLOOKUP(H657,プルダウン用リスト!$K$1:$M$15,2,FALSE))</f>
        <v/>
      </c>
      <c r="H657" s="76"/>
      <c r="I657" s="76"/>
      <c r="J657" s="76"/>
      <c r="K657" s="146"/>
      <c r="L657" s="77"/>
      <c r="M657" s="78"/>
      <c r="N657" s="71"/>
      <c r="O657" s="432" t="str">
        <f t="shared" si="32"/>
        <v/>
      </c>
    </row>
    <row r="658" spans="2:15" x14ac:dyDescent="0.4">
      <c r="B658" s="74"/>
      <c r="C658" s="60"/>
      <c r="D658" s="426" t="str">
        <f>IF(C658="","",VLOOKUP(C658,団体基本情報!$B$13:$D$22,3,FALSE))</f>
        <v/>
      </c>
      <c r="E658" s="427" t="str">
        <f t="shared" si="30"/>
        <v/>
      </c>
      <c r="F658" s="428" t="str">
        <f t="shared" si="31"/>
        <v/>
      </c>
      <c r="G658" s="129" t="str">
        <f>IF(H658="","",VLOOKUP(H658,プルダウン用リスト!$K$1:$M$15,2,FALSE))</f>
        <v/>
      </c>
      <c r="H658" s="76"/>
      <c r="I658" s="61"/>
      <c r="J658" s="76"/>
      <c r="K658" s="146"/>
      <c r="L658" s="77"/>
      <c r="M658" s="78"/>
      <c r="N658" s="71"/>
      <c r="O658" s="432" t="str">
        <f t="shared" si="32"/>
        <v/>
      </c>
    </row>
    <row r="659" spans="2:15" x14ac:dyDescent="0.4">
      <c r="B659" s="74"/>
      <c r="C659" s="60"/>
      <c r="D659" s="426" t="str">
        <f>IF(C659="","",VLOOKUP(C659,団体基本情報!$B$13:$D$22,3,FALSE))</f>
        <v/>
      </c>
      <c r="E659" s="427" t="str">
        <f t="shared" si="30"/>
        <v/>
      </c>
      <c r="F659" s="428" t="str">
        <f t="shared" si="31"/>
        <v/>
      </c>
      <c r="G659" s="129" t="str">
        <f>IF(H659="","",VLOOKUP(H659,プルダウン用リスト!$K$1:$M$15,2,FALSE))</f>
        <v/>
      </c>
      <c r="H659" s="76"/>
      <c r="I659" s="61"/>
      <c r="J659" s="76"/>
      <c r="K659" s="146"/>
      <c r="L659" s="77"/>
      <c r="M659" s="78"/>
      <c r="N659" s="71"/>
      <c r="O659" s="432" t="str">
        <f t="shared" si="32"/>
        <v/>
      </c>
    </row>
    <row r="660" spans="2:15" x14ac:dyDescent="0.4">
      <c r="B660" s="74"/>
      <c r="C660" s="60"/>
      <c r="D660" s="426" t="str">
        <f>IF(C660="","",VLOOKUP(C660,団体基本情報!$B$13:$D$22,3,FALSE))</f>
        <v/>
      </c>
      <c r="E660" s="427" t="str">
        <f t="shared" si="30"/>
        <v/>
      </c>
      <c r="F660" s="428" t="str">
        <f t="shared" si="31"/>
        <v/>
      </c>
      <c r="G660" s="129" t="str">
        <f>IF(H660="","",VLOOKUP(H660,プルダウン用リスト!$K$1:$M$15,2,FALSE))</f>
        <v/>
      </c>
      <c r="H660" s="76"/>
      <c r="I660" s="76"/>
      <c r="J660" s="76"/>
      <c r="K660" s="146"/>
      <c r="L660" s="77"/>
      <c r="M660" s="78"/>
      <c r="N660" s="71"/>
      <c r="O660" s="432" t="str">
        <f t="shared" si="32"/>
        <v/>
      </c>
    </row>
    <row r="661" spans="2:15" x14ac:dyDescent="0.4">
      <c r="B661" s="74"/>
      <c r="C661" s="60"/>
      <c r="D661" s="426" t="str">
        <f>IF(C661="","",VLOOKUP(C661,団体基本情報!$B$13:$D$22,3,FALSE))</f>
        <v/>
      </c>
      <c r="E661" s="427" t="str">
        <f t="shared" si="30"/>
        <v/>
      </c>
      <c r="F661" s="428" t="str">
        <f t="shared" si="31"/>
        <v/>
      </c>
      <c r="G661" s="129" t="str">
        <f>IF(H661="","",VLOOKUP(H661,プルダウン用リスト!$K$1:$M$15,2,FALSE))</f>
        <v/>
      </c>
      <c r="H661" s="76"/>
      <c r="I661" s="61"/>
      <c r="J661" s="76"/>
      <c r="K661" s="146"/>
      <c r="L661" s="77"/>
      <c r="M661" s="78"/>
      <c r="N661" s="71"/>
      <c r="O661" s="432" t="str">
        <f t="shared" si="32"/>
        <v/>
      </c>
    </row>
    <row r="662" spans="2:15" x14ac:dyDescent="0.4">
      <c r="B662" s="74"/>
      <c r="C662" s="60"/>
      <c r="D662" s="426" t="str">
        <f>IF(C662="","",VLOOKUP(C662,団体基本情報!$B$13:$D$22,3,FALSE))</f>
        <v/>
      </c>
      <c r="E662" s="427" t="str">
        <f t="shared" si="30"/>
        <v/>
      </c>
      <c r="F662" s="428" t="str">
        <f t="shared" si="31"/>
        <v/>
      </c>
      <c r="G662" s="129" t="str">
        <f>IF(H662="","",VLOOKUP(H662,プルダウン用リスト!$K$1:$M$15,2,FALSE))</f>
        <v/>
      </c>
      <c r="H662" s="76"/>
      <c r="I662" s="61"/>
      <c r="J662" s="76"/>
      <c r="K662" s="146"/>
      <c r="L662" s="77"/>
      <c r="M662" s="78"/>
      <c r="N662" s="71"/>
      <c r="O662" s="432" t="str">
        <f t="shared" si="32"/>
        <v/>
      </c>
    </row>
    <row r="663" spans="2:15" x14ac:dyDescent="0.4">
      <c r="B663" s="74"/>
      <c r="C663" s="60"/>
      <c r="D663" s="426" t="str">
        <f>IF(C663="","",VLOOKUP(C663,団体基本情報!$B$13:$D$22,3,FALSE))</f>
        <v/>
      </c>
      <c r="E663" s="427" t="str">
        <f t="shared" si="30"/>
        <v/>
      </c>
      <c r="F663" s="428" t="str">
        <f t="shared" si="31"/>
        <v/>
      </c>
      <c r="G663" s="129" t="str">
        <f>IF(H663="","",VLOOKUP(H663,プルダウン用リスト!$K$1:$M$15,2,FALSE))</f>
        <v/>
      </c>
      <c r="H663" s="76"/>
      <c r="I663" s="76"/>
      <c r="J663" s="76"/>
      <c r="K663" s="146"/>
      <c r="L663" s="77"/>
      <c r="M663" s="78"/>
      <c r="N663" s="71"/>
      <c r="O663" s="432" t="str">
        <f t="shared" si="32"/>
        <v/>
      </c>
    </row>
    <row r="664" spans="2:15" x14ac:dyDescent="0.4">
      <c r="B664" s="74"/>
      <c r="C664" s="60"/>
      <c r="D664" s="426" t="str">
        <f>IF(C664="","",VLOOKUP(C664,団体基本情報!$B$13:$D$22,3,FALSE))</f>
        <v/>
      </c>
      <c r="E664" s="427" t="str">
        <f t="shared" si="30"/>
        <v/>
      </c>
      <c r="F664" s="428" t="str">
        <f t="shared" si="31"/>
        <v/>
      </c>
      <c r="G664" s="129" t="str">
        <f>IF(H664="","",VLOOKUP(H664,プルダウン用リスト!$K$1:$M$15,2,FALSE))</f>
        <v/>
      </c>
      <c r="H664" s="76"/>
      <c r="I664" s="61"/>
      <c r="J664" s="76"/>
      <c r="K664" s="146"/>
      <c r="L664" s="77"/>
      <c r="M664" s="78"/>
      <c r="N664" s="71"/>
      <c r="O664" s="432" t="str">
        <f t="shared" si="32"/>
        <v/>
      </c>
    </row>
    <row r="665" spans="2:15" x14ac:dyDescent="0.4">
      <c r="B665" s="74"/>
      <c r="C665" s="60"/>
      <c r="D665" s="426" t="str">
        <f>IF(C665="","",VLOOKUP(C665,団体基本情報!$B$13:$D$22,3,FALSE))</f>
        <v/>
      </c>
      <c r="E665" s="427" t="str">
        <f t="shared" si="30"/>
        <v/>
      </c>
      <c r="F665" s="428" t="str">
        <f t="shared" si="31"/>
        <v/>
      </c>
      <c r="G665" s="129" t="str">
        <f>IF(H665="","",VLOOKUP(H665,プルダウン用リスト!$K$1:$M$15,2,FALSE))</f>
        <v/>
      </c>
      <c r="H665" s="76"/>
      <c r="I665" s="61"/>
      <c r="J665" s="76"/>
      <c r="K665" s="146"/>
      <c r="L665" s="77"/>
      <c r="M665" s="78"/>
      <c r="N665" s="71"/>
      <c r="O665" s="432" t="str">
        <f t="shared" si="32"/>
        <v/>
      </c>
    </row>
    <row r="666" spans="2:15" x14ac:dyDescent="0.4">
      <c r="B666" s="74"/>
      <c r="C666" s="75"/>
      <c r="D666" s="426" t="str">
        <f>IF(C666="","",VLOOKUP(C666,団体基本情報!$B$13:$D$22,3,FALSE))</f>
        <v/>
      </c>
      <c r="E666" s="427" t="str">
        <f t="shared" si="30"/>
        <v/>
      </c>
      <c r="F666" s="428" t="str">
        <f t="shared" si="31"/>
        <v/>
      </c>
      <c r="G666" s="129" t="str">
        <f>IF(H666="","",VLOOKUP(H666,プルダウン用リスト!$K$1:$M$15,2,FALSE))</f>
        <v/>
      </c>
      <c r="H666" s="76"/>
      <c r="I666" s="76"/>
      <c r="J666" s="76"/>
      <c r="K666" s="146"/>
      <c r="L666" s="77"/>
      <c r="M666" s="78"/>
      <c r="N666" s="71"/>
      <c r="O666" s="432" t="str">
        <f t="shared" si="32"/>
        <v/>
      </c>
    </row>
    <row r="667" spans="2:15" x14ac:dyDescent="0.4">
      <c r="B667" s="74"/>
      <c r="C667" s="60"/>
      <c r="D667" s="426" t="str">
        <f>IF(C667="","",VLOOKUP(C667,団体基本情報!$B$13:$D$22,3,FALSE))</f>
        <v/>
      </c>
      <c r="E667" s="427" t="str">
        <f t="shared" si="30"/>
        <v/>
      </c>
      <c r="F667" s="428" t="str">
        <f t="shared" si="31"/>
        <v/>
      </c>
      <c r="G667" s="129" t="str">
        <f>IF(H667="","",VLOOKUP(H667,プルダウン用リスト!$K$1:$M$15,2,FALSE))</f>
        <v/>
      </c>
      <c r="H667" s="76"/>
      <c r="I667" s="61"/>
      <c r="J667" s="76"/>
      <c r="K667" s="146"/>
      <c r="L667" s="77"/>
      <c r="M667" s="78"/>
      <c r="N667" s="71"/>
      <c r="O667" s="432" t="str">
        <f t="shared" si="32"/>
        <v/>
      </c>
    </row>
    <row r="668" spans="2:15" x14ac:dyDescent="0.4">
      <c r="B668" s="74"/>
      <c r="C668" s="60"/>
      <c r="D668" s="426" t="str">
        <f>IF(C668="","",VLOOKUP(C668,団体基本情報!$B$13:$D$22,3,FALSE))</f>
        <v/>
      </c>
      <c r="E668" s="427" t="str">
        <f t="shared" si="30"/>
        <v/>
      </c>
      <c r="F668" s="428" t="str">
        <f t="shared" si="31"/>
        <v/>
      </c>
      <c r="G668" s="129" t="str">
        <f>IF(H668="","",VLOOKUP(H668,プルダウン用リスト!$K$1:$M$15,2,FALSE))</f>
        <v/>
      </c>
      <c r="H668" s="76"/>
      <c r="I668" s="61"/>
      <c r="J668" s="76"/>
      <c r="K668" s="146"/>
      <c r="L668" s="77"/>
      <c r="M668" s="78"/>
      <c r="N668" s="71"/>
      <c r="O668" s="432" t="str">
        <f t="shared" si="32"/>
        <v/>
      </c>
    </row>
    <row r="669" spans="2:15" x14ac:dyDescent="0.4">
      <c r="B669" s="74"/>
      <c r="C669" s="60"/>
      <c r="D669" s="426" t="str">
        <f>IF(C669="","",VLOOKUP(C669,団体基本情報!$B$13:$D$22,3,FALSE))</f>
        <v/>
      </c>
      <c r="E669" s="427" t="str">
        <f t="shared" si="30"/>
        <v/>
      </c>
      <c r="F669" s="428" t="str">
        <f t="shared" si="31"/>
        <v/>
      </c>
      <c r="G669" s="129" t="str">
        <f>IF(H669="","",VLOOKUP(H669,プルダウン用リスト!$K$1:$M$15,2,FALSE))</f>
        <v/>
      </c>
      <c r="H669" s="76"/>
      <c r="I669" s="76"/>
      <c r="J669" s="76"/>
      <c r="K669" s="146"/>
      <c r="L669" s="77"/>
      <c r="M669" s="78"/>
      <c r="N669" s="71"/>
      <c r="O669" s="432" t="str">
        <f t="shared" si="32"/>
        <v/>
      </c>
    </row>
    <row r="670" spans="2:15" x14ac:dyDescent="0.4">
      <c r="B670" s="74"/>
      <c r="C670" s="60"/>
      <c r="D670" s="426" t="str">
        <f>IF(C670="","",VLOOKUP(C670,団体基本情報!$B$13:$D$22,3,FALSE))</f>
        <v/>
      </c>
      <c r="E670" s="427" t="str">
        <f t="shared" si="30"/>
        <v/>
      </c>
      <c r="F670" s="428" t="str">
        <f t="shared" si="31"/>
        <v/>
      </c>
      <c r="G670" s="129" t="str">
        <f>IF(H670="","",VLOOKUP(H670,プルダウン用リスト!$K$1:$M$15,2,FALSE))</f>
        <v/>
      </c>
      <c r="H670" s="76"/>
      <c r="I670" s="61"/>
      <c r="J670" s="76"/>
      <c r="K670" s="146"/>
      <c r="L670" s="77"/>
      <c r="M670" s="78"/>
      <c r="N670" s="71"/>
      <c r="O670" s="432" t="str">
        <f t="shared" si="32"/>
        <v/>
      </c>
    </row>
    <row r="671" spans="2:15" x14ac:dyDescent="0.4">
      <c r="B671" s="74"/>
      <c r="C671" s="60"/>
      <c r="D671" s="426" t="str">
        <f>IF(C671="","",VLOOKUP(C671,団体基本情報!$B$13:$D$22,3,FALSE))</f>
        <v/>
      </c>
      <c r="E671" s="427" t="str">
        <f t="shared" si="30"/>
        <v/>
      </c>
      <c r="F671" s="428" t="str">
        <f t="shared" si="31"/>
        <v/>
      </c>
      <c r="G671" s="129" t="str">
        <f>IF(H671="","",VLOOKUP(H671,プルダウン用リスト!$K$1:$M$15,2,FALSE))</f>
        <v/>
      </c>
      <c r="H671" s="76"/>
      <c r="I671" s="61"/>
      <c r="J671" s="76"/>
      <c r="K671" s="146"/>
      <c r="L671" s="77"/>
      <c r="M671" s="78"/>
      <c r="N671" s="71"/>
      <c r="O671" s="432" t="str">
        <f t="shared" si="32"/>
        <v/>
      </c>
    </row>
    <row r="672" spans="2:15" x14ac:dyDescent="0.4">
      <c r="B672" s="74"/>
      <c r="C672" s="60"/>
      <c r="D672" s="426" t="str">
        <f>IF(C672="","",VLOOKUP(C672,団体基本情報!$B$13:$D$22,3,FALSE))</f>
        <v/>
      </c>
      <c r="E672" s="427" t="str">
        <f t="shared" si="30"/>
        <v/>
      </c>
      <c r="F672" s="428" t="str">
        <f t="shared" si="31"/>
        <v/>
      </c>
      <c r="G672" s="129" t="str">
        <f>IF(H672="","",VLOOKUP(H672,プルダウン用リスト!$K$1:$M$15,2,FALSE))</f>
        <v/>
      </c>
      <c r="H672" s="76"/>
      <c r="I672" s="76"/>
      <c r="J672" s="76"/>
      <c r="K672" s="146"/>
      <c r="L672" s="77"/>
      <c r="M672" s="78"/>
      <c r="N672" s="71"/>
      <c r="O672" s="432" t="str">
        <f t="shared" si="32"/>
        <v/>
      </c>
    </row>
    <row r="673" spans="2:15" x14ac:dyDescent="0.4">
      <c r="B673" s="74"/>
      <c r="C673" s="60"/>
      <c r="D673" s="426" t="str">
        <f>IF(C673="","",VLOOKUP(C673,団体基本情報!$B$13:$D$22,3,FALSE))</f>
        <v/>
      </c>
      <c r="E673" s="427" t="str">
        <f t="shared" si="30"/>
        <v/>
      </c>
      <c r="F673" s="428" t="str">
        <f t="shared" si="31"/>
        <v/>
      </c>
      <c r="G673" s="129" t="str">
        <f>IF(H673="","",VLOOKUP(H673,プルダウン用リスト!$K$1:$M$15,2,FALSE))</f>
        <v/>
      </c>
      <c r="H673" s="76"/>
      <c r="I673" s="61"/>
      <c r="J673" s="76"/>
      <c r="K673" s="146"/>
      <c r="L673" s="77"/>
      <c r="M673" s="78"/>
      <c r="N673" s="71"/>
      <c r="O673" s="432" t="str">
        <f t="shared" si="32"/>
        <v/>
      </c>
    </row>
    <row r="674" spans="2:15" x14ac:dyDescent="0.4">
      <c r="B674" s="74"/>
      <c r="C674" s="60"/>
      <c r="D674" s="426" t="str">
        <f>IF(C674="","",VLOOKUP(C674,団体基本情報!$B$13:$D$22,3,FALSE))</f>
        <v/>
      </c>
      <c r="E674" s="427" t="str">
        <f t="shared" si="30"/>
        <v/>
      </c>
      <c r="F674" s="428" t="str">
        <f t="shared" si="31"/>
        <v/>
      </c>
      <c r="G674" s="129" t="str">
        <f>IF(H674="","",VLOOKUP(H674,プルダウン用リスト!$K$1:$M$15,2,FALSE))</f>
        <v/>
      </c>
      <c r="H674" s="76"/>
      <c r="I674" s="61"/>
      <c r="J674" s="76"/>
      <c r="K674" s="146"/>
      <c r="L674" s="77"/>
      <c r="M674" s="78"/>
      <c r="N674" s="71"/>
      <c r="O674" s="432" t="str">
        <f t="shared" si="32"/>
        <v/>
      </c>
    </row>
    <row r="675" spans="2:15" x14ac:dyDescent="0.4">
      <c r="B675" s="74"/>
      <c r="C675" s="60"/>
      <c r="D675" s="426" t="str">
        <f>IF(C675="","",VLOOKUP(C675,団体基本情報!$B$13:$D$22,3,FALSE))</f>
        <v/>
      </c>
      <c r="E675" s="427" t="str">
        <f t="shared" si="30"/>
        <v/>
      </c>
      <c r="F675" s="428" t="str">
        <f t="shared" si="31"/>
        <v/>
      </c>
      <c r="G675" s="129" t="str">
        <f>IF(H675="","",VLOOKUP(H675,プルダウン用リスト!$K$1:$M$15,2,FALSE))</f>
        <v/>
      </c>
      <c r="H675" s="76"/>
      <c r="I675" s="76"/>
      <c r="J675" s="76"/>
      <c r="K675" s="146"/>
      <c r="L675" s="77"/>
      <c r="M675" s="78"/>
      <c r="N675" s="71"/>
      <c r="O675" s="432" t="str">
        <f t="shared" si="32"/>
        <v/>
      </c>
    </row>
    <row r="676" spans="2:15" x14ac:dyDescent="0.4">
      <c r="B676" s="74"/>
      <c r="C676" s="60"/>
      <c r="D676" s="426" t="str">
        <f>IF(C676="","",VLOOKUP(C676,団体基本情報!$B$13:$D$22,3,FALSE))</f>
        <v/>
      </c>
      <c r="E676" s="427" t="str">
        <f t="shared" si="30"/>
        <v/>
      </c>
      <c r="F676" s="428" t="str">
        <f t="shared" si="31"/>
        <v/>
      </c>
      <c r="G676" s="129" t="str">
        <f>IF(H676="","",VLOOKUP(H676,プルダウン用リスト!$K$1:$M$15,2,FALSE))</f>
        <v/>
      </c>
      <c r="H676" s="76"/>
      <c r="I676" s="61"/>
      <c r="J676" s="76"/>
      <c r="K676" s="146"/>
      <c r="L676" s="77"/>
      <c r="M676" s="78"/>
      <c r="N676" s="71"/>
      <c r="O676" s="432" t="str">
        <f t="shared" si="32"/>
        <v/>
      </c>
    </row>
    <row r="677" spans="2:15" x14ac:dyDescent="0.4">
      <c r="B677" s="74"/>
      <c r="C677" s="60"/>
      <c r="D677" s="426" t="str">
        <f>IF(C677="","",VLOOKUP(C677,団体基本情報!$B$13:$D$22,3,FALSE))</f>
        <v/>
      </c>
      <c r="E677" s="427" t="str">
        <f t="shared" si="30"/>
        <v/>
      </c>
      <c r="F677" s="428" t="str">
        <f t="shared" si="31"/>
        <v/>
      </c>
      <c r="G677" s="129" t="str">
        <f>IF(H677="","",VLOOKUP(H677,プルダウン用リスト!$K$1:$M$15,2,FALSE))</f>
        <v/>
      </c>
      <c r="H677" s="76"/>
      <c r="I677" s="61"/>
      <c r="J677" s="76"/>
      <c r="K677" s="146"/>
      <c r="L677" s="77"/>
      <c r="M677" s="78"/>
      <c r="N677" s="71"/>
      <c r="O677" s="432" t="str">
        <f t="shared" si="32"/>
        <v/>
      </c>
    </row>
    <row r="678" spans="2:15" x14ac:dyDescent="0.4">
      <c r="B678" s="74"/>
      <c r="C678" s="75"/>
      <c r="D678" s="426" t="str">
        <f>IF(C678="","",VLOOKUP(C678,団体基本情報!$B$13:$D$22,3,FALSE))</f>
        <v/>
      </c>
      <c r="E678" s="427" t="str">
        <f t="shared" si="30"/>
        <v/>
      </c>
      <c r="F678" s="428" t="str">
        <f t="shared" si="31"/>
        <v/>
      </c>
      <c r="G678" s="129" t="str">
        <f>IF(H678="","",VLOOKUP(H678,プルダウン用リスト!$K$1:$M$15,2,FALSE))</f>
        <v/>
      </c>
      <c r="H678" s="76"/>
      <c r="I678" s="76"/>
      <c r="J678" s="76"/>
      <c r="K678" s="146"/>
      <c r="L678" s="77"/>
      <c r="M678" s="78"/>
      <c r="N678" s="71"/>
      <c r="O678" s="432" t="str">
        <f t="shared" si="32"/>
        <v/>
      </c>
    </row>
    <row r="679" spans="2:15" x14ac:dyDescent="0.4">
      <c r="B679" s="74"/>
      <c r="C679" s="60"/>
      <c r="D679" s="426" t="str">
        <f>IF(C679="","",VLOOKUP(C679,団体基本情報!$B$13:$D$22,3,FALSE))</f>
        <v/>
      </c>
      <c r="E679" s="427" t="str">
        <f t="shared" si="30"/>
        <v/>
      </c>
      <c r="F679" s="428" t="str">
        <f t="shared" si="31"/>
        <v/>
      </c>
      <c r="G679" s="129" t="str">
        <f>IF(H679="","",VLOOKUP(H679,プルダウン用リスト!$K$1:$M$15,2,FALSE))</f>
        <v/>
      </c>
      <c r="H679" s="76"/>
      <c r="I679" s="61"/>
      <c r="J679" s="76"/>
      <c r="K679" s="146"/>
      <c r="L679" s="77"/>
      <c r="M679" s="78"/>
      <c r="N679" s="71"/>
      <c r="O679" s="432" t="str">
        <f t="shared" si="32"/>
        <v/>
      </c>
    </row>
    <row r="680" spans="2:15" x14ac:dyDescent="0.4">
      <c r="B680" s="74"/>
      <c r="C680" s="60"/>
      <c r="D680" s="426" t="str">
        <f>IF(C680="","",VLOOKUP(C680,団体基本情報!$B$13:$D$22,3,FALSE))</f>
        <v/>
      </c>
      <c r="E680" s="427" t="str">
        <f t="shared" si="30"/>
        <v/>
      </c>
      <c r="F680" s="428" t="str">
        <f t="shared" si="31"/>
        <v/>
      </c>
      <c r="G680" s="129" t="str">
        <f>IF(H680="","",VLOOKUP(H680,プルダウン用リスト!$K$1:$M$15,2,FALSE))</f>
        <v/>
      </c>
      <c r="H680" s="76"/>
      <c r="I680" s="61"/>
      <c r="J680" s="76"/>
      <c r="K680" s="146"/>
      <c r="L680" s="77"/>
      <c r="M680" s="78"/>
      <c r="N680" s="71"/>
      <c r="O680" s="432" t="str">
        <f t="shared" si="32"/>
        <v/>
      </c>
    </row>
    <row r="681" spans="2:15" x14ac:dyDescent="0.4">
      <c r="B681" s="74"/>
      <c r="C681" s="60"/>
      <c r="D681" s="426" t="str">
        <f>IF(C681="","",VLOOKUP(C681,団体基本情報!$B$13:$D$22,3,FALSE))</f>
        <v/>
      </c>
      <c r="E681" s="427" t="str">
        <f t="shared" si="30"/>
        <v/>
      </c>
      <c r="F681" s="428" t="str">
        <f t="shared" si="31"/>
        <v/>
      </c>
      <c r="G681" s="129" t="str">
        <f>IF(H681="","",VLOOKUP(H681,プルダウン用リスト!$K$1:$M$15,2,FALSE))</f>
        <v/>
      </c>
      <c r="H681" s="76"/>
      <c r="I681" s="76"/>
      <c r="J681" s="76"/>
      <c r="K681" s="146"/>
      <c r="L681" s="77"/>
      <c r="M681" s="78"/>
      <c r="N681" s="71"/>
      <c r="O681" s="432" t="str">
        <f t="shared" si="32"/>
        <v/>
      </c>
    </row>
    <row r="682" spans="2:15" x14ac:dyDescent="0.4">
      <c r="B682" s="74"/>
      <c r="C682" s="60"/>
      <c r="D682" s="426" t="str">
        <f>IF(C682="","",VLOOKUP(C682,団体基本情報!$B$13:$D$22,3,FALSE))</f>
        <v/>
      </c>
      <c r="E682" s="427" t="str">
        <f t="shared" si="30"/>
        <v/>
      </c>
      <c r="F682" s="428" t="str">
        <f t="shared" si="31"/>
        <v/>
      </c>
      <c r="G682" s="129" t="str">
        <f>IF(H682="","",VLOOKUP(H682,プルダウン用リスト!$K$1:$M$15,2,FALSE))</f>
        <v/>
      </c>
      <c r="H682" s="76"/>
      <c r="I682" s="61"/>
      <c r="J682" s="76"/>
      <c r="K682" s="146"/>
      <c r="L682" s="77"/>
      <c r="M682" s="78"/>
      <c r="N682" s="71"/>
      <c r="O682" s="432" t="str">
        <f t="shared" si="32"/>
        <v/>
      </c>
    </row>
    <row r="683" spans="2:15" x14ac:dyDescent="0.4">
      <c r="B683" s="74"/>
      <c r="C683" s="60"/>
      <c r="D683" s="426" t="str">
        <f>IF(C683="","",VLOOKUP(C683,団体基本情報!$B$13:$D$22,3,FALSE))</f>
        <v/>
      </c>
      <c r="E683" s="427" t="str">
        <f t="shared" si="30"/>
        <v/>
      </c>
      <c r="F683" s="428" t="str">
        <f t="shared" si="31"/>
        <v/>
      </c>
      <c r="G683" s="129" t="str">
        <f>IF(H683="","",VLOOKUP(H683,プルダウン用リスト!$K$1:$M$15,2,FALSE))</f>
        <v/>
      </c>
      <c r="H683" s="76"/>
      <c r="I683" s="61"/>
      <c r="J683" s="76"/>
      <c r="K683" s="146"/>
      <c r="L683" s="77"/>
      <c r="M683" s="78"/>
      <c r="N683" s="71"/>
      <c r="O683" s="432" t="str">
        <f t="shared" si="32"/>
        <v/>
      </c>
    </row>
    <row r="684" spans="2:15" x14ac:dyDescent="0.4">
      <c r="B684" s="74"/>
      <c r="C684" s="60"/>
      <c r="D684" s="426" t="str">
        <f>IF(C684="","",VLOOKUP(C684,団体基本情報!$B$13:$D$22,3,FALSE))</f>
        <v/>
      </c>
      <c r="E684" s="427" t="str">
        <f t="shared" si="30"/>
        <v/>
      </c>
      <c r="F684" s="428" t="str">
        <f t="shared" si="31"/>
        <v/>
      </c>
      <c r="G684" s="129" t="str">
        <f>IF(H684="","",VLOOKUP(H684,プルダウン用リスト!$K$1:$M$15,2,FALSE))</f>
        <v/>
      </c>
      <c r="H684" s="76"/>
      <c r="I684" s="76"/>
      <c r="J684" s="76"/>
      <c r="K684" s="146"/>
      <c r="L684" s="77"/>
      <c r="M684" s="78"/>
      <c r="N684" s="71"/>
      <c r="O684" s="432" t="str">
        <f t="shared" si="32"/>
        <v/>
      </c>
    </row>
    <row r="685" spans="2:15" x14ac:dyDescent="0.4">
      <c r="B685" s="74"/>
      <c r="C685" s="60"/>
      <c r="D685" s="426" t="str">
        <f>IF(C685="","",VLOOKUP(C685,団体基本情報!$B$13:$D$22,3,FALSE))</f>
        <v/>
      </c>
      <c r="E685" s="427" t="str">
        <f t="shared" si="30"/>
        <v/>
      </c>
      <c r="F685" s="428" t="str">
        <f t="shared" si="31"/>
        <v/>
      </c>
      <c r="G685" s="129" t="str">
        <f>IF(H685="","",VLOOKUP(H685,プルダウン用リスト!$K$1:$M$15,2,FALSE))</f>
        <v/>
      </c>
      <c r="H685" s="76"/>
      <c r="I685" s="61"/>
      <c r="J685" s="76"/>
      <c r="K685" s="146"/>
      <c r="L685" s="77"/>
      <c r="M685" s="78"/>
      <c r="N685" s="71"/>
      <c r="O685" s="432" t="str">
        <f t="shared" si="32"/>
        <v/>
      </c>
    </row>
    <row r="686" spans="2:15" x14ac:dyDescent="0.4">
      <c r="B686" s="74"/>
      <c r="C686" s="60"/>
      <c r="D686" s="426" t="str">
        <f>IF(C686="","",VLOOKUP(C686,団体基本情報!$B$13:$D$22,3,FALSE))</f>
        <v/>
      </c>
      <c r="E686" s="427" t="str">
        <f t="shared" si="30"/>
        <v/>
      </c>
      <c r="F686" s="428" t="str">
        <f t="shared" si="31"/>
        <v/>
      </c>
      <c r="G686" s="129" t="str">
        <f>IF(H686="","",VLOOKUP(H686,プルダウン用リスト!$K$1:$M$15,2,FALSE))</f>
        <v/>
      </c>
      <c r="H686" s="76"/>
      <c r="I686" s="61"/>
      <c r="J686" s="76"/>
      <c r="K686" s="146"/>
      <c r="L686" s="77"/>
      <c r="M686" s="78"/>
      <c r="N686" s="71"/>
      <c r="O686" s="432" t="str">
        <f t="shared" si="32"/>
        <v/>
      </c>
    </row>
    <row r="687" spans="2:15" x14ac:dyDescent="0.4">
      <c r="B687" s="74"/>
      <c r="C687" s="60"/>
      <c r="D687" s="426" t="str">
        <f>IF(C687="","",VLOOKUP(C687,団体基本情報!$B$13:$D$22,3,FALSE))</f>
        <v/>
      </c>
      <c r="E687" s="427" t="str">
        <f t="shared" si="30"/>
        <v/>
      </c>
      <c r="F687" s="428" t="str">
        <f t="shared" si="31"/>
        <v/>
      </c>
      <c r="G687" s="129" t="str">
        <f>IF(H687="","",VLOOKUP(H687,プルダウン用リスト!$K$1:$M$15,2,FALSE))</f>
        <v/>
      </c>
      <c r="H687" s="76"/>
      <c r="I687" s="76"/>
      <c r="J687" s="76"/>
      <c r="K687" s="146"/>
      <c r="L687" s="77"/>
      <c r="M687" s="78"/>
      <c r="N687" s="71"/>
      <c r="O687" s="432" t="str">
        <f t="shared" si="32"/>
        <v/>
      </c>
    </row>
    <row r="688" spans="2:15" x14ac:dyDescent="0.4">
      <c r="B688" s="74"/>
      <c r="C688" s="60"/>
      <c r="D688" s="426" t="str">
        <f>IF(C688="","",VLOOKUP(C688,団体基本情報!$B$13:$D$22,3,FALSE))</f>
        <v/>
      </c>
      <c r="E688" s="427" t="str">
        <f t="shared" si="30"/>
        <v/>
      </c>
      <c r="F688" s="428" t="str">
        <f t="shared" si="31"/>
        <v/>
      </c>
      <c r="G688" s="129" t="str">
        <f>IF(H688="","",VLOOKUP(H688,プルダウン用リスト!$K$1:$M$15,2,FALSE))</f>
        <v/>
      </c>
      <c r="H688" s="76"/>
      <c r="I688" s="61"/>
      <c r="J688" s="76"/>
      <c r="K688" s="146"/>
      <c r="L688" s="77"/>
      <c r="M688" s="78"/>
      <c r="N688" s="71"/>
      <c r="O688" s="432" t="str">
        <f t="shared" si="32"/>
        <v/>
      </c>
    </row>
    <row r="689" spans="2:15" x14ac:dyDescent="0.4">
      <c r="B689" s="74"/>
      <c r="C689" s="60"/>
      <c r="D689" s="426" t="str">
        <f>IF(C689="","",VLOOKUP(C689,団体基本情報!$B$13:$D$22,3,FALSE))</f>
        <v/>
      </c>
      <c r="E689" s="427" t="str">
        <f t="shared" si="30"/>
        <v/>
      </c>
      <c r="F689" s="428" t="str">
        <f t="shared" si="31"/>
        <v/>
      </c>
      <c r="G689" s="129" t="str">
        <f>IF(H689="","",VLOOKUP(H689,プルダウン用リスト!$K$1:$M$15,2,FALSE))</f>
        <v/>
      </c>
      <c r="H689" s="76"/>
      <c r="I689" s="61"/>
      <c r="J689" s="76"/>
      <c r="K689" s="146"/>
      <c r="L689" s="77"/>
      <c r="M689" s="78"/>
      <c r="N689" s="71"/>
      <c r="O689" s="432" t="str">
        <f t="shared" si="32"/>
        <v/>
      </c>
    </row>
    <row r="690" spans="2:15" x14ac:dyDescent="0.4">
      <c r="B690" s="74"/>
      <c r="C690" s="75"/>
      <c r="D690" s="426" t="str">
        <f>IF(C690="","",VLOOKUP(C690,団体基本情報!$B$13:$D$22,3,FALSE))</f>
        <v/>
      </c>
      <c r="E690" s="427" t="str">
        <f t="shared" si="30"/>
        <v/>
      </c>
      <c r="F690" s="428" t="str">
        <f t="shared" si="31"/>
        <v/>
      </c>
      <c r="G690" s="129" t="str">
        <f>IF(H690="","",VLOOKUP(H690,プルダウン用リスト!$K$1:$M$15,2,FALSE))</f>
        <v/>
      </c>
      <c r="H690" s="76"/>
      <c r="I690" s="76"/>
      <c r="J690" s="76"/>
      <c r="K690" s="146"/>
      <c r="L690" s="77"/>
      <c r="M690" s="78"/>
      <c r="N690" s="71"/>
      <c r="O690" s="432" t="str">
        <f t="shared" si="32"/>
        <v/>
      </c>
    </row>
    <row r="691" spans="2:15" x14ac:dyDescent="0.4">
      <c r="B691" s="74"/>
      <c r="C691" s="60"/>
      <c r="D691" s="426" t="str">
        <f>IF(C691="","",VLOOKUP(C691,団体基本情報!$B$13:$D$22,3,FALSE))</f>
        <v/>
      </c>
      <c r="E691" s="427" t="str">
        <f t="shared" si="30"/>
        <v/>
      </c>
      <c r="F691" s="428" t="str">
        <f t="shared" si="31"/>
        <v/>
      </c>
      <c r="G691" s="129" t="str">
        <f>IF(H691="","",VLOOKUP(H691,プルダウン用リスト!$K$1:$M$15,2,FALSE))</f>
        <v/>
      </c>
      <c r="H691" s="76"/>
      <c r="I691" s="61"/>
      <c r="J691" s="76"/>
      <c r="K691" s="146"/>
      <c r="L691" s="77"/>
      <c r="M691" s="78"/>
      <c r="N691" s="71"/>
      <c r="O691" s="432" t="str">
        <f t="shared" si="32"/>
        <v/>
      </c>
    </row>
    <row r="692" spans="2:15" x14ac:dyDescent="0.4">
      <c r="B692" s="74"/>
      <c r="C692" s="60"/>
      <c r="D692" s="426" t="str">
        <f>IF(C692="","",VLOOKUP(C692,団体基本情報!$B$13:$D$22,3,FALSE))</f>
        <v/>
      </c>
      <c r="E692" s="427" t="str">
        <f t="shared" si="30"/>
        <v/>
      </c>
      <c r="F692" s="428" t="str">
        <f t="shared" si="31"/>
        <v/>
      </c>
      <c r="G692" s="129" t="str">
        <f>IF(H692="","",VLOOKUP(H692,プルダウン用リスト!$K$1:$M$15,2,FALSE))</f>
        <v/>
      </c>
      <c r="H692" s="76"/>
      <c r="I692" s="61"/>
      <c r="J692" s="76"/>
      <c r="K692" s="146"/>
      <c r="L692" s="77"/>
      <c r="M692" s="78"/>
      <c r="N692" s="71"/>
      <c r="O692" s="432" t="str">
        <f t="shared" si="32"/>
        <v/>
      </c>
    </row>
    <row r="693" spans="2:15" x14ac:dyDescent="0.4">
      <c r="B693" s="74"/>
      <c r="C693" s="60"/>
      <c r="D693" s="426" t="str">
        <f>IF(C693="","",VLOOKUP(C693,団体基本情報!$B$13:$D$22,3,FALSE))</f>
        <v/>
      </c>
      <c r="E693" s="427" t="str">
        <f t="shared" si="30"/>
        <v/>
      </c>
      <c r="F693" s="428" t="str">
        <f t="shared" si="31"/>
        <v/>
      </c>
      <c r="G693" s="129" t="str">
        <f>IF(H693="","",VLOOKUP(H693,プルダウン用リスト!$K$1:$M$15,2,FALSE))</f>
        <v/>
      </c>
      <c r="H693" s="76"/>
      <c r="I693" s="76"/>
      <c r="J693" s="76"/>
      <c r="K693" s="146"/>
      <c r="L693" s="77"/>
      <c r="M693" s="78"/>
      <c r="N693" s="71"/>
      <c r="O693" s="432" t="str">
        <f t="shared" si="32"/>
        <v/>
      </c>
    </row>
    <row r="694" spans="2:15" x14ac:dyDescent="0.4">
      <c r="B694" s="74"/>
      <c r="C694" s="60"/>
      <c r="D694" s="426" t="str">
        <f>IF(C694="","",VLOOKUP(C694,団体基本情報!$B$13:$D$22,3,FALSE))</f>
        <v/>
      </c>
      <c r="E694" s="427" t="str">
        <f t="shared" si="30"/>
        <v/>
      </c>
      <c r="F694" s="428" t="str">
        <f t="shared" si="31"/>
        <v/>
      </c>
      <c r="G694" s="129" t="str">
        <f>IF(H694="","",VLOOKUP(H694,プルダウン用リスト!$K$1:$M$15,2,FALSE))</f>
        <v/>
      </c>
      <c r="H694" s="76"/>
      <c r="I694" s="61"/>
      <c r="J694" s="76"/>
      <c r="K694" s="146"/>
      <c r="L694" s="77"/>
      <c r="M694" s="78"/>
      <c r="N694" s="71"/>
      <c r="O694" s="432" t="str">
        <f t="shared" si="32"/>
        <v/>
      </c>
    </row>
    <row r="695" spans="2:15" x14ac:dyDescent="0.4">
      <c r="B695" s="74"/>
      <c r="C695" s="60"/>
      <c r="D695" s="426" t="str">
        <f>IF(C695="","",VLOOKUP(C695,団体基本情報!$B$13:$D$22,3,FALSE))</f>
        <v/>
      </c>
      <c r="E695" s="427" t="str">
        <f t="shared" si="30"/>
        <v/>
      </c>
      <c r="F695" s="428" t="str">
        <f t="shared" si="31"/>
        <v/>
      </c>
      <c r="G695" s="129" t="str">
        <f>IF(H695="","",VLOOKUP(H695,プルダウン用リスト!$K$1:$M$15,2,FALSE))</f>
        <v/>
      </c>
      <c r="H695" s="76"/>
      <c r="I695" s="61"/>
      <c r="J695" s="76"/>
      <c r="K695" s="146"/>
      <c r="L695" s="77"/>
      <c r="M695" s="78"/>
      <c r="N695" s="71"/>
      <c r="O695" s="432" t="str">
        <f t="shared" si="32"/>
        <v/>
      </c>
    </row>
    <row r="696" spans="2:15" x14ac:dyDescent="0.4">
      <c r="B696" s="74"/>
      <c r="C696" s="60"/>
      <c r="D696" s="426" t="str">
        <f>IF(C696="","",VLOOKUP(C696,団体基本情報!$B$13:$D$22,3,FALSE))</f>
        <v/>
      </c>
      <c r="E696" s="427" t="str">
        <f t="shared" si="30"/>
        <v/>
      </c>
      <c r="F696" s="428" t="str">
        <f t="shared" si="31"/>
        <v/>
      </c>
      <c r="G696" s="129" t="str">
        <f>IF(H696="","",VLOOKUP(H696,プルダウン用リスト!$K$1:$M$15,2,FALSE))</f>
        <v/>
      </c>
      <c r="H696" s="76"/>
      <c r="I696" s="76"/>
      <c r="J696" s="76"/>
      <c r="K696" s="146"/>
      <c r="L696" s="77"/>
      <c r="M696" s="78"/>
      <c r="N696" s="71"/>
      <c r="O696" s="432" t="str">
        <f t="shared" si="32"/>
        <v/>
      </c>
    </row>
    <row r="697" spans="2:15" x14ac:dyDescent="0.4">
      <c r="B697" s="74"/>
      <c r="C697" s="60"/>
      <c r="D697" s="426" t="str">
        <f>IF(C697="","",VLOOKUP(C697,団体基本情報!$B$13:$D$22,3,FALSE))</f>
        <v/>
      </c>
      <c r="E697" s="427" t="str">
        <f t="shared" si="30"/>
        <v/>
      </c>
      <c r="F697" s="428" t="str">
        <f t="shared" si="31"/>
        <v/>
      </c>
      <c r="G697" s="129" t="str">
        <f>IF(H697="","",VLOOKUP(H697,プルダウン用リスト!$K$1:$M$15,2,FALSE))</f>
        <v/>
      </c>
      <c r="H697" s="76"/>
      <c r="I697" s="61"/>
      <c r="J697" s="76"/>
      <c r="K697" s="146"/>
      <c r="L697" s="77"/>
      <c r="M697" s="78"/>
      <c r="N697" s="71"/>
      <c r="O697" s="432" t="str">
        <f t="shared" si="32"/>
        <v/>
      </c>
    </row>
    <row r="698" spans="2:15" x14ac:dyDescent="0.4">
      <c r="B698" s="74"/>
      <c r="C698" s="60"/>
      <c r="D698" s="426" t="str">
        <f>IF(C698="","",VLOOKUP(C698,団体基本情報!$B$13:$D$22,3,FALSE))</f>
        <v/>
      </c>
      <c r="E698" s="427" t="str">
        <f t="shared" si="30"/>
        <v/>
      </c>
      <c r="F698" s="428" t="str">
        <f t="shared" si="31"/>
        <v/>
      </c>
      <c r="G698" s="129" t="str">
        <f>IF(H698="","",VLOOKUP(H698,プルダウン用リスト!$K$1:$M$15,2,FALSE))</f>
        <v/>
      </c>
      <c r="H698" s="76"/>
      <c r="I698" s="61"/>
      <c r="J698" s="76"/>
      <c r="K698" s="146"/>
      <c r="L698" s="77"/>
      <c r="M698" s="78"/>
      <c r="N698" s="71"/>
      <c r="O698" s="432" t="str">
        <f t="shared" si="32"/>
        <v/>
      </c>
    </row>
    <row r="699" spans="2:15" x14ac:dyDescent="0.4">
      <c r="B699" s="74"/>
      <c r="C699" s="60"/>
      <c r="D699" s="426" t="str">
        <f>IF(C699="","",VLOOKUP(C699,団体基本情報!$B$13:$D$22,3,FALSE))</f>
        <v/>
      </c>
      <c r="E699" s="427" t="str">
        <f t="shared" si="30"/>
        <v/>
      </c>
      <c r="F699" s="428" t="str">
        <f t="shared" si="31"/>
        <v/>
      </c>
      <c r="G699" s="129" t="str">
        <f>IF(H699="","",VLOOKUP(H699,プルダウン用リスト!$K$1:$M$15,2,FALSE))</f>
        <v/>
      </c>
      <c r="H699" s="76"/>
      <c r="I699" s="76"/>
      <c r="J699" s="76"/>
      <c r="K699" s="146"/>
      <c r="L699" s="77"/>
      <c r="M699" s="78"/>
      <c r="N699" s="71"/>
      <c r="O699" s="432" t="str">
        <f t="shared" si="32"/>
        <v/>
      </c>
    </row>
    <row r="700" spans="2:15" x14ac:dyDescent="0.4">
      <c r="B700" s="74"/>
      <c r="C700" s="60"/>
      <c r="D700" s="426" t="str">
        <f>IF(C700="","",VLOOKUP(C700,団体基本情報!$B$13:$D$22,3,FALSE))</f>
        <v/>
      </c>
      <c r="E700" s="427" t="str">
        <f t="shared" si="30"/>
        <v/>
      </c>
      <c r="F700" s="428" t="str">
        <f t="shared" si="31"/>
        <v/>
      </c>
      <c r="G700" s="129" t="str">
        <f>IF(H700="","",VLOOKUP(H700,プルダウン用リスト!$K$1:$M$15,2,FALSE))</f>
        <v/>
      </c>
      <c r="H700" s="76"/>
      <c r="I700" s="61"/>
      <c r="J700" s="76"/>
      <c r="K700" s="146"/>
      <c r="L700" s="77"/>
      <c r="M700" s="78"/>
      <c r="N700" s="71"/>
      <c r="O700" s="432" t="str">
        <f t="shared" si="32"/>
        <v/>
      </c>
    </row>
    <row r="701" spans="2:15" x14ac:dyDescent="0.4">
      <c r="B701" s="74"/>
      <c r="C701" s="60"/>
      <c r="D701" s="426" t="str">
        <f>IF(C701="","",VLOOKUP(C701,団体基本情報!$B$13:$D$22,3,FALSE))</f>
        <v/>
      </c>
      <c r="E701" s="427" t="str">
        <f t="shared" si="30"/>
        <v/>
      </c>
      <c r="F701" s="428" t="str">
        <f t="shared" si="31"/>
        <v/>
      </c>
      <c r="G701" s="129" t="str">
        <f>IF(H701="","",VLOOKUP(H701,プルダウン用リスト!$K$1:$M$15,2,FALSE))</f>
        <v/>
      </c>
      <c r="H701" s="76"/>
      <c r="I701" s="61"/>
      <c r="J701" s="76"/>
      <c r="K701" s="146"/>
      <c r="L701" s="77"/>
      <c r="M701" s="78"/>
      <c r="N701" s="71"/>
      <c r="O701" s="432" t="str">
        <f t="shared" si="32"/>
        <v/>
      </c>
    </row>
    <row r="702" spans="2:15" x14ac:dyDescent="0.4">
      <c r="B702" s="74"/>
      <c r="C702" s="75"/>
      <c r="D702" s="426" t="str">
        <f>IF(C702="","",VLOOKUP(C702,団体基本情報!$B$13:$D$22,3,FALSE))</f>
        <v/>
      </c>
      <c r="E702" s="427" t="str">
        <f t="shared" si="30"/>
        <v/>
      </c>
      <c r="F702" s="428" t="str">
        <f t="shared" si="31"/>
        <v/>
      </c>
      <c r="G702" s="129" t="str">
        <f>IF(H702="","",VLOOKUP(H702,プルダウン用リスト!$K$1:$M$15,2,FALSE))</f>
        <v/>
      </c>
      <c r="H702" s="76"/>
      <c r="I702" s="76"/>
      <c r="J702" s="76"/>
      <c r="K702" s="146"/>
      <c r="L702" s="77"/>
      <c r="M702" s="78"/>
      <c r="N702" s="71"/>
      <c r="O702" s="432" t="str">
        <f t="shared" si="32"/>
        <v/>
      </c>
    </row>
    <row r="703" spans="2:15" x14ac:dyDescent="0.4">
      <c r="B703" s="74"/>
      <c r="C703" s="60"/>
      <c r="D703" s="426" t="str">
        <f>IF(C703="","",VLOOKUP(C703,団体基本情報!$B$13:$D$22,3,FALSE))</f>
        <v/>
      </c>
      <c r="E703" s="427" t="str">
        <f t="shared" si="30"/>
        <v/>
      </c>
      <c r="F703" s="428" t="str">
        <f t="shared" si="31"/>
        <v/>
      </c>
      <c r="G703" s="129" t="str">
        <f>IF(H703="","",VLOOKUP(H703,プルダウン用リスト!$K$1:$M$15,2,FALSE))</f>
        <v/>
      </c>
      <c r="H703" s="76"/>
      <c r="I703" s="61"/>
      <c r="J703" s="76"/>
      <c r="K703" s="146"/>
      <c r="L703" s="77"/>
      <c r="M703" s="78"/>
      <c r="N703" s="71"/>
      <c r="O703" s="432" t="str">
        <f t="shared" si="32"/>
        <v/>
      </c>
    </row>
    <row r="704" spans="2:15" x14ac:dyDescent="0.4">
      <c r="B704" s="74"/>
      <c r="C704" s="60"/>
      <c r="D704" s="426" t="str">
        <f>IF(C704="","",VLOOKUP(C704,団体基本情報!$B$13:$D$22,3,FALSE))</f>
        <v/>
      </c>
      <c r="E704" s="427" t="str">
        <f t="shared" si="30"/>
        <v/>
      </c>
      <c r="F704" s="428" t="str">
        <f t="shared" si="31"/>
        <v/>
      </c>
      <c r="G704" s="129" t="str">
        <f>IF(H704="","",VLOOKUP(H704,プルダウン用リスト!$K$1:$M$15,2,FALSE))</f>
        <v/>
      </c>
      <c r="H704" s="76"/>
      <c r="I704" s="61"/>
      <c r="J704" s="76"/>
      <c r="K704" s="146"/>
      <c r="L704" s="77"/>
      <c r="M704" s="78"/>
      <c r="N704" s="71"/>
      <c r="O704" s="432" t="str">
        <f t="shared" si="32"/>
        <v/>
      </c>
    </row>
    <row r="705" spans="2:15" x14ac:dyDescent="0.4">
      <c r="B705" s="74"/>
      <c r="C705" s="60"/>
      <c r="D705" s="426" t="str">
        <f>IF(C705="","",VLOOKUP(C705,団体基本情報!$B$13:$D$22,3,FALSE))</f>
        <v/>
      </c>
      <c r="E705" s="427" t="str">
        <f t="shared" si="30"/>
        <v/>
      </c>
      <c r="F705" s="428" t="str">
        <f t="shared" si="31"/>
        <v/>
      </c>
      <c r="G705" s="129" t="str">
        <f>IF(H705="","",VLOOKUP(H705,プルダウン用リスト!$K$1:$M$15,2,FALSE))</f>
        <v/>
      </c>
      <c r="H705" s="76"/>
      <c r="I705" s="76"/>
      <c r="J705" s="76"/>
      <c r="K705" s="146"/>
      <c r="L705" s="77"/>
      <c r="M705" s="78"/>
      <c r="N705" s="71"/>
      <c r="O705" s="432" t="str">
        <f t="shared" si="32"/>
        <v/>
      </c>
    </row>
    <row r="706" spans="2:15" x14ac:dyDescent="0.4">
      <c r="B706" s="74"/>
      <c r="C706" s="60"/>
      <c r="D706" s="426" t="str">
        <f>IF(C706="","",VLOOKUP(C706,団体基本情報!$B$13:$D$22,3,FALSE))</f>
        <v/>
      </c>
      <c r="E706" s="427" t="str">
        <f t="shared" si="30"/>
        <v/>
      </c>
      <c r="F706" s="428" t="str">
        <f t="shared" si="31"/>
        <v/>
      </c>
      <c r="G706" s="129" t="str">
        <f>IF(H706="","",VLOOKUP(H706,プルダウン用リスト!$K$1:$M$15,2,FALSE))</f>
        <v/>
      </c>
      <c r="H706" s="76"/>
      <c r="I706" s="61"/>
      <c r="J706" s="76"/>
      <c r="K706" s="146"/>
      <c r="L706" s="77"/>
      <c r="M706" s="78"/>
      <c r="N706" s="71"/>
      <c r="O706" s="432" t="str">
        <f t="shared" si="32"/>
        <v/>
      </c>
    </row>
    <row r="707" spans="2:15" x14ac:dyDescent="0.4">
      <c r="B707" s="74"/>
      <c r="C707" s="60"/>
      <c r="D707" s="426" t="str">
        <f>IF(C707="","",VLOOKUP(C707,団体基本情報!$B$13:$D$22,3,FALSE))</f>
        <v/>
      </c>
      <c r="E707" s="427" t="str">
        <f t="shared" si="30"/>
        <v/>
      </c>
      <c r="F707" s="428" t="str">
        <f t="shared" si="31"/>
        <v/>
      </c>
      <c r="G707" s="129" t="str">
        <f>IF(H707="","",VLOOKUP(H707,プルダウン用リスト!$K$1:$M$15,2,FALSE))</f>
        <v/>
      </c>
      <c r="H707" s="76"/>
      <c r="I707" s="61"/>
      <c r="J707" s="76"/>
      <c r="K707" s="146"/>
      <c r="L707" s="77"/>
      <c r="M707" s="78"/>
      <c r="N707" s="71"/>
      <c r="O707" s="432" t="str">
        <f t="shared" si="32"/>
        <v/>
      </c>
    </row>
    <row r="708" spans="2:15" x14ac:dyDescent="0.4">
      <c r="B708" s="74"/>
      <c r="C708" s="60"/>
      <c r="D708" s="426" t="str">
        <f>IF(C708="","",VLOOKUP(C708,団体基本情報!$B$13:$D$22,3,FALSE))</f>
        <v/>
      </c>
      <c r="E708" s="427" t="str">
        <f t="shared" si="30"/>
        <v/>
      </c>
      <c r="F708" s="428" t="str">
        <f t="shared" si="31"/>
        <v/>
      </c>
      <c r="G708" s="129" t="str">
        <f>IF(H708="","",VLOOKUP(H708,プルダウン用リスト!$K$1:$M$15,2,FALSE))</f>
        <v/>
      </c>
      <c r="H708" s="76"/>
      <c r="I708" s="76"/>
      <c r="J708" s="76"/>
      <c r="K708" s="146"/>
      <c r="L708" s="77"/>
      <c r="M708" s="78"/>
      <c r="N708" s="71"/>
      <c r="O708" s="432" t="str">
        <f t="shared" si="32"/>
        <v/>
      </c>
    </row>
    <row r="709" spans="2:15" x14ac:dyDescent="0.4">
      <c r="B709" s="74"/>
      <c r="C709" s="60"/>
      <c r="D709" s="426" t="str">
        <f>IF(C709="","",VLOOKUP(C709,団体基本情報!$B$13:$D$22,3,FALSE))</f>
        <v/>
      </c>
      <c r="E709" s="427" t="str">
        <f t="shared" si="30"/>
        <v/>
      </c>
      <c r="F709" s="428" t="str">
        <f t="shared" si="31"/>
        <v/>
      </c>
      <c r="G709" s="129" t="str">
        <f>IF(H709="","",VLOOKUP(H709,プルダウン用リスト!$K$1:$M$15,2,FALSE))</f>
        <v/>
      </c>
      <c r="H709" s="76"/>
      <c r="I709" s="61"/>
      <c r="J709" s="76"/>
      <c r="K709" s="146"/>
      <c r="L709" s="77"/>
      <c r="M709" s="78"/>
      <c r="N709" s="71"/>
      <c r="O709" s="432" t="str">
        <f t="shared" si="32"/>
        <v/>
      </c>
    </row>
    <row r="710" spans="2:15" x14ac:dyDescent="0.4">
      <c r="B710" s="74"/>
      <c r="C710" s="60"/>
      <c r="D710" s="426" t="str">
        <f>IF(C710="","",VLOOKUP(C710,団体基本情報!$B$13:$D$22,3,FALSE))</f>
        <v/>
      </c>
      <c r="E710" s="427" t="str">
        <f t="shared" si="30"/>
        <v/>
      </c>
      <c r="F710" s="428" t="str">
        <f t="shared" si="31"/>
        <v/>
      </c>
      <c r="G710" s="129" t="str">
        <f>IF(H710="","",VLOOKUP(H710,プルダウン用リスト!$K$1:$M$15,2,FALSE))</f>
        <v/>
      </c>
      <c r="H710" s="76"/>
      <c r="I710" s="61"/>
      <c r="J710" s="76"/>
      <c r="K710" s="146"/>
      <c r="L710" s="77"/>
      <c r="M710" s="78"/>
      <c r="N710" s="71"/>
      <c r="O710" s="432" t="str">
        <f t="shared" si="32"/>
        <v/>
      </c>
    </row>
    <row r="711" spans="2:15" x14ac:dyDescent="0.4">
      <c r="B711" s="74"/>
      <c r="C711" s="60"/>
      <c r="D711" s="426" t="str">
        <f>IF(C711="","",VLOOKUP(C711,団体基本情報!$B$13:$D$22,3,FALSE))</f>
        <v/>
      </c>
      <c r="E711" s="427" t="str">
        <f t="shared" ref="E711:E774" si="33">IF(F711="","",IF(F711="謝金","01.",IF(F711="旅費","02.",IF(F711="その他","04.","03."))))</f>
        <v/>
      </c>
      <c r="F711" s="428" t="str">
        <f t="shared" ref="F711:F774" si="34">IF(H711="","",IF(H711="謝金","謝金",IF(H711="旅費","旅費",IF(H711="対象外経費","その他","所費"))))</f>
        <v/>
      </c>
      <c r="G711" s="129" t="str">
        <f>IF(H711="","",VLOOKUP(H711,プルダウン用リスト!$K$1:$M$15,2,FALSE))</f>
        <v/>
      </c>
      <c r="H711" s="76"/>
      <c r="I711" s="76"/>
      <c r="J711" s="76"/>
      <c r="K711" s="146"/>
      <c r="L711" s="77"/>
      <c r="M711" s="78"/>
      <c r="N711" s="71"/>
      <c r="O711" s="432" t="str">
        <f t="shared" ref="O711:O774" si="35">IF(H711="対象外経費",M711,IF(N711="","",M711-N711))</f>
        <v/>
      </c>
    </row>
    <row r="712" spans="2:15" x14ac:dyDescent="0.4">
      <c r="B712" s="74"/>
      <c r="C712" s="60"/>
      <c r="D712" s="426" t="str">
        <f>IF(C712="","",VLOOKUP(C712,団体基本情報!$B$13:$D$22,3,FALSE))</f>
        <v/>
      </c>
      <c r="E712" s="427" t="str">
        <f t="shared" si="33"/>
        <v/>
      </c>
      <c r="F712" s="428" t="str">
        <f t="shared" si="34"/>
        <v/>
      </c>
      <c r="G712" s="129" t="str">
        <f>IF(H712="","",VLOOKUP(H712,プルダウン用リスト!$K$1:$M$15,2,FALSE))</f>
        <v/>
      </c>
      <c r="H712" s="76"/>
      <c r="I712" s="61"/>
      <c r="J712" s="76"/>
      <c r="K712" s="146"/>
      <c r="L712" s="77"/>
      <c r="M712" s="78"/>
      <c r="N712" s="71"/>
      <c r="O712" s="432" t="str">
        <f t="shared" si="35"/>
        <v/>
      </c>
    </row>
    <row r="713" spans="2:15" x14ac:dyDescent="0.4">
      <c r="B713" s="74"/>
      <c r="C713" s="60"/>
      <c r="D713" s="426" t="str">
        <f>IF(C713="","",VLOOKUP(C713,団体基本情報!$B$13:$D$22,3,FALSE))</f>
        <v/>
      </c>
      <c r="E713" s="427" t="str">
        <f t="shared" si="33"/>
        <v/>
      </c>
      <c r="F713" s="428" t="str">
        <f t="shared" si="34"/>
        <v/>
      </c>
      <c r="G713" s="129" t="str">
        <f>IF(H713="","",VLOOKUP(H713,プルダウン用リスト!$K$1:$M$15,2,FALSE))</f>
        <v/>
      </c>
      <c r="H713" s="76"/>
      <c r="I713" s="61"/>
      <c r="J713" s="76"/>
      <c r="K713" s="146"/>
      <c r="L713" s="77"/>
      <c r="M713" s="78"/>
      <c r="N713" s="71"/>
      <c r="O713" s="432" t="str">
        <f t="shared" si="35"/>
        <v/>
      </c>
    </row>
    <row r="714" spans="2:15" x14ac:dyDescent="0.4">
      <c r="B714" s="74"/>
      <c r="C714" s="75"/>
      <c r="D714" s="426" t="str">
        <f>IF(C714="","",VLOOKUP(C714,団体基本情報!$B$13:$D$22,3,FALSE))</f>
        <v/>
      </c>
      <c r="E714" s="427" t="str">
        <f t="shared" si="33"/>
        <v/>
      </c>
      <c r="F714" s="428" t="str">
        <f t="shared" si="34"/>
        <v/>
      </c>
      <c r="G714" s="129" t="str">
        <f>IF(H714="","",VLOOKUP(H714,プルダウン用リスト!$K$1:$M$15,2,FALSE))</f>
        <v/>
      </c>
      <c r="H714" s="76"/>
      <c r="I714" s="76"/>
      <c r="J714" s="76"/>
      <c r="K714" s="146"/>
      <c r="L714" s="77"/>
      <c r="M714" s="78"/>
      <c r="N714" s="71"/>
      <c r="O714" s="432" t="str">
        <f t="shared" si="35"/>
        <v/>
      </c>
    </row>
    <row r="715" spans="2:15" x14ac:dyDescent="0.4">
      <c r="B715" s="74"/>
      <c r="C715" s="60"/>
      <c r="D715" s="426" t="str">
        <f>IF(C715="","",VLOOKUP(C715,団体基本情報!$B$13:$D$22,3,FALSE))</f>
        <v/>
      </c>
      <c r="E715" s="427" t="str">
        <f t="shared" si="33"/>
        <v/>
      </c>
      <c r="F715" s="428" t="str">
        <f t="shared" si="34"/>
        <v/>
      </c>
      <c r="G715" s="129" t="str">
        <f>IF(H715="","",VLOOKUP(H715,プルダウン用リスト!$K$1:$M$15,2,FALSE))</f>
        <v/>
      </c>
      <c r="H715" s="76"/>
      <c r="I715" s="61"/>
      <c r="J715" s="76"/>
      <c r="K715" s="146"/>
      <c r="L715" s="77"/>
      <c r="M715" s="78"/>
      <c r="N715" s="71"/>
      <c r="O715" s="432" t="str">
        <f t="shared" si="35"/>
        <v/>
      </c>
    </row>
    <row r="716" spans="2:15" x14ac:dyDescent="0.4">
      <c r="B716" s="74"/>
      <c r="C716" s="60"/>
      <c r="D716" s="426" t="str">
        <f>IF(C716="","",VLOOKUP(C716,団体基本情報!$B$13:$D$22,3,FALSE))</f>
        <v/>
      </c>
      <c r="E716" s="427" t="str">
        <f t="shared" si="33"/>
        <v/>
      </c>
      <c r="F716" s="428" t="str">
        <f t="shared" si="34"/>
        <v/>
      </c>
      <c r="G716" s="129" t="str">
        <f>IF(H716="","",VLOOKUP(H716,プルダウン用リスト!$K$1:$M$15,2,FALSE))</f>
        <v/>
      </c>
      <c r="H716" s="76"/>
      <c r="I716" s="61"/>
      <c r="J716" s="76"/>
      <c r="K716" s="146"/>
      <c r="L716" s="77"/>
      <c r="M716" s="78"/>
      <c r="N716" s="71"/>
      <c r="O716" s="432" t="str">
        <f t="shared" si="35"/>
        <v/>
      </c>
    </row>
    <row r="717" spans="2:15" x14ac:dyDescent="0.4">
      <c r="B717" s="74"/>
      <c r="C717" s="60"/>
      <c r="D717" s="426" t="str">
        <f>IF(C717="","",VLOOKUP(C717,団体基本情報!$B$13:$D$22,3,FALSE))</f>
        <v/>
      </c>
      <c r="E717" s="427" t="str">
        <f t="shared" si="33"/>
        <v/>
      </c>
      <c r="F717" s="428" t="str">
        <f t="shared" si="34"/>
        <v/>
      </c>
      <c r="G717" s="129" t="str">
        <f>IF(H717="","",VLOOKUP(H717,プルダウン用リスト!$K$1:$M$15,2,FALSE))</f>
        <v/>
      </c>
      <c r="H717" s="76"/>
      <c r="I717" s="76"/>
      <c r="J717" s="76"/>
      <c r="K717" s="146"/>
      <c r="L717" s="77"/>
      <c r="M717" s="78"/>
      <c r="N717" s="71"/>
      <c r="O717" s="432" t="str">
        <f t="shared" si="35"/>
        <v/>
      </c>
    </row>
    <row r="718" spans="2:15" x14ac:dyDescent="0.4">
      <c r="B718" s="74"/>
      <c r="C718" s="60"/>
      <c r="D718" s="426" t="str">
        <f>IF(C718="","",VLOOKUP(C718,団体基本情報!$B$13:$D$22,3,FALSE))</f>
        <v/>
      </c>
      <c r="E718" s="427" t="str">
        <f t="shared" si="33"/>
        <v/>
      </c>
      <c r="F718" s="428" t="str">
        <f t="shared" si="34"/>
        <v/>
      </c>
      <c r="G718" s="129" t="str">
        <f>IF(H718="","",VLOOKUP(H718,プルダウン用リスト!$K$1:$M$15,2,FALSE))</f>
        <v/>
      </c>
      <c r="H718" s="76"/>
      <c r="I718" s="61"/>
      <c r="J718" s="76"/>
      <c r="K718" s="146"/>
      <c r="L718" s="77"/>
      <c r="M718" s="78"/>
      <c r="N718" s="71"/>
      <c r="O718" s="432" t="str">
        <f t="shared" si="35"/>
        <v/>
      </c>
    </row>
    <row r="719" spans="2:15" x14ac:dyDescent="0.4">
      <c r="B719" s="74"/>
      <c r="C719" s="60"/>
      <c r="D719" s="426" t="str">
        <f>IF(C719="","",VLOOKUP(C719,団体基本情報!$B$13:$D$22,3,FALSE))</f>
        <v/>
      </c>
      <c r="E719" s="427" t="str">
        <f t="shared" si="33"/>
        <v/>
      </c>
      <c r="F719" s="428" t="str">
        <f t="shared" si="34"/>
        <v/>
      </c>
      <c r="G719" s="129" t="str">
        <f>IF(H719="","",VLOOKUP(H719,プルダウン用リスト!$K$1:$M$15,2,FALSE))</f>
        <v/>
      </c>
      <c r="H719" s="76"/>
      <c r="I719" s="61"/>
      <c r="J719" s="76"/>
      <c r="K719" s="146"/>
      <c r="L719" s="77"/>
      <c r="M719" s="78"/>
      <c r="N719" s="71"/>
      <c r="O719" s="432" t="str">
        <f t="shared" si="35"/>
        <v/>
      </c>
    </row>
    <row r="720" spans="2:15" x14ac:dyDescent="0.4">
      <c r="B720" s="74"/>
      <c r="C720" s="60"/>
      <c r="D720" s="426" t="str">
        <f>IF(C720="","",VLOOKUP(C720,団体基本情報!$B$13:$D$22,3,FALSE))</f>
        <v/>
      </c>
      <c r="E720" s="427" t="str">
        <f t="shared" si="33"/>
        <v/>
      </c>
      <c r="F720" s="428" t="str">
        <f t="shared" si="34"/>
        <v/>
      </c>
      <c r="G720" s="129" t="str">
        <f>IF(H720="","",VLOOKUP(H720,プルダウン用リスト!$K$1:$M$15,2,FALSE))</f>
        <v/>
      </c>
      <c r="H720" s="76"/>
      <c r="I720" s="76"/>
      <c r="J720" s="76"/>
      <c r="K720" s="146"/>
      <c r="L720" s="77"/>
      <c r="M720" s="78"/>
      <c r="N720" s="71"/>
      <c r="O720" s="432" t="str">
        <f t="shared" si="35"/>
        <v/>
      </c>
    </row>
    <row r="721" spans="2:15" x14ac:dyDescent="0.4">
      <c r="B721" s="74"/>
      <c r="C721" s="60"/>
      <c r="D721" s="426" t="str">
        <f>IF(C721="","",VLOOKUP(C721,団体基本情報!$B$13:$D$22,3,FALSE))</f>
        <v/>
      </c>
      <c r="E721" s="427" t="str">
        <f t="shared" si="33"/>
        <v/>
      </c>
      <c r="F721" s="428" t="str">
        <f t="shared" si="34"/>
        <v/>
      </c>
      <c r="G721" s="129" t="str">
        <f>IF(H721="","",VLOOKUP(H721,プルダウン用リスト!$K$1:$M$15,2,FALSE))</f>
        <v/>
      </c>
      <c r="H721" s="76"/>
      <c r="I721" s="61"/>
      <c r="J721" s="76"/>
      <c r="K721" s="146"/>
      <c r="L721" s="77"/>
      <c r="M721" s="78"/>
      <c r="N721" s="71"/>
      <c r="O721" s="432" t="str">
        <f t="shared" si="35"/>
        <v/>
      </c>
    </row>
    <row r="722" spans="2:15" x14ac:dyDescent="0.4">
      <c r="B722" s="74"/>
      <c r="C722" s="60"/>
      <c r="D722" s="426" t="str">
        <f>IF(C722="","",VLOOKUP(C722,団体基本情報!$B$13:$D$22,3,FALSE))</f>
        <v/>
      </c>
      <c r="E722" s="427" t="str">
        <f t="shared" si="33"/>
        <v/>
      </c>
      <c r="F722" s="428" t="str">
        <f t="shared" si="34"/>
        <v/>
      </c>
      <c r="G722" s="129" t="str">
        <f>IF(H722="","",VLOOKUP(H722,プルダウン用リスト!$K$1:$M$15,2,FALSE))</f>
        <v/>
      </c>
      <c r="H722" s="76"/>
      <c r="I722" s="61"/>
      <c r="J722" s="76"/>
      <c r="K722" s="146"/>
      <c r="L722" s="77"/>
      <c r="M722" s="78"/>
      <c r="N722" s="71"/>
      <c r="O722" s="432" t="str">
        <f t="shared" si="35"/>
        <v/>
      </c>
    </row>
    <row r="723" spans="2:15" x14ac:dyDescent="0.4">
      <c r="B723" s="74"/>
      <c r="C723" s="60"/>
      <c r="D723" s="426" t="str">
        <f>IF(C723="","",VLOOKUP(C723,団体基本情報!$B$13:$D$22,3,FALSE))</f>
        <v/>
      </c>
      <c r="E723" s="427" t="str">
        <f t="shared" si="33"/>
        <v/>
      </c>
      <c r="F723" s="428" t="str">
        <f t="shared" si="34"/>
        <v/>
      </c>
      <c r="G723" s="129" t="str">
        <f>IF(H723="","",VLOOKUP(H723,プルダウン用リスト!$K$1:$M$15,2,FALSE))</f>
        <v/>
      </c>
      <c r="H723" s="76"/>
      <c r="I723" s="76"/>
      <c r="J723" s="76"/>
      <c r="K723" s="146"/>
      <c r="L723" s="77"/>
      <c r="M723" s="78"/>
      <c r="N723" s="71"/>
      <c r="O723" s="432" t="str">
        <f t="shared" si="35"/>
        <v/>
      </c>
    </row>
    <row r="724" spans="2:15" x14ac:dyDescent="0.4">
      <c r="B724" s="74"/>
      <c r="C724" s="60"/>
      <c r="D724" s="426" t="str">
        <f>IF(C724="","",VLOOKUP(C724,団体基本情報!$B$13:$D$22,3,FALSE))</f>
        <v/>
      </c>
      <c r="E724" s="427" t="str">
        <f t="shared" si="33"/>
        <v/>
      </c>
      <c r="F724" s="428" t="str">
        <f t="shared" si="34"/>
        <v/>
      </c>
      <c r="G724" s="129" t="str">
        <f>IF(H724="","",VLOOKUP(H724,プルダウン用リスト!$K$1:$M$15,2,FALSE))</f>
        <v/>
      </c>
      <c r="H724" s="76"/>
      <c r="I724" s="61"/>
      <c r="J724" s="76"/>
      <c r="K724" s="146"/>
      <c r="L724" s="77"/>
      <c r="M724" s="78"/>
      <c r="N724" s="71"/>
      <c r="O724" s="432" t="str">
        <f t="shared" si="35"/>
        <v/>
      </c>
    </row>
    <row r="725" spans="2:15" x14ac:dyDescent="0.4">
      <c r="B725" s="74"/>
      <c r="C725" s="60"/>
      <c r="D725" s="426" t="str">
        <f>IF(C725="","",VLOOKUP(C725,団体基本情報!$B$13:$D$22,3,FALSE))</f>
        <v/>
      </c>
      <c r="E725" s="427" t="str">
        <f t="shared" si="33"/>
        <v/>
      </c>
      <c r="F725" s="428" t="str">
        <f t="shared" si="34"/>
        <v/>
      </c>
      <c r="G725" s="129" t="str">
        <f>IF(H725="","",VLOOKUP(H725,プルダウン用リスト!$K$1:$M$15,2,FALSE))</f>
        <v/>
      </c>
      <c r="H725" s="76"/>
      <c r="I725" s="61"/>
      <c r="J725" s="76"/>
      <c r="K725" s="146"/>
      <c r="L725" s="77"/>
      <c r="M725" s="78"/>
      <c r="N725" s="71"/>
      <c r="O725" s="432" t="str">
        <f t="shared" si="35"/>
        <v/>
      </c>
    </row>
    <row r="726" spans="2:15" x14ac:dyDescent="0.4">
      <c r="B726" s="74"/>
      <c r="C726" s="75"/>
      <c r="D726" s="426" t="str">
        <f>IF(C726="","",VLOOKUP(C726,団体基本情報!$B$13:$D$22,3,FALSE))</f>
        <v/>
      </c>
      <c r="E726" s="427" t="str">
        <f t="shared" si="33"/>
        <v/>
      </c>
      <c r="F726" s="428" t="str">
        <f t="shared" si="34"/>
        <v/>
      </c>
      <c r="G726" s="129" t="str">
        <f>IF(H726="","",VLOOKUP(H726,プルダウン用リスト!$K$1:$M$15,2,FALSE))</f>
        <v/>
      </c>
      <c r="H726" s="76"/>
      <c r="I726" s="76"/>
      <c r="J726" s="76"/>
      <c r="K726" s="146"/>
      <c r="L726" s="77"/>
      <c r="M726" s="78"/>
      <c r="N726" s="71"/>
      <c r="O726" s="432" t="str">
        <f t="shared" si="35"/>
        <v/>
      </c>
    </row>
    <row r="727" spans="2:15" x14ac:dyDescent="0.4">
      <c r="B727" s="74"/>
      <c r="C727" s="60"/>
      <c r="D727" s="426" t="str">
        <f>IF(C727="","",VLOOKUP(C727,団体基本情報!$B$13:$D$22,3,FALSE))</f>
        <v/>
      </c>
      <c r="E727" s="427" t="str">
        <f t="shared" si="33"/>
        <v/>
      </c>
      <c r="F727" s="428" t="str">
        <f t="shared" si="34"/>
        <v/>
      </c>
      <c r="G727" s="129" t="str">
        <f>IF(H727="","",VLOOKUP(H727,プルダウン用リスト!$K$1:$M$15,2,FALSE))</f>
        <v/>
      </c>
      <c r="H727" s="76"/>
      <c r="I727" s="61"/>
      <c r="J727" s="76"/>
      <c r="K727" s="146"/>
      <c r="L727" s="77"/>
      <c r="M727" s="78"/>
      <c r="N727" s="71"/>
      <c r="O727" s="432" t="str">
        <f t="shared" si="35"/>
        <v/>
      </c>
    </row>
    <row r="728" spans="2:15" x14ac:dyDescent="0.4">
      <c r="B728" s="74"/>
      <c r="C728" s="60"/>
      <c r="D728" s="426" t="str">
        <f>IF(C728="","",VLOOKUP(C728,団体基本情報!$B$13:$D$22,3,FALSE))</f>
        <v/>
      </c>
      <c r="E728" s="427" t="str">
        <f t="shared" si="33"/>
        <v/>
      </c>
      <c r="F728" s="428" t="str">
        <f t="shared" si="34"/>
        <v/>
      </c>
      <c r="G728" s="129" t="str">
        <f>IF(H728="","",VLOOKUP(H728,プルダウン用リスト!$K$1:$M$15,2,FALSE))</f>
        <v/>
      </c>
      <c r="H728" s="76"/>
      <c r="I728" s="61"/>
      <c r="J728" s="76"/>
      <c r="K728" s="146"/>
      <c r="L728" s="77"/>
      <c r="M728" s="78"/>
      <c r="N728" s="71"/>
      <c r="O728" s="432" t="str">
        <f t="shared" si="35"/>
        <v/>
      </c>
    </row>
    <row r="729" spans="2:15" x14ac:dyDescent="0.4">
      <c r="B729" s="74"/>
      <c r="C729" s="60"/>
      <c r="D729" s="426" t="str">
        <f>IF(C729="","",VLOOKUP(C729,団体基本情報!$B$13:$D$22,3,FALSE))</f>
        <v/>
      </c>
      <c r="E729" s="427" t="str">
        <f t="shared" si="33"/>
        <v/>
      </c>
      <c r="F729" s="428" t="str">
        <f t="shared" si="34"/>
        <v/>
      </c>
      <c r="G729" s="129" t="str">
        <f>IF(H729="","",VLOOKUP(H729,プルダウン用リスト!$K$1:$M$15,2,FALSE))</f>
        <v/>
      </c>
      <c r="H729" s="76"/>
      <c r="I729" s="76"/>
      <c r="J729" s="76"/>
      <c r="K729" s="146"/>
      <c r="L729" s="77"/>
      <c r="M729" s="78"/>
      <c r="N729" s="71"/>
      <c r="O729" s="432" t="str">
        <f t="shared" si="35"/>
        <v/>
      </c>
    </row>
    <row r="730" spans="2:15" x14ac:dyDescent="0.4">
      <c r="B730" s="74"/>
      <c r="C730" s="60"/>
      <c r="D730" s="426" t="str">
        <f>IF(C730="","",VLOOKUP(C730,団体基本情報!$B$13:$D$22,3,FALSE))</f>
        <v/>
      </c>
      <c r="E730" s="427" t="str">
        <f t="shared" si="33"/>
        <v/>
      </c>
      <c r="F730" s="428" t="str">
        <f t="shared" si="34"/>
        <v/>
      </c>
      <c r="G730" s="129" t="str">
        <f>IF(H730="","",VLOOKUP(H730,プルダウン用リスト!$K$1:$M$15,2,FALSE))</f>
        <v/>
      </c>
      <c r="H730" s="76"/>
      <c r="I730" s="61"/>
      <c r="J730" s="76"/>
      <c r="K730" s="146"/>
      <c r="L730" s="77"/>
      <c r="M730" s="78"/>
      <c r="N730" s="71"/>
      <c r="O730" s="432" t="str">
        <f t="shared" si="35"/>
        <v/>
      </c>
    </row>
    <row r="731" spans="2:15" x14ac:dyDescent="0.4">
      <c r="B731" s="74"/>
      <c r="C731" s="60"/>
      <c r="D731" s="426" t="str">
        <f>IF(C731="","",VLOOKUP(C731,団体基本情報!$B$13:$D$22,3,FALSE))</f>
        <v/>
      </c>
      <c r="E731" s="427" t="str">
        <f t="shared" si="33"/>
        <v/>
      </c>
      <c r="F731" s="428" t="str">
        <f t="shared" si="34"/>
        <v/>
      </c>
      <c r="G731" s="129" t="str">
        <f>IF(H731="","",VLOOKUP(H731,プルダウン用リスト!$K$1:$M$15,2,FALSE))</f>
        <v/>
      </c>
      <c r="H731" s="76"/>
      <c r="I731" s="61"/>
      <c r="J731" s="76"/>
      <c r="K731" s="146"/>
      <c r="L731" s="77"/>
      <c r="M731" s="78"/>
      <c r="N731" s="71"/>
      <c r="O731" s="432" t="str">
        <f t="shared" si="35"/>
        <v/>
      </c>
    </row>
    <row r="732" spans="2:15" x14ac:dyDescent="0.4">
      <c r="B732" s="74"/>
      <c r="C732" s="60"/>
      <c r="D732" s="426" t="str">
        <f>IF(C732="","",VLOOKUP(C732,団体基本情報!$B$13:$D$22,3,FALSE))</f>
        <v/>
      </c>
      <c r="E732" s="427" t="str">
        <f t="shared" si="33"/>
        <v/>
      </c>
      <c r="F732" s="428" t="str">
        <f t="shared" si="34"/>
        <v/>
      </c>
      <c r="G732" s="129" t="str">
        <f>IF(H732="","",VLOOKUP(H732,プルダウン用リスト!$K$1:$M$15,2,FALSE))</f>
        <v/>
      </c>
      <c r="H732" s="76"/>
      <c r="I732" s="76"/>
      <c r="J732" s="76"/>
      <c r="K732" s="146"/>
      <c r="L732" s="77"/>
      <c r="M732" s="78"/>
      <c r="N732" s="71"/>
      <c r="O732" s="432" t="str">
        <f t="shared" si="35"/>
        <v/>
      </c>
    </row>
    <row r="733" spans="2:15" x14ac:dyDescent="0.4">
      <c r="B733" s="74"/>
      <c r="C733" s="60"/>
      <c r="D733" s="426" t="str">
        <f>IF(C733="","",VLOOKUP(C733,団体基本情報!$B$13:$D$22,3,FALSE))</f>
        <v/>
      </c>
      <c r="E733" s="427" t="str">
        <f t="shared" si="33"/>
        <v/>
      </c>
      <c r="F733" s="428" t="str">
        <f t="shared" si="34"/>
        <v/>
      </c>
      <c r="G733" s="129" t="str">
        <f>IF(H733="","",VLOOKUP(H733,プルダウン用リスト!$K$1:$M$15,2,FALSE))</f>
        <v/>
      </c>
      <c r="H733" s="76"/>
      <c r="I733" s="61"/>
      <c r="J733" s="76"/>
      <c r="K733" s="146"/>
      <c r="L733" s="77"/>
      <c r="M733" s="78"/>
      <c r="N733" s="71"/>
      <c r="O733" s="432" t="str">
        <f t="shared" si="35"/>
        <v/>
      </c>
    </row>
    <row r="734" spans="2:15" x14ac:dyDescent="0.4">
      <c r="B734" s="74"/>
      <c r="C734" s="60"/>
      <c r="D734" s="426" t="str">
        <f>IF(C734="","",VLOOKUP(C734,団体基本情報!$B$13:$D$22,3,FALSE))</f>
        <v/>
      </c>
      <c r="E734" s="427" t="str">
        <f t="shared" si="33"/>
        <v/>
      </c>
      <c r="F734" s="428" t="str">
        <f t="shared" si="34"/>
        <v/>
      </c>
      <c r="G734" s="129" t="str">
        <f>IF(H734="","",VLOOKUP(H734,プルダウン用リスト!$K$1:$M$15,2,FALSE))</f>
        <v/>
      </c>
      <c r="H734" s="76"/>
      <c r="I734" s="61"/>
      <c r="J734" s="76"/>
      <c r="K734" s="146"/>
      <c r="L734" s="77"/>
      <c r="M734" s="78"/>
      <c r="N734" s="71"/>
      <c r="O734" s="432" t="str">
        <f t="shared" si="35"/>
        <v/>
      </c>
    </row>
    <row r="735" spans="2:15" x14ac:dyDescent="0.4">
      <c r="B735" s="74"/>
      <c r="C735" s="60"/>
      <c r="D735" s="426" t="str">
        <f>IF(C735="","",VLOOKUP(C735,団体基本情報!$B$13:$D$22,3,FALSE))</f>
        <v/>
      </c>
      <c r="E735" s="427" t="str">
        <f t="shared" si="33"/>
        <v/>
      </c>
      <c r="F735" s="428" t="str">
        <f t="shared" si="34"/>
        <v/>
      </c>
      <c r="G735" s="129" t="str">
        <f>IF(H735="","",VLOOKUP(H735,プルダウン用リスト!$K$1:$M$15,2,FALSE))</f>
        <v/>
      </c>
      <c r="H735" s="76"/>
      <c r="I735" s="76"/>
      <c r="J735" s="76"/>
      <c r="K735" s="146"/>
      <c r="L735" s="77"/>
      <c r="M735" s="78"/>
      <c r="N735" s="71"/>
      <c r="O735" s="432" t="str">
        <f t="shared" si="35"/>
        <v/>
      </c>
    </row>
    <row r="736" spans="2:15" x14ac:dyDescent="0.4">
      <c r="B736" s="74"/>
      <c r="C736" s="60"/>
      <c r="D736" s="426" t="str">
        <f>IF(C736="","",VLOOKUP(C736,団体基本情報!$B$13:$D$22,3,FALSE))</f>
        <v/>
      </c>
      <c r="E736" s="427" t="str">
        <f t="shared" si="33"/>
        <v/>
      </c>
      <c r="F736" s="428" t="str">
        <f t="shared" si="34"/>
        <v/>
      </c>
      <c r="G736" s="129" t="str">
        <f>IF(H736="","",VLOOKUP(H736,プルダウン用リスト!$K$1:$M$15,2,FALSE))</f>
        <v/>
      </c>
      <c r="H736" s="76"/>
      <c r="I736" s="61"/>
      <c r="J736" s="76"/>
      <c r="K736" s="146"/>
      <c r="L736" s="77"/>
      <c r="M736" s="78"/>
      <c r="N736" s="71"/>
      <c r="O736" s="432" t="str">
        <f t="shared" si="35"/>
        <v/>
      </c>
    </row>
    <row r="737" spans="2:15" x14ac:dyDescent="0.4">
      <c r="B737" s="74"/>
      <c r="C737" s="60"/>
      <c r="D737" s="426" t="str">
        <f>IF(C737="","",VLOOKUP(C737,団体基本情報!$B$13:$D$22,3,FALSE))</f>
        <v/>
      </c>
      <c r="E737" s="427" t="str">
        <f t="shared" si="33"/>
        <v/>
      </c>
      <c r="F737" s="428" t="str">
        <f t="shared" si="34"/>
        <v/>
      </c>
      <c r="G737" s="129" t="str">
        <f>IF(H737="","",VLOOKUP(H737,プルダウン用リスト!$K$1:$M$15,2,FALSE))</f>
        <v/>
      </c>
      <c r="H737" s="76"/>
      <c r="I737" s="61"/>
      <c r="J737" s="76"/>
      <c r="K737" s="146"/>
      <c r="L737" s="77"/>
      <c r="M737" s="78"/>
      <c r="N737" s="71"/>
      <c r="O737" s="432" t="str">
        <f t="shared" si="35"/>
        <v/>
      </c>
    </row>
    <row r="738" spans="2:15" x14ac:dyDescent="0.4">
      <c r="B738" s="74"/>
      <c r="C738" s="75"/>
      <c r="D738" s="426" t="str">
        <f>IF(C738="","",VLOOKUP(C738,団体基本情報!$B$13:$D$22,3,FALSE))</f>
        <v/>
      </c>
      <c r="E738" s="427" t="str">
        <f t="shared" si="33"/>
        <v/>
      </c>
      <c r="F738" s="428" t="str">
        <f t="shared" si="34"/>
        <v/>
      </c>
      <c r="G738" s="129" t="str">
        <f>IF(H738="","",VLOOKUP(H738,プルダウン用リスト!$K$1:$M$15,2,FALSE))</f>
        <v/>
      </c>
      <c r="H738" s="76"/>
      <c r="I738" s="76"/>
      <c r="J738" s="76"/>
      <c r="K738" s="146"/>
      <c r="L738" s="77"/>
      <c r="M738" s="78"/>
      <c r="N738" s="71"/>
      <c r="O738" s="432" t="str">
        <f t="shared" si="35"/>
        <v/>
      </c>
    </row>
    <row r="739" spans="2:15" x14ac:dyDescent="0.4">
      <c r="B739" s="74"/>
      <c r="C739" s="60"/>
      <c r="D739" s="426" t="str">
        <f>IF(C739="","",VLOOKUP(C739,団体基本情報!$B$13:$D$22,3,FALSE))</f>
        <v/>
      </c>
      <c r="E739" s="427" t="str">
        <f t="shared" si="33"/>
        <v/>
      </c>
      <c r="F739" s="428" t="str">
        <f t="shared" si="34"/>
        <v/>
      </c>
      <c r="G739" s="129" t="str">
        <f>IF(H739="","",VLOOKUP(H739,プルダウン用リスト!$K$1:$M$15,2,FALSE))</f>
        <v/>
      </c>
      <c r="H739" s="76"/>
      <c r="I739" s="61"/>
      <c r="J739" s="76"/>
      <c r="K739" s="146"/>
      <c r="L739" s="77"/>
      <c r="M739" s="78"/>
      <c r="N739" s="71"/>
      <c r="O739" s="432" t="str">
        <f t="shared" si="35"/>
        <v/>
      </c>
    </row>
    <row r="740" spans="2:15" x14ac:dyDescent="0.4">
      <c r="B740" s="74"/>
      <c r="C740" s="60"/>
      <c r="D740" s="426" t="str">
        <f>IF(C740="","",VLOOKUP(C740,団体基本情報!$B$13:$D$22,3,FALSE))</f>
        <v/>
      </c>
      <c r="E740" s="427" t="str">
        <f t="shared" si="33"/>
        <v/>
      </c>
      <c r="F740" s="428" t="str">
        <f t="shared" si="34"/>
        <v/>
      </c>
      <c r="G740" s="129" t="str">
        <f>IF(H740="","",VLOOKUP(H740,プルダウン用リスト!$K$1:$M$15,2,FALSE))</f>
        <v/>
      </c>
      <c r="H740" s="76"/>
      <c r="I740" s="61"/>
      <c r="J740" s="76"/>
      <c r="K740" s="146"/>
      <c r="L740" s="77"/>
      <c r="M740" s="78"/>
      <c r="N740" s="71"/>
      <c r="O740" s="432" t="str">
        <f t="shared" si="35"/>
        <v/>
      </c>
    </row>
    <row r="741" spans="2:15" x14ac:dyDescent="0.4">
      <c r="B741" s="74"/>
      <c r="C741" s="60"/>
      <c r="D741" s="426" t="str">
        <f>IF(C741="","",VLOOKUP(C741,団体基本情報!$B$13:$D$22,3,FALSE))</f>
        <v/>
      </c>
      <c r="E741" s="427" t="str">
        <f t="shared" si="33"/>
        <v/>
      </c>
      <c r="F741" s="428" t="str">
        <f t="shared" si="34"/>
        <v/>
      </c>
      <c r="G741" s="129" t="str">
        <f>IF(H741="","",VLOOKUP(H741,プルダウン用リスト!$K$1:$M$15,2,FALSE))</f>
        <v/>
      </c>
      <c r="H741" s="76"/>
      <c r="I741" s="76"/>
      <c r="J741" s="76"/>
      <c r="K741" s="146"/>
      <c r="L741" s="77"/>
      <c r="M741" s="78"/>
      <c r="N741" s="71"/>
      <c r="O741" s="432" t="str">
        <f t="shared" si="35"/>
        <v/>
      </c>
    </row>
    <row r="742" spans="2:15" x14ac:dyDescent="0.4">
      <c r="B742" s="74"/>
      <c r="C742" s="60"/>
      <c r="D742" s="426" t="str">
        <f>IF(C742="","",VLOOKUP(C742,団体基本情報!$B$13:$D$22,3,FALSE))</f>
        <v/>
      </c>
      <c r="E742" s="427" t="str">
        <f t="shared" si="33"/>
        <v/>
      </c>
      <c r="F742" s="428" t="str">
        <f t="shared" si="34"/>
        <v/>
      </c>
      <c r="G742" s="129" t="str">
        <f>IF(H742="","",VLOOKUP(H742,プルダウン用リスト!$K$1:$M$15,2,FALSE))</f>
        <v/>
      </c>
      <c r="H742" s="76"/>
      <c r="I742" s="61"/>
      <c r="J742" s="76"/>
      <c r="K742" s="146"/>
      <c r="L742" s="77"/>
      <c r="M742" s="78"/>
      <c r="N742" s="71"/>
      <c r="O742" s="432" t="str">
        <f t="shared" si="35"/>
        <v/>
      </c>
    </row>
    <row r="743" spans="2:15" x14ac:dyDescent="0.4">
      <c r="B743" s="74"/>
      <c r="C743" s="60"/>
      <c r="D743" s="426" t="str">
        <f>IF(C743="","",VLOOKUP(C743,団体基本情報!$B$13:$D$22,3,FALSE))</f>
        <v/>
      </c>
      <c r="E743" s="427" t="str">
        <f t="shared" si="33"/>
        <v/>
      </c>
      <c r="F743" s="428" t="str">
        <f t="shared" si="34"/>
        <v/>
      </c>
      <c r="G743" s="129" t="str">
        <f>IF(H743="","",VLOOKUP(H743,プルダウン用リスト!$K$1:$M$15,2,FALSE))</f>
        <v/>
      </c>
      <c r="H743" s="76"/>
      <c r="I743" s="61"/>
      <c r="J743" s="76"/>
      <c r="K743" s="146"/>
      <c r="L743" s="77"/>
      <c r="M743" s="78"/>
      <c r="N743" s="71"/>
      <c r="O743" s="432" t="str">
        <f t="shared" si="35"/>
        <v/>
      </c>
    </row>
    <row r="744" spans="2:15" x14ac:dyDescent="0.4">
      <c r="B744" s="74"/>
      <c r="C744" s="60"/>
      <c r="D744" s="426" t="str">
        <f>IF(C744="","",VLOOKUP(C744,団体基本情報!$B$13:$D$22,3,FALSE))</f>
        <v/>
      </c>
      <c r="E744" s="427" t="str">
        <f t="shared" si="33"/>
        <v/>
      </c>
      <c r="F744" s="428" t="str">
        <f t="shared" si="34"/>
        <v/>
      </c>
      <c r="G744" s="129" t="str">
        <f>IF(H744="","",VLOOKUP(H744,プルダウン用リスト!$K$1:$M$15,2,FALSE))</f>
        <v/>
      </c>
      <c r="H744" s="76"/>
      <c r="I744" s="76"/>
      <c r="J744" s="76"/>
      <c r="K744" s="146"/>
      <c r="L744" s="77"/>
      <c r="M744" s="78"/>
      <c r="N744" s="71"/>
      <c r="O744" s="432" t="str">
        <f t="shared" si="35"/>
        <v/>
      </c>
    </row>
    <row r="745" spans="2:15" x14ac:dyDescent="0.4">
      <c r="B745" s="74"/>
      <c r="C745" s="60"/>
      <c r="D745" s="426" t="str">
        <f>IF(C745="","",VLOOKUP(C745,団体基本情報!$B$13:$D$22,3,FALSE))</f>
        <v/>
      </c>
      <c r="E745" s="427" t="str">
        <f t="shared" si="33"/>
        <v/>
      </c>
      <c r="F745" s="428" t="str">
        <f t="shared" si="34"/>
        <v/>
      </c>
      <c r="G745" s="129" t="str">
        <f>IF(H745="","",VLOOKUP(H745,プルダウン用リスト!$K$1:$M$15,2,FALSE))</f>
        <v/>
      </c>
      <c r="H745" s="76"/>
      <c r="I745" s="61"/>
      <c r="J745" s="76"/>
      <c r="K745" s="146"/>
      <c r="L745" s="77"/>
      <c r="M745" s="78"/>
      <c r="N745" s="71"/>
      <c r="O745" s="432" t="str">
        <f t="shared" si="35"/>
        <v/>
      </c>
    </row>
    <row r="746" spans="2:15" x14ac:dyDescent="0.4">
      <c r="B746" s="74"/>
      <c r="C746" s="60"/>
      <c r="D746" s="426" t="str">
        <f>IF(C746="","",VLOOKUP(C746,団体基本情報!$B$13:$D$22,3,FALSE))</f>
        <v/>
      </c>
      <c r="E746" s="427" t="str">
        <f t="shared" si="33"/>
        <v/>
      </c>
      <c r="F746" s="428" t="str">
        <f t="shared" si="34"/>
        <v/>
      </c>
      <c r="G746" s="129" t="str">
        <f>IF(H746="","",VLOOKUP(H746,プルダウン用リスト!$K$1:$M$15,2,FALSE))</f>
        <v/>
      </c>
      <c r="H746" s="76"/>
      <c r="I746" s="61"/>
      <c r="J746" s="76"/>
      <c r="K746" s="146"/>
      <c r="L746" s="77"/>
      <c r="M746" s="78"/>
      <c r="N746" s="71"/>
      <c r="O746" s="432" t="str">
        <f t="shared" si="35"/>
        <v/>
      </c>
    </row>
    <row r="747" spans="2:15" x14ac:dyDescent="0.4">
      <c r="B747" s="74"/>
      <c r="C747" s="60"/>
      <c r="D747" s="426" t="str">
        <f>IF(C747="","",VLOOKUP(C747,団体基本情報!$B$13:$D$22,3,FALSE))</f>
        <v/>
      </c>
      <c r="E747" s="427" t="str">
        <f t="shared" si="33"/>
        <v/>
      </c>
      <c r="F747" s="428" t="str">
        <f t="shared" si="34"/>
        <v/>
      </c>
      <c r="G747" s="129" t="str">
        <f>IF(H747="","",VLOOKUP(H747,プルダウン用リスト!$K$1:$M$15,2,FALSE))</f>
        <v/>
      </c>
      <c r="H747" s="76"/>
      <c r="I747" s="76"/>
      <c r="J747" s="76"/>
      <c r="K747" s="146"/>
      <c r="L747" s="77"/>
      <c r="M747" s="78"/>
      <c r="N747" s="71"/>
      <c r="O747" s="432" t="str">
        <f t="shared" si="35"/>
        <v/>
      </c>
    </row>
    <row r="748" spans="2:15" x14ac:dyDescent="0.4">
      <c r="B748" s="74"/>
      <c r="C748" s="60"/>
      <c r="D748" s="426" t="str">
        <f>IF(C748="","",VLOOKUP(C748,団体基本情報!$B$13:$D$22,3,FALSE))</f>
        <v/>
      </c>
      <c r="E748" s="427" t="str">
        <f t="shared" si="33"/>
        <v/>
      </c>
      <c r="F748" s="428" t="str">
        <f t="shared" si="34"/>
        <v/>
      </c>
      <c r="G748" s="129" t="str">
        <f>IF(H748="","",VLOOKUP(H748,プルダウン用リスト!$K$1:$M$15,2,FALSE))</f>
        <v/>
      </c>
      <c r="H748" s="76"/>
      <c r="I748" s="61"/>
      <c r="J748" s="76"/>
      <c r="K748" s="146"/>
      <c r="L748" s="77"/>
      <c r="M748" s="78"/>
      <c r="N748" s="71"/>
      <c r="O748" s="432" t="str">
        <f t="shared" si="35"/>
        <v/>
      </c>
    </row>
    <row r="749" spans="2:15" x14ac:dyDescent="0.4">
      <c r="B749" s="74"/>
      <c r="C749" s="60"/>
      <c r="D749" s="426" t="str">
        <f>IF(C749="","",VLOOKUP(C749,団体基本情報!$B$13:$D$22,3,FALSE))</f>
        <v/>
      </c>
      <c r="E749" s="427" t="str">
        <f t="shared" si="33"/>
        <v/>
      </c>
      <c r="F749" s="428" t="str">
        <f t="shared" si="34"/>
        <v/>
      </c>
      <c r="G749" s="129" t="str">
        <f>IF(H749="","",VLOOKUP(H749,プルダウン用リスト!$K$1:$M$15,2,FALSE))</f>
        <v/>
      </c>
      <c r="H749" s="76"/>
      <c r="I749" s="61"/>
      <c r="J749" s="76"/>
      <c r="K749" s="146"/>
      <c r="L749" s="77"/>
      <c r="M749" s="78"/>
      <c r="N749" s="71"/>
      <c r="O749" s="432" t="str">
        <f t="shared" si="35"/>
        <v/>
      </c>
    </row>
    <row r="750" spans="2:15" x14ac:dyDescent="0.4">
      <c r="B750" s="74"/>
      <c r="C750" s="75"/>
      <c r="D750" s="426" t="str">
        <f>IF(C750="","",VLOOKUP(C750,団体基本情報!$B$13:$D$22,3,FALSE))</f>
        <v/>
      </c>
      <c r="E750" s="427" t="str">
        <f t="shared" si="33"/>
        <v/>
      </c>
      <c r="F750" s="428" t="str">
        <f t="shared" si="34"/>
        <v/>
      </c>
      <c r="G750" s="129" t="str">
        <f>IF(H750="","",VLOOKUP(H750,プルダウン用リスト!$K$1:$M$15,2,FALSE))</f>
        <v/>
      </c>
      <c r="H750" s="76"/>
      <c r="I750" s="76"/>
      <c r="J750" s="76"/>
      <c r="K750" s="146"/>
      <c r="L750" s="77"/>
      <c r="M750" s="78"/>
      <c r="N750" s="71"/>
      <c r="O750" s="432" t="str">
        <f t="shared" si="35"/>
        <v/>
      </c>
    </row>
    <row r="751" spans="2:15" x14ac:dyDescent="0.4">
      <c r="B751" s="74"/>
      <c r="C751" s="60"/>
      <c r="D751" s="426" t="str">
        <f>IF(C751="","",VLOOKUP(C751,団体基本情報!$B$13:$D$22,3,FALSE))</f>
        <v/>
      </c>
      <c r="E751" s="427" t="str">
        <f t="shared" si="33"/>
        <v/>
      </c>
      <c r="F751" s="428" t="str">
        <f t="shared" si="34"/>
        <v/>
      </c>
      <c r="G751" s="129" t="str">
        <f>IF(H751="","",VLOOKUP(H751,プルダウン用リスト!$K$1:$M$15,2,FALSE))</f>
        <v/>
      </c>
      <c r="H751" s="76"/>
      <c r="I751" s="61"/>
      <c r="J751" s="76"/>
      <c r="K751" s="146"/>
      <c r="L751" s="77"/>
      <c r="M751" s="78"/>
      <c r="N751" s="71"/>
      <c r="O751" s="432" t="str">
        <f t="shared" si="35"/>
        <v/>
      </c>
    </row>
    <row r="752" spans="2:15" x14ac:dyDescent="0.4">
      <c r="B752" s="74"/>
      <c r="C752" s="60"/>
      <c r="D752" s="426" t="str">
        <f>IF(C752="","",VLOOKUP(C752,団体基本情報!$B$13:$D$22,3,FALSE))</f>
        <v/>
      </c>
      <c r="E752" s="427" t="str">
        <f t="shared" si="33"/>
        <v/>
      </c>
      <c r="F752" s="428" t="str">
        <f t="shared" si="34"/>
        <v/>
      </c>
      <c r="G752" s="129" t="str">
        <f>IF(H752="","",VLOOKUP(H752,プルダウン用リスト!$K$1:$M$15,2,FALSE))</f>
        <v/>
      </c>
      <c r="H752" s="76"/>
      <c r="I752" s="61"/>
      <c r="J752" s="76"/>
      <c r="K752" s="146"/>
      <c r="L752" s="77"/>
      <c r="M752" s="78"/>
      <c r="N752" s="71"/>
      <c r="O752" s="432" t="str">
        <f t="shared" si="35"/>
        <v/>
      </c>
    </row>
    <row r="753" spans="2:15" x14ac:dyDescent="0.4">
      <c r="B753" s="74"/>
      <c r="C753" s="60"/>
      <c r="D753" s="426" t="str">
        <f>IF(C753="","",VLOOKUP(C753,団体基本情報!$B$13:$D$22,3,FALSE))</f>
        <v/>
      </c>
      <c r="E753" s="427" t="str">
        <f t="shared" si="33"/>
        <v/>
      </c>
      <c r="F753" s="428" t="str">
        <f t="shared" si="34"/>
        <v/>
      </c>
      <c r="G753" s="129" t="str">
        <f>IF(H753="","",VLOOKUP(H753,プルダウン用リスト!$K$1:$M$15,2,FALSE))</f>
        <v/>
      </c>
      <c r="H753" s="76"/>
      <c r="I753" s="76"/>
      <c r="J753" s="76"/>
      <c r="K753" s="146"/>
      <c r="L753" s="77"/>
      <c r="M753" s="78"/>
      <c r="N753" s="71"/>
      <c r="O753" s="432" t="str">
        <f t="shared" si="35"/>
        <v/>
      </c>
    </row>
    <row r="754" spans="2:15" x14ac:dyDescent="0.4">
      <c r="B754" s="74"/>
      <c r="C754" s="60"/>
      <c r="D754" s="426" t="str">
        <f>IF(C754="","",VLOOKUP(C754,団体基本情報!$B$13:$D$22,3,FALSE))</f>
        <v/>
      </c>
      <c r="E754" s="427" t="str">
        <f t="shared" si="33"/>
        <v/>
      </c>
      <c r="F754" s="428" t="str">
        <f t="shared" si="34"/>
        <v/>
      </c>
      <c r="G754" s="129" t="str">
        <f>IF(H754="","",VLOOKUP(H754,プルダウン用リスト!$K$1:$M$15,2,FALSE))</f>
        <v/>
      </c>
      <c r="H754" s="76"/>
      <c r="I754" s="61"/>
      <c r="J754" s="76"/>
      <c r="K754" s="146"/>
      <c r="L754" s="77"/>
      <c r="M754" s="78"/>
      <c r="N754" s="71"/>
      <c r="O754" s="432" t="str">
        <f t="shared" si="35"/>
        <v/>
      </c>
    </row>
    <row r="755" spans="2:15" x14ac:dyDescent="0.4">
      <c r="B755" s="74"/>
      <c r="C755" s="60"/>
      <c r="D755" s="426" t="str">
        <f>IF(C755="","",VLOOKUP(C755,団体基本情報!$B$13:$D$22,3,FALSE))</f>
        <v/>
      </c>
      <c r="E755" s="427" t="str">
        <f t="shared" si="33"/>
        <v/>
      </c>
      <c r="F755" s="428" t="str">
        <f t="shared" si="34"/>
        <v/>
      </c>
      <c r="G755" s="129" t="str">
        <f>IF(H755="","",VLOOKUP(H755,プルダウン用リスト!$K$1:$M$15,2,FALSE))</f>
        <v/>
      </c>
      <c r="H755" s="76"/>
      <c r="I755" s="61"/>
      <c r="J755" s="76"/>
      <c r="K755" s="146"/>
      <c r="L755" s="77"/>
      <c r="M755" s="78"/>
      <c r="N755" s="71"/>
      <c r="O755" s="432" t="str">
        <f t="shared" si="35"/>
        <v/>
      </c>
    </row>
    <row r="756" spans="2:15" x14ac:dyDescent="0.4">
      <c r="B756" s="74"/>
      <c r="C756" s="60"/>
      <c r="D756" s="426" t="str">
        <f>IF(C756="","",VLOOKUP(C756,団体基本情報!$B$13:$D$22,3,FALSE))</f>
        <v/>
      </c>
      <c r="E756" s="427" t="str">
        <f t="shared" si="33"/>
        <v/>
      </c>
      <c r="F756" s="428" t="str">
        <f t="shared" si="34"/>
        <v/>
      </c>
      <c r="G756" s="129" t="str">
        <f>IF(H756="","",VLOOKUP(H756,プルダウン用リスト!$K$1:$M$15,2,FALSE))</f>
        <v/>
      </c>
      <c r="H756" s="76"/>
      <c r="I756" s="76"/>
      <c r="J756" s="76"/>
      <c r="K756" s="146"/>
      <c r="L756" s="77"/>
      <c r="M756" s="78"/>
      <c r="N756" s="71"/>
      <c r="O756" s="432" t="str">
        <f t="shared" si="35"/>
        <v/>
      </c>
    </row>
    <row r="757" spans="2:15" x14ac:dyDescent="0.4">
      <c r="B757" s="74"/>
      <c r="C757" s="60"/>
      <c r="D757" s="426" t="str">
        <f>IF(C757="","",VLOOKUP(C757,団体基本情報!$B$13:$D$22,3,FALSE))</f>
        <v/>
      </c>
      <c r="E757" s="427" t="str">
        <f t="shared" si="33"/>
        <v/>
      </c>
      <c r="F757" s="428" t="str">
        <f t="shared" si="34"/>
        <v/>
      </c>
      <c r="G757" s="129" t="str">
        <f>IF(H757="","",VLOOKUP(H757,プルダウン用リスト!$K$1:$M$15,2,FALSE))</f>
        <v/>
      </c>
      <c r="H757" s="76"/>
      <c r="I757" s="61"/>
      <c r="J757" s="76"/>
      <c r="K757" s="146"/>
      <c r="L757" s="77"/>
      <c r="M757" s="78"/>
      <c r="N757" s="71"/>
      <c r="O757" s="432" t="str">
        <f t="shared" si="35"/>
        <v/>
      </c>
    </row>
    <row r="758" spans="2:15" x14ac:dyDescent="0.4">
      <c r="B758" s="74"/>
      <c r="C758" s="60"/>
      <c r="D758" s="426" t="str">
        <f>IF(C758="","",VLOOKUP(C758,団体基本情報!$B$13:$D$22,3,FALSE))</f>
        <v/>
      </c>
      <c r="E758" s="427" t="str">
        <f t="shared" si="33"/>
        <v/>
      </c>
      <c r="F758" s="428" t="str">
        <f t="shared" si="34"/>
        <v/>
      </c>
      <c r="G758" s="129" t="str">
        <f>IF(H758="","",VLOOKUP(H758,プルダウン用リスト!$K$1:$M$15,2,FALSE))</f>
        <v/>
      </c>
      <c r="H758" s="76"/>
      <c r="I758" s="61"/>
      <c r="J758" s="76"/>
      <c r="K758" s="146"/>
      <c r="L758" s="77"/>
      <c r="M758" s="78"/>
      <c r="N758" s="71"/>
      <c r="O758" s="432" t="str">
        <f t="shared" si="35"/>
        <v/>
      </c>
    </row>
    <row r="759" spans="2:15" x14ac:dyDescent="0.4">
      <c r="B759" s="74"/>
      <c r="C759" s="60"/>
      <c r="D759" s="426" t="str">
        <f>IF(C759="","",VLOOKUP(C759,団体基本情報!$B$13:$D$22,3,FALSE))</f>
        <v/>
      </c>
      <c r="E759" s="427" t="str">
        <f t="shared" si="33"/>
        <v/>
      </c>
      <c r="F759" s="428" t="str">
        <f t="shared" si="34"/>
        <v/>
      </c>
      <c r="G759" s="129" t="str">
        <f>IF(H759="","",VLOOKUP(H759,プルダウン用リスト!$K$1:$M$15,2,FALSE))</f>
        <v/>
      </c>
      <c r="H759" s="76"/>
      <c r="I759" s="76"/>
      <c r="J759" s="76"/>
      <c r="K759" s="146"/>
      <c r="L759" s="77"/>
      <c r="M759" s="78"/>
      <c r="N759" s="71"/>
      <c r="O759" s="432" t="str">
        <f t="shared" si="35"/>
        <v/>
      </c>
    </row>
    <row r="760" spans="2:15" x14ac:dyDescent="0.4">
      <c r="B760" s="74"/>
      <c r="C760" s="60"/>
      <c r="D760" s="426" t="str">
        <f>IF(C760="","",VLOOKUP(C760,団体基本情報!$B$13:$D$22,3,FALSE))</f>
        <v/>
      </c>
      <c r="E760" s="427" t="str">
        <f t="shared" si="33"/>
        <v/>
      </c>
      <c r="F760" s="428" t="str">
        <f t="shared" si="34"/>
        <v/>
      </c>
      <c r="G760" s="129" t="str">
        <f>IF(H760="","",VLOOKUP(H760,プルダウン用リスト!$K$1:$M$15,2,FALSE))</f>
        <v/>
      </c>
      <c r="H760" s="76"/>
      <c r="I760" s="61"/>
      <c r="J760" s="76"/>
      <c r="K760" s="146"/>
      <c r="L760" s="77"/>
      <c r="M760" s="78"/>
      <c r="N760" s="71"/>
      <c r="O760" s="432" t="str">
        <f t="shared" si="35"/>
        <v/>
      </c>
    </row>
    <row r="761" spans="2:15" x14ac:dyDescent="0.4">
      <c r="B761" s="74"/>
      <c r="C761" s="60"/>
      <c r="D761" s="426" t="str">
        <f>IF(C761="","",VLOOKUP(C761,団体基本情報!$B$13:$D$22,3,FALSE))</f>
        <v/>
      </c>
      <c r="E761" s="427" t="str">
        <f t="shared" si="33"/>
        <v/>
      </c>
      <c r="F761" s="428" t="str">
        <f t="shared" si="34"/>
        <v/>
      </c>
      <c r="G761" s="129" t="str">
        <f>IF(H761="","",VLOOKUP(H761,プルダウン用リスト!$K$1:$M$15,2,FALSE))</f>
        <v/>
      </c>
      <c r="H761" s="76"/>
      <c r="I761" s="61"/>
      <c r="J761" s="76"/>
      <c r="K761" s="146"/>
      <c r="L761" s="77"/>
      <c r="M761" s="78"/>
      <c r="N761" s="71"/>
      <c r="O761" s="432" t="str">
        <f t="shared" si="35"/>
        <v/>
      </c>
    </row>
    <row r="762" spans="2:15" x14ac:dyDescent="0.4">
      <c r="B762" s="74"/>
      <c r="C762" s="75"/>
      <c r="D762" s="426" t="str">
        <f>IF(C762="","",VLOOKUP(C762,団体基本情報!$B$13:$D$22,3,FALSE))</f>
        <v/>
      </c>
      <c r="E762" s="427" t="str">
        <f t="shared" si="33"/>
        <v/>
      </c>
      <c r="F762" s="428" t="str">
        <f t="shared" si="34"/>
        <v/>
      </c>
      <c r="G762" s="129" t="str">
        <f>IF(H762="","",VLOOKUP(H762,プルダウン用リスト!$K$1:$M$15,2,FALSE))</f>
        <v/>
      </c>
      <c r="H762" s="76"/>
      <c r="I762" s="76"/>
      <c r="J762" s="76"/>
      <c r="K762" s="146"/>
      <c r="L762" s="77"/>
      <c r="M762" s="78"/>
      <c r="N762" s="71"/>
      <c r="O762" s="432" t="str">
        <f t="shared" si="35"/>
        <v/>
      </c>
    </row>
    <row r="763" spans="2:15" x14ac:dyDescent="0.4">
      <c r="B763" s="74"/>
      <c r="C763" s="60"/>
      <c r="D763" s="426" t="str">
        <f>IF(C763="","",VLOOKUP(C763,団体基本情報!$B$13:$D$22,3,FALSE))</f>
        <v/>
      </c>
      <c r="E763" s="427" t="str">
        <f t="shared" si="33"/>
        <v/>
      </c>
      <c r="F763" s="428" t="str">
        <f t="shared" si="34"/>
        <v/>
      </c>
      <c r="G763" s="129" t="str">
        <f>IF(H763="","",VLOOKUP(H763,プルダウン用リスト!$K$1:$M$15,2,FALSE))</f>
        <v/>
      </c>
      <c r="H763" s="76"/>
      <c r="I763" s="61"/>
      <c r="J763" s="76"/>
      <c r="K763" s="146"/>
      <c r="L763" s="77"/>
      <c r="M763" s="78"/>
      <c r="N763" s="71"/>
      <c r="O763" s="432" t="str">
        <f t="shared" si="35"/>
        <v/>
      </c>
    </row>
    <row r="764" spans="2:15" x14ac:dyDescent="0.4">
      <c r="B764" s="74"/>
      <c r="C764" s="60"/>
      <c r="D764" s="426" t="str">
        <f>IF(C764="","",VLOOKUP(C764,団体基本情報!$B$13:$D$22,3,FALSE))</f>
        <v/>
      </c>
      <c r="E764" s="427" t="str">
        <f t="shared" si="33"/>
        <v/>
      </c>
      <c r="F764" s="428" t="str">
        <f t="shared" si="34"/>
        <v/>
      </c>
      <c r="G764" s="129" t="str">
        <f>IF(H764="","",VLOOKUP(H764,プルダウン用リスト!$K$1:$M$15,2,FALSE))</f>
        <v/>
      </c>
      <c r="H764" s="76"/>
      <c r="I764" s="61"/>
      <c r="J764" s="76"/>
      <c r="K764" s="146"/>
      <c r="L764" s="77"/>
      <c r="M764" s="78"/>
      <c r="N764" s="71"/>
      <c r="O764" s="432" t="str">
        <f t="shared" si="35"/>
        <v/>
      </c>
    </row>
    <row r="765" spans="2:15" x14ac:dyDescent="0.4">
      <c r="B765" s="74"/>
      <c r="C765" s="60"/>
      <c r="D765" s="426" t="str">
        <f>IF(C765="","",VLOOKUP(C765,団体基本情報!$B$13:$D$22,3,FALSE))</f>
        <v/>
      </c>
      <c r="E765" s="427" t="str">
        <f t="shared" si="33"/>
        <v/>
      </c>
      <c r="F765" s="428" t="str">
        <f t="shared" si="34"/>
        <v/>
      </c>
      <c r="G765" s="129" t="str">
        <f>IF(H765="","",VLOOKUP(H765,プルダウン用リスト!$K$1:$M$15,2,FALSE))</f>
        <v/>
      </c>
      <c r="H765" s="76"/>
      <c r="I765" s="76"/>
      <c r="J765" s="76"/>
      <c r="K765" s="146"/>
      <c r="L765" s="77"/>
      <c r="M765" s="78"/>
      <c r="N765" s="71"/>
      <c r="O765" s="432" t="str">
        <f t="shared" si="35"/>
        <v/>
      </c>
    </row>
    <row r="766" spans="2:15" x14ac:dyDescent="0.4">
      <c r="B766" s="74"/>
      <c r="C766" s="60"/>
      <c r="D766" s="426" t="str">
        <f>IF(C766="","",VLOOKUP(C766,団体基本情報!$B$13:$D$22,3,FALSE))</f>
        <v/>
      </c>
      <c r="E766" s="427" t="str">
        <f t="shared" si="33"/>
        <v/>
      </c>
      <c r="F766" s="428" t="str">
        <f t="shared" si="34"/>
        <v/>
      </c>
      <c r="G766" s="129" t="str">
        <f>IF(H766="","",VLOOKUP(H766,プルダウン用リスト!$K$1:$M$15,2,FALSE))</f>
        <v/>
      </c>
      <c r="H766" s="76"/>
      <c r="I766" s="61"/>
      <c r="J766" s="76"/>
      <c r="K766" s="146"/>
      <c r="L766" s="77"/>
      <c r="M766" s="78"/>
      <c r="N766" s="71"/>
      <c r="O766" s="432" t="str">
        <f t="shared" si="35"/>
        <v/>
      </c>
    </row>
    <row r="767" spans="2:15" x14ac:dyDescent="0.4">
      <c r="B767" s="74"/>
      <c r="C767" s="60"/>
      <c r="D767" s="426" t="str">
        <f>IF(C767="","",VLOOKUP(C767,団体基本情報!$B$13:$D$22,3,FALSE))</f>
        <v/>
      </c>
      <c r="E767" s="427" t="str">
        <f t="shared" si="33"/>
        <v/>
      </c>
      <c r="F767" s="428" t="str">
        <f t="shared" si="34"/>
        <v/>
      </c>
      <c r="G767" s="129" t="str">
        <f>IF(H767="","",VLOOKUP(H767,プルダウン用リスト!$K$1:$M$15,2,FALSE))</f>
        <v/>
      </c>
      <c r="H767" s="76"/>
      <c r="I767" s="61"/>
      <c r="J767" s="76"/>
      <c r="K767" s="146"/>
      <c r="L767" s="77"/>
      <c r="M767" s="78"/>
      <c r="N767" s="71"/>
      <c r="O767" s="432" t="str">
        <f t="shared" si="35"/>
        <v/>
      </c>
    </row>
    <row r="768" spans="2:15" x14ac:dyDescent="0.4">
      <c r="B768" s="74"/>
      <c r="C768" s="60"/>
      <c r="D768" s="426" t="str">
        <f>IF(C768="","",VLOOKUP(C768,団体基本情報!$B$13:$D$22,3,FALSE))</f>
        <v/>
      </c>
      <c r="E768" s="427" t="str">
        <f t="shared" si="33"/>
        <v/>
      </c>
      <c r="F768" s="428" t="str">
        <f t="shared" si="34"/>
        <v/>
      </c>
      <c r="G768" s="129" t="str">
        <f>IF(H768="","",VLOOKUP(H768,プルダウン用リスト!$K$1:$M$15,2,FALSE))</f>
        <v/>
      </c>
      <c r="H768" s="76"/>
      <c r="I768" s="76"/>
      <c r="J768" s="76"/>
      <c r="K768" s="146"/>
      <c r="L768" s="77"/>
      <c r="M768" s="78"/>
      <c r="N768" s="71"/>
      <c r="O768" s="432" t="str">
        <f t="shared" si="35"/>
        <v/>
      </c>
    </row>
    <row r="769" spans="2:15" x14ac:dyDescent="0.4">
      <c r="B769" s="74"/>
      <c r="C769" s="60"/>
      <c r="D769" s="426" t="str">
        <f>IF(C769="","",VLOOKUP(C769,団体基本情報!$B$13:$D$22,3,FALSE))</f>
        <v/>
      </c>
      <c r="E769" s="427" t="str">
        <f t="shared" si="33"/>
        <v/>
      </c>
      <c r="F769" s="428" t="str">
        <f t="shared" si="34"/>
        <v/>
      </c>
      <c r="G769" s="129" t="str">
        <f>IF(H769="","",VLOOKUP(H769,プルダウン用リスト!$K$1:$M$15,2,FALSE))</f>
        <v/>
      </c>
      <c r="H769" s="76"/>
      <c r="I769" s="61"/>
      <c r="J769" s="76"/>
      <c r="K769" s="146"/>
      <c r="L769" s="77"/>
      <c r="M769" s="78"/>
      <c r="N769" s="71"/>
      <c r="O769" s="432" t="str">
        <f t="shared" si="35"/>
        <v/>
      </c>
    </row>
    <row r="770" spans="2:15" x14ac:dyDescent="0.4">
      <c r="B770" s="74"/>
      <c r="C770" s="60"/>
      <c r="D770" s="426" t="str">
        <f>IF(C770="","",VLOOKUP(C770,団体基本情報!$B$13:$D$22,3,FALSE))</f>
        <v/>
      </c>
      <c r="E770" s="427" t="str">
        <f t="shared" si="33"/>
        <v/>
      </c>
      <c r="F770" s="428" t="str">
        <f t="shared" si="34"/>
        <v/>
      </c>
      <c r="G770" s="129" t="str">
        <f>IF(H770="","",VLOOKUP(H770,プルダウン用リスト!$K$1:$M$15,2,FALSE))</f>
        <v/>
      </c>
      <c r="H770" s="76"/>
      <c r="I770" s="61"/>
      <c r="J770" s="76"/>
      <c r="K770" s="146"/>
      <c r="L770" s="77"/>
      <c r="M770" s="78"/>
      <c r="N770" s="71"/>
      <c r="O770" s="432" t="str">
        <f t="shared" si="35"/>
        <v/>
      </c>
    </row>
    <row r="771" spans="2:15" x14ac:dyDescent="0.4">
      <c r="B771" s="74"/>
      <c r="C771" s="60"/>
      <c r="D771" s="426" t="str">
        <f>IF(C771="","",VLOOKUP(C771,団体基本情報!$B$13:$D$22,3,FALSE))</f>
        <v/>
      </c>
      <c r="E771" s="427" t="str">
        <f t="shared" si="33"/>
        <v/>
      </c>
      <c r="F771" s="428" t="str">
        <f t="shared" si="34"/>
        <v/>
      </c>
      <c r="G771" s="129" t="str">
        <f>IF(H771="","",VLOOKUP(H771,プルダウン用リスト!$K$1:$M$15,2,FALSE))</f>
        <v/>
      </c>
      <c r="H771" s="76"/>
      <c r="I771" s="76"/>
      <c r="J771" s="76"/>
      <c r="K771" s="146"/>
      <c r="L771" s="77"/>
      <c r="M771" s="78"/>
      <c r="N771" s="71"/>
      <c r="O771" s="432" t="str">
        <f t="shared" si="35"/>
        <v/>
      </c>
    </row>
    <row r="772" spans="2:15" x14ac:dyDescent="0.4">
      <c r="B772" s="74"/>
      <c r="C772" s="60"/>
      <c r="D772" s="426" t="str">
        <f>IF(C772="","",VLOOKUP(C772,団体基本情報!$B$13:$D$22,3,FALSE))</f>
        <v/>
      </c>
      <c r="E772" s="427" t="str">
        <f t="shared" si="33"/>
        <v/>
      </c>
      <c r="F772" s="428" t="str">
        <f t="shared" si="34"/>
        <v/>
      </c>
      <c r="G772" s="129" t="str">
        <f>IF(H772="","",VLOOKUP(H772,プルダウン用リスト!$K$1:$M$15,2,FALSE))</f>
        <v/>
      </c>
      <c r="H772" s="76"/>
      <c r="I772" s="61"/>
      <c r="J772" s="76"/>
      <c r="K772" s="146"/>
      <c r="L772" s="77"/>
      <c r="M772" s="78"/>
      <c r="N772" s="71"/>
      <c r="O772" s="432" t="str">
        <f t="shared" si="35"/>
        <v/>
      </c>
    </row>
    <row r="773" spans="2:15" x14ac:dyDescent="0.4">
      <c r="B773" s="74"/>
      <c r="C773" s="60"/>
      <c r="D773" s="426" t="str">
        <f>IF(C773="","",VLOOKUP(C773,団体基本情報!$B$13:$D$22,3,FALSE))</f>
        <v/>
      </c>
      <c r="E773" s="427" t="str">
        <f t="shared" si="33"/>
        <v/>
      </c>
      <c r="F773" s="428" t="str">
        <f t="shared" si="34"/>
        <v/>
      </c>
      <c r="G773" s="129" t="str">
        <f>IF(H773="","",VLOOKUP(H773,プルダウン用リスト!$K$1:$M$15,2,FALSE))</f>
        <v/>
      </c>
      <c r="H773" s="76"/>
      <c r="I773" s="61"/>
      <c r="J773" s="76"/>
      <c r="K773" s="146"/>
      <c r="L773" s="77"/>
      <c r="M773" s="78"/>
      <c r="N773" s="71"/>
      <c r="O773" s="432" t="str">
        <f t="shared" si="35"/>
        <v/>
      </c>
    </row>
    <row r="774" spans="2:15" x14ac:dyDescent="0.4">
      <c r="B774" s="74"/>
      <c r="C774" s="75"/>
      <c r="D774" s="426" t="str">
        <f>IF(C774="","",VLOOKUP(C774,団体基本情報!$B$13:$D$22,3,FALSE))</f>
        <v/>
      </c>
      <c r="E774" s="427" t="str">
        <f t="shared" si="33"/>
        <v/>
      </c>
      <c r="F774" s="428" t="str">
        <f t="shared" si="34"/>
        <v/>
      </c>
      <c r="G774" s="129" t="str">
        <f>IF(H774="","",VLOOKUP(H774,プルダウン用リスト!$K$1:$M$15,2,FALSE))</f>
        <v/>
      </c>
      <c r="H774" s="76"/>
      <c r="I774" s="76"/>
      <c r="J774" s="76"/>
      <c r="K774" s="146"/>
      <c r="L774" s="77"/>
      <c r="M774" s="78"/>
      <c r="N774" s="71"/>
      <c r="O774" s="432" t="str">
        <f t="shared" si="35"/>
        <v/>
      </c>
    </row>
    <row r="775" spans="2:15" x14ac:dyDescent="0.4">
      <c r="B775" s="74"/>
      <c r="C775" s="60"/>
      <c r="D775" s="426" t="str">
        <f>IF(C775="","",VLOOKUP(C775,団体基本情報!$B$13:$D$22,3,FALSE))</f>
        <v/>
      </c>
      <c r="E775" s="427" t="str">
        <f t="shared" ref="E775:E838" si="36">IF(F775="","",IF(F775="謝金","01.",IF(F775="旅費","02.",IF(F775="その他","04.","03."))))</f>
        <v/>
      </c>
      <c r="F775" s="428" t="str">
        <f t="shared" ref="F775:F838" si="37">IF(H775="","",IF(H775="謝金","謝金",IF(H775="旅費","旅費",IF(H775="対象外経費","その他","所費"))))</f>
        <v/>
      </c>
      <c r="G775" s="129" t="str">
        <f>IF(H775="","",VLOOKUP(H775,プルダウン用リスト!$K$1:$M$15,2,FALSE))</f>
        <v/>
      </c>
      <c r="H775" s="76"/>
      <c r="I775" s="61"/>
      <c r="J775" s="76"/>
      <c r="K775" s="146"/>
      <c r="L775" s="77"/>
      <c r="M775" s="78"/>
      <c r="N775" s="71"/>
      <c r="O775" s="432" t="str">
        <f t="shared" ref="O775:O838" si="38">IF(H775="対象外経費",M775,IF(N775="","",M775-N775))</f>
        <v/>
      </c>
    </row>
    <row r="776" spans="2:15" x14ac:dyDescent="0.4">
      <c r="B776" s="74"/>
      <c r="C776" s="60"/>
      <c r="D776" s="426" t="str">
        <f>IF(C776="","",VLOOKUP(C776,団体基本情報!$B$13:$D$22,3,FALSE))</f>
        <v/>
      </c>
      <c r="E776" s="427" t="str">
        <f t="shared" si="36"/>
        <v/>
      </c>
      <c r="F776" s="428" t="str">
        <f t="shared" si="37"/>
        <v/>
      </c>
      <c r="G776" s="129" t="str">
        <f>IF(H776="","",VLOOKUP(H776,プルダウン用リスト!$K$1:$M$15,2,FALSE))</f>
        <v/>
      </c>
      <c r="H776" s="76"/>
      <c r="I776" s="61"/>
      <c r="J776" s="76"/>
      <c r="K776" s="146"/>
      <c r="L776" s="77"/>
      <c r="M776" s="78"/>
      <c r="N776" s="71"/>
      <c r="O776" s="432" t="str">
        <f t="shared" si="38"/>
        <v/>
      </c>
    </row>
    <row r="777" spans="2:15" x14ac:dyDescent="0.4">
      <c r="B777" s="74"/>
      <c r="C777" s="60"/>
      <c r="D777" s="426" t="str">
        <f>IF(C777="","",VLOOKUP(C777,団体基本情報!$B$13:$D$22,3,FALSE))</f>
        <v/>
      </c>
      <c r="E777" s="427" t="str">
        <f t="shared" si="36"/>
        <v/>
      </c>
      <c r="F777" s="428" t="str">
        <f t="shared" si="37"/>
        <v/>
      </c>
      <c r="G777" s="129" t="str">
        <f>IF(H777="","",VLOOKUP(H777,プルダウン用リスト!$K$1:$M$15,2,FALSE))</f>
        <v/>
      </c>
      <c r="H777" s="76"/>
      <c r="I777" s="76"/>
      <c r="J777" s="76"/>
      <c r="K777" s="146"/>
      <c r="L777" s="77"/>
      <c r="M777" s="78"/>
      <c r="N777" s="71"/>
      <c r="O777" s="432" t="str">
        <f t="shared" si="38"/>
        <v/>
      </c>
    </row>
    <row r="778" spans="2:15" x14ac:dyDescent="0.4">
      <c r="B778" s="74"/>
      <c r="C778" s="60"/>
      <c r="D778" s="426" t="str">
        <f>IF(C778="","",VLOOKUP(C778,団体基本情報!$B$13:$D$22,3,FALSE))</f>
        <v/>
      </c>
      <c r="E778" s="427" t="str">
        <f t="shared" si="36"/>
        <v/>
      </c>
      <c r="F778" s="428" t="str">
        <f t="shared" si="37"/>
        <v/>
      </c>
      <c r="G778" s="129" t="str">
        <f>IF(H778="","",VLOOKUP(H778,プルダウン用リスト!$K$1:$M$15,2,FALSE))</f>
        <v/>
      </c>
      <c r="H778" s="76"/>
      <c r="I778" s="61"/>
      <c r="J778" s="76"/>
      <c r="K778" s="146"/>
      <c r="L778" s="77"/>
      <c r="M778" s="78"/>
      <c r="N778" s="71"/>
      <c r="O778" s="432" t="str">
        <f t="shared" si="38"/>
        <v/>
      </c>
    </row>
    <row r="779" spans="2:15" x14ac:dyDescent="0.4">
      <c r="B779" s="74"/>
      <c r="C779" s="60"/>
      <c r="D779" s="426" t="str">
        <f>IF(C779="","",VLOOKUP(C779,団体基本情報!$B$13:$D$22,3,FALSE))</f>
        <v/>
      </c>
      <c r="E779" s="427" t="str">
        <f t="shared" si="36"/>
        <v/>
      </c>
      <c r="F779" s="428" t="str">
        <f t="shared" si="37"/>
        <v/>
      </c>
      <c r="G779" s="129" t="str">
        <f>IF(H779="","",VLOOKUP(H779,プルダウン用リスト!$K$1:$M$15,2,FALSE))</f>
        <v/>
      </c>
      <c r="H779" s="76"/>
      <c r="I779" s="61"/>
      <c r="J779" s="76"/>
      <c r="K779" s="146"/>
      <c r="L779" s="77"/>
      <c r="M779" s="78"/>
      <c r="N779" s="71"/>
      <c r="O779" s="432" t="str">
        <f t="shared" si="38"/>
        <v/>
      </c>
    </row>
    <row r="780" spans="2:15" x14ac:dyDescent="0.4">
      <c r="B780" s="74"/>
      <c r="C780" s="60"/>
      <c r="D780" s="426" t="str">
        <f>IF(C780="","",VLOOKUP(C780,団体基本情報!$B$13:$D$22,3,FALSE))</f>
        <v/>
      </c>
      <c r="E780" s="427" t="str">
        <f t="shared" si="36"/>
        <v/>
      </c>
      <c r="F780" s="428" t="str">
        <f t="shared" si="37"/>
        <v/>
      </c>
      <c r="G780" s="129" t="str">
        <f>IF(H780="","",VLOOKUP(H780,プルダウン用リスト!$K$1:$M$15,2,FALSE))</f>
        <v/>
      </c>
      <c r="H780" s="76"/>
      <c r="I780" s="76"/>
      <c r="J780" s="76"/>
      <c r="K780" s="146"/>
      <c r="L780" s="77"/>
      <c r="M780" s="78"/>
      <c r="N780" s="71"/>
      <c r="O780" s="432" t="str">
        <f t="shared" si="38"/>
        <v/>
      </c>
    </row>
    <row r="781" spans="2:15" x14ac:dyDescent="0.4">
      <c r="B781" s="74"/>
      <c r="C781" s="60"/>
      <c r="D781" s="426" t="str">
        <f>IF(C781="","",VLOOKUP(C781,団体基本情報!$B$13:$D$22,3,FALSE))</f>
        <v/>
      </c>
      <c r="E781" s="427" t="str">
        <f t="shared" si="36"/>
        <v/>
      </c>
      <c r="F781" s="428" t="str">
        <f t="shared" si="37"/>
        <v/>
      </c>
      <c r="G781" s="129" t="str">
        <f>IF(H781="","",VLOOKUP(H781,プルダウン用リスト!$K$1:$M$15,2,FALSE))</f>
        <v/>
      </c>
      <c r="H781" s="76"/>
      <c r="I781" s="61"/>
      <c r="J781" s="76"/>
      <c r="K781" s="146"/>
      <c r="L781" s="77"/>
      <c r="M781" s="78"/>
      <c r="N781" s="71"/>
      <c r="O781" s="432" t="str">
        <f t="shared" si="38"/>
        <v/>
      </c>
    </row>
    <row r="782" spans="2:15" x14ac:dyDescent="0.4">
      <c r="B782" s="74"/>
      <c r="C782" s="60"/>
      <c r="D782" s="426" t="str">
        <f>IF(C782="","",VLOOKUP(C782,団体基本情報!$B$13:$D$22,3,FALSE))</f>
        <v/>
      </c>
      <c r="E782" s="427" t="str">
        <f t="shared" si="36"/>
        <v/>
      </c>
      <c r="F782" s="428" t="str">
        <f t="shared" si="37"/>
        <v/>
      </c>
      <c r="G782" s="129" t="str">
        <f>IF(H782="","",VLOOKUP(H782,プルダウン用リスト!$K$1:$M$15,2,FALSE))</f>
        <v/>
      </c>
      <c r="H782" s="76"/>
      <c r="I782" s="61"/>
      <c r="J782" s="76"/>
      <c r="K782" s="146"/>
      <c r="L782" s="77"/>
      <c r="M782" s="78"/>
      <c r="N782" s="71"/>
      <c r="O782" s="432" t="str">
        <f t="shared" si="38"/>
        <v/>
      </c>
    </row>
    <row r="783" spans="2:15" x14ac:dyDescent="0.4">
      <c r="B783" s="74"/>
      <c r="C783" s="60"/>
      <c r="D783" s="426" t="str">
        <f>IF(C783="","",VLOOKUP(C783,団体基本情報!$B$13:$D$22,3,FALSE))</f>
        <v/>
      </c>
      <c r="E783" s="427" t="str">
        <f t="shared" si="36"/>
        <v/>
      </c>
      <c r="F783" s="428" t="str">
        <f t="shared" si="37"/>
        <v/>
      </c>
      <c r="G783" s="129" t="str">
        <f>IF(H783="","",VLOOKUP(H783,プルダウン用リスト!$K$1:$M$15,2,FALSE))</f>
        <v/>
      </c>
      <c r="H783" s="76"/>
      <c r="I783" s="76"/>
      <c r="J783" s="76"/>
      <c r="K783" s="146"/>
      <c r="L783" s="77"/>
      <c r="M783" s="78"/>
      <c r="N783" s="71"/>
      <c r="O783" s="432" t="str">
        <f t="shared" si="38"/>
        <v/>
      </c>
    </row>
    <row r="784" spans="2:15" x14ac:dyDescent="0.4">
      <c r="B784" s="74"/>
      <c r="C784" s="60"/>
      <c r="D784" s="426" t="str">
        <f>IF(C784="","",VLOOKUP(C784,団体基本情報!$B$13:$D$22,3,FALSE))</f>
        <v/>
      </c>
      <c r="E784" s="427" t="str">
        <f t="shared" si="36"/>
        <v/>
      </c>
      <c r="F784" s="428" t="str">
        <f t="shared" si="37"/>
        <v/>
      </c>
      <c r="G784" s="129" t="str">
        <f>IF(H784="","",VLOOKUP(H784,プルダウン用リスト!$K$1:$M$15,2,FALSE))</f>
        <v/>
      </c>
      <c r="H784" s="76"/>
      <c r="I784" s="61"/>
      <c r="J784" s="76"/>
      <c r="K784" s="146"/>
      <c r="L784" s="77"/>
      <c r="M784" s="78"/>
      <c r="N784" s="71"/>
      <c r="O784" s="432" t="str">
        <f t="shared" si="38"/>
        <v/>
      </c>
    </row>
    <row r="785" spans="2:15" x14ac:dyDescent="0.4">
      <c r="B785" s="74"/>
      <c r="C785" s="60"/>
      <c r="D785" s="426" t="str">
        <f>IF(C785="","",VLOOKUP(C785,団体基本情報!$B$13:$D$22,3,FALSE))</f>
        <v/>
      </c>
      <c r="E785" s="427" t="str">
        <f t="shared" si="36"/>
        <v/>
      </c>
      <c r="F785" s="428" t="str">
        <f t="shared" si="37"/>
        <v/>
      </c>
      <c r="G785" s="129" t="str">
        <f>IF(H785="","",VLOOKUP(H785,プルダウン用リスト!$K$1:$M$15,2,FALSE))</f>
        <v/>
      </c>
      <c r="H785" s="76"/>
      <c r="I785" s="61"/>
      <c r="J785" s="76"/>
      <c r="K785" s="146"/>
      <c r="L785" s="77"/>
      <c r="M785" s="78"/>
      <c r="N785" s="71"/>
      <c r="O785" s="432" t="str">
        <f t="shared" si="38"/>
        <v/>
      </c>
    </row>
    <row r="786" spans="2:15" x14ac:dyDescent="0.4">
      <c r="B786" s="74"/>
      <c r="C786" s="75"/>
      <c r="D786" s="426" t="str">
        <f>IF(C786="","",VLOOKUP(C786,団体基本情報!$B$13:$D$22,3,FALSE))</f>
        <v/>
      </c>
      <c r="E786" s="427" t="str">
        <f t="shared" si="36"/>
        <v/>
      </c>
      <c r="F786" s="428" t="str">
        <f t="shared" si="37"/>
        <v/>
      </c>
      <c r="G786" s="129" t="str">
        <f>IF(H786="","",VLOOKUP(H786,プルダウン用リスト!$K$1:$M$15,2,FALSE))</f>
        <v/>
      </c>
      <c r="H786" s="76"/>
      <c r="I786" s="76"/>
      <c r="J786" s="76"/>
      <c r="K786" s="146"/>
      <c r="L786" s="77"/>
      <c r="M786" s="78"/>
      <c r="N786" s="71"/>
      <c r="O786" s="432" t="str">
        <f t="shared" si="38"/>
        <v/>
      </c>
    </row>
    <row r="787" spans="2:15" x14ac:dyDescent="0.4">
      <c r="B787" s="74"/>
      <c r="C787" s="60"/>
      <c r="D787" s="426" t="str">
        <f>IF(C787="","",VLOOKUP(C787,団体基本情報!$B$13:$D$22,3,FALSE))</f>
        <v/>
      </c>
      <c r="E787" s="427" t="str">
        <f t="shared" si="36"/>
        <v/>
      </c>
      <c r="F787" s="428" t="str">
        <f t="shared" si="37"/>
        <v/>
      </c>
      <c r="G787" s="129" t="str">
        <f>IF(H787="","",VLOOKUP(H787,プルダウン用リスト!$K$1:$M$15,2,FALSE))</f>
        <v/>
      </c>
      <c r="H787" s="76"/>
      <c r="I787" s="61"/>
      <c r="J787" s="76"/>
      <c r="K787" s="146"/>
      <c r="L787" s="77"/>
      <c r="M787" s="78"/>
      <c r="N787" s="71"/>
      <c r="O787" s="432" t="str">
        <f t="shared" si="38"/>
        <v/>
      </c>
    </row>
    <row r="788" spans="2:15" x14ac:dyDescent="0.4">
      <c r="B788" s="74"/>
      <c r="C788" s="60"/>
      <c r="D788" s="426" t="str">
        <f>IF(C788="","",VLOOKUP(C788,団体基本情報!$B$13:$D$22,3,FALSE))</f>
        <v/>
      </c>
      <c r="E788" s="427" t="str">
        <f t="shared" si="36"/>
        <v/>
      </c>
      <c r="F788" s="428" t="str">
        <f t="shared" si="37"/>
        <v/>
      </c>
      <c r="G788" s="129" t="str">
        <f>IF(H788="","",VLOOKUP(H788,プルダウン用リスト!$K$1:$M$15,2,FALSE))</f>
        <v/>
      </c>
      <c r="H788" s="76"/>
      <c r="I788" s="61"/>
      <c r="J788" s="76"/>
      <c r="K788" s="146"/>
      <c r="L788" s="77"/>
      <c r="M788" s="78"/>
      <c r="N788" s="71"/>
      <c r="O788" s="432" t="str">
        <f t="shared" si="38"/>
        <v/>
      </c>
    </row>
    <row r="789" spans="2:15" x14ac:dyDescent="0.4">
      <c r="B789" s="74"/>
      <c r="C789" s="60"/>
      <c r="D789" s="426" t="str">
        <f>IF(C789="","",VLOOKUP(C789,団体基本情報!$B$13:$D$22,3,FALSE))</f>
        <v/>
      </c>
      <c r="E789" s="427" t="str">
        <f t="shared" si="36"/>
        <v/>
      </c>
      <c r="F789" s="428" t="str">
        <f t="shared" si="37"/>
        <v/>
      </c>
      <c r="G789" s="129" t="str">
        <f>IF(H789="","",VLOOKUP(H789,プルダウン用リスト!$K$1:$M$15,2,FALSE))</f>
        <v/>
      </c>
      <c r="H789" s="76"/>
      <c r="I789" s="76"/>
      <c r="J789" s="76"/>
      <c r="K789" s="146"/>
      <c r="L789" s="77"/>
      <c r="M789" s="78"/>
      <c r="N789" s="71"/>
      <c r="O789" s="432" t="str">
        <f t="shared" si="38"/>
        <v/>
      </c>
    </row>
    <row r="790" spans="2:15" x14ac:dyDescent="0.4">
      <c r="B790" s="74"/>
      <c r="C790" s="60"/>
      <c r="D790" s="426" t="str">
        <f>IF(C790="","",VLOOKUP(C790,団体基本情報!$B$13:$D$22,3,FALSE))</f>
        <v/>
      </c>
      <c r="E790" s="427" t="str">
        <f t="shared" si="36"/>
        <v/>
      </c>
      <c r="F790" s="428" t="str">
        <f t="shared" si="37"/>
        <v/>
      </c>
      <c r="G790" s="129" t="str">
        <f>IF(H790="","",VLOOKUP(H790,プルダウン用リスト!$K$1:$M$15,2,FALSE))</f>
        <v/>
      </c>
      <c r="H790" s="76"/>
      <c r="I790" s="61"/>
      <c r="J790" s="76"/>
      <c r="K790" s="146"/>
      <c r="L790" s="77"/>
      <c r="M790" s="78"/>
      <c r="N790" s="71"/>
      <c r="O790" s="432" t="str">
        <f t="shared" si="38"/>
        <v/>
      </c>
    </row>
    <row r="791" spans="2:15" x14ac:dyDescent="0.4">
      <c r="B791" s="74"/>
      <c r="C791" s="60"/>
      <c r="D791" s="426" t="str">
        <f>IF(C791="","",VLOOKUP(C791,団体基本情報!$B$13:$D$22,3,FALSE))</f>
        <v/>
      </c>
      <c r="E791" s="427" t="str">
        <f t="shared" si="36"/>
        <v/>
      </c>
      <c r="F791" s="428" t="str">
        <f t="shared" si="37"/>
        <v/>
      </c>
      <c r="G791" s="129" t="str">
        <f>IF(H791="","",VLOOKUP(H791,プルダウン用リスト!$K$1:$M$15,2,FALSE))</f>
        <v/>
      </c>
      <c r="H791" s="76"/>
      <c r="I791" s="61"/>
      <c r="J791" s="76"/>
      <c r="K791" s="146"/>
      <c r="L791" s="77"/>
      <c r="M791" s="78"/>
      <c r="N791" s="71"/>
      <c r="O791" s="432" t="str">
        <f t="shared" si="38"/>
        <v/>
      </c>
    </row>
    <row r="792" spans="2:15" x14ac:dyDescent="0.4">
      <c r="B792" s="74"/>
      <c r="C792" s="60"/>
      <c r="D792" s="426" t="str">
        <f>IF(C792="","",VLOOKUP(C792,団体基本情報!$B$13:$D$22,3,FALSE))</f>
        <v/>
      </c>
      <c r="E792" s="427" t="str">
        <f t="shared" si="36"/>
        <v/>
      </c>
      <c r="F792" s="428" t="str">
        <f t="shared" si="37"/>
        <v/>
      </c>
      <c r="G792" s="129" t="str">
        <f>IF(H792="","",VLOOKUP(H792,プルダウン用リスト!$K$1:$M$15,2,FALSE))</f>
        <v/>
      </c>
      <c r="H792" s="76"/>
      <c r="I792" s="76"/>
      <c r="J792" s="76"/>
      <c r="K792" s="146"/>
      <c r="L792" s="77"/>
      <c r="M792" s="78"/>
      <c r="N792" s="71"/>
      <c r="O792" s="432" t="str">
        <f t="shared" si="38"/>
        <v/>
      </c>
    </row>
    <row r="793" spans="2:15" x14ac:dyDescent="0.4">
      <c r="B793" s="74"/>
      <c r="C793" s="60"/>
      <c r="D793" s="426" t="str">
        <f>IF(C793="","",VLOOKUP(C793,団体基本情報!$B$13:$D$22,3,FALSE))</f>
        <v/>
      </c>
      <c r="E793" s="427" t="str">
        <f t="shared" si="36"/>
        <v/>
      </c>
      <c r="F793" s="428" t="str">
        <f t="shared" si="37"/>
        <v/>
      </c>
      <c r="G793" s="129" t="str">
        <f>IF(H793="","",VLOOKUP(H793,プルダウン用リスト!$K$1:$M$15,2,FALSE))</f>
        <v/>
      </c>
      <c r="H793" s="76"/>
      <c r="I793" s="61"/>
      <c r="J793" s="76"/>
      <c r="K793" s="146"/>
      <c r="L793" s="77"/>
      <c r="M793" s="78"/>
      <c r="N793" s="71"/>
      <c r="O793" s="432" t="str">
        <f t="shared" si="38"/>
        <v/>
      </c>
    </row>
    <row r="794" spans="2:15" x14ac:dyDescent="0.4">
      <c r="B794" s="74"/>
      <c r="C794" s="60"/>
      <c r="D794" s="426" t="str">
        <f>IF(C794="","",VLOOKUP(C794,団体基本情報!$B$13:$D$22,3,FALSE))</f>
        <v/>
      </c>
      <c r="E794" s="427" t="str">
        <f t="shared" si="36"/>
        <v/>
      </c>
      <c r="F794" s="428" t="str">
        <f t="shared" si="37"/>
        <v/>
      </c>
      <c r="G794" s="129" t="str">
        <f>IF(H794="","",VLOOKUP(H794,プルダウン用リスト!$K$1:$M$15,2,FALSE))</f>
        <v/>
      </c>
      <c r="H794" s="76"/>
      <c r="I794" s="61"/>
      <c r="J794" s="76"/>
      <c r="K794" s="146"/>
      <c r="L794" s="77"/>
      <c r="M794" s="78"/>
      <c r="N794" s="71"/>
      <c r="O794" s="432" t="str">
        <f t="shared" si="38"/>
        <v/>
      </c>
    </row>
    <row r="795" spans="2:15" x14ac:dyDescent="0.4">
      <c r="B795" s="74"/>
      <c r="C795" s="60"/>
      <c r="D795" s="426" t="str">
        <f>IF(C795="","",VLOOKUP(C795,団体基本情報!$B$13:$D$22,3,FALSE))</f>
        <v/>
      </c>
      <c r="E795" s="427" t="str">
        <f t="shared" si="36"/>
        <v/>
      </c>
      <c r="F795" s="428" t="str">
        <f t="shared" si="37"/>
        <v/>
      </c>
      <c r="G795" s="129" t="str">
        <f>IF(H795="","",VLOOKUP(H795,プルダウン用リスト!$K$1:$M$15,2,FALSE))</f>
        <v/>
      </c>
      <c r="H795" s="76"/>
      <c r="I795" s="76"/>
      <c r="J795" s="76"/>
      <c r="K795" s="146"/>
      <c r="L795" s="77"/>
      <c r="M795" s="78"/>
      <c r="N795" s="71"/>
      <c r="O795" s="432" t="str">
        <f t="shared" si="38"/>
        <v/>
      </c>
    </row>
    <row r="796" spans="2:15" x14ac:dyDescent="0.4">
      <c r="B796" s="74"/>
      <c r="C796" s="60"/>
      <c r="D796" s="426" t="str">
        <f>IF(C796="","",VLOOKUP(C796,団体基本情報!$B$13:$D$22,3,FALSE))</f>
        <v/>
      </c>
      <c r="E796" s="427" t="str">
        <f t="shared" si="36"/>
        <v/>
      </c>
      <c r="F796" s="428" t="str">
        <f t="shared" si="37"/>
        <v/>
      </c>
      <c r="G796" s="129" t="str">
        <f>IF(H796="","",VLOOKUP(H796,プルダウン用リスト!$K$1:$M$15,2,FALSE))</f>
        <v/>
      </c>
      <c r="H796" s="76"/>
      <c r="I796" s="61"/>
      <c r="J796" s="76"/>
      <c r="K796" s="146"/>
      <c r="L796" s="77"/>
      <c r="M796" s="78"/>
      <c r="N796" s="71"/>
      <c r="O796" s="432" t="str">
        <f t="shared" si="38"/>
        <v/>
      </c>
    </row>
    <row r="797" spans="2:15" x14ac:dyDescent="0.4">
      <c r="B797" s="74"/>
      <c r="C797" s="60"/>
      <c r="D797" s="426" t="str">
        <f>IF(C797="","",VLOOKUP(C797,団体基本情報!$B$13:$D$22,3,FALSE))</f>
        <v/>
      </c>
      <c r="E797" s="427" t="str">
        <f t="shared" si="36"/>
        <v/>
      </c>
      <c r="F797" s="428" t="str">
        <f t="shared" si="37"/>
        <v/>
      </c>
      <c r="G797" s="129" t="str">
        <f>IF(H797="","",VLOOKUP(H797,プルダウン用リスト!$K$1:$M$15,2,FALSE))</f>
        <v/>
      </c>
      <c r="H797" s="76"/>
      <c r="I797" s="61"/>
      <c r="J797" s="76"/>
      <c r="K797" s="146"/>
      <c r="L797" s="77"/>
      <c r="M797" s="78"/>
      <c r="N797" s="71"/>
      <c r="O797" s="432" t="str">
        <f t="shared" si="38"/>
        <v/>
      </c>
    </row>
    <row r="798" spans="2:15" x14ac:dyDescent="0.4">
      <c r="B798" s="74"/>
      <c r="C798" s="75"/>
      <c r="D798" s="426" t="str">
        <f>IF(C798="","",VLOOKUP(C798,団体基本情報!$B$13:$D$22,3,FALSE))</f>
        <v/>
      </c>
      <c r="E798" s="427" t="str">
        <f t="shared" si="36"/>
        <v/>
      </c>
      <c r="F798" s="428" t="str">
        <f t="shared" si="37"/>
        <v/>
      </c>
      <c r="G798" s="129" t="str">
        <f>IF(H798="","",VLOOKUP(H798,プルダウン用リスト!$K$1:$M$15,2,FALSE))</f>
        <v/>
      </c>
      <c r="H798" s="76"/>
      <c r="I798" s="76"/>
      <c r="J798" s="76"/>
      <c r="K798" s="146"/>
      <c r="L798" s="77"/>
      <c r="M798" s="78"/>
      <c r="N798" s="71"/>
      <c r="O798" s="432" t="str">
        <f t="shared" si="38"/>
        <v/>
      </c>
    </row>
    <row r="799" spans="2:15" x14ac:dyDescent="0.4">
      <c r="B799" s="74"/>
      <c r="C799" s="60"/>
      <c r="D799" s="426" t="str">
        <f>IF(C799="","",VLOOKUP(C799,団体基本情報!$B$13:$D$22,3,FALSE))</f>
        <v/>
      </c>
      <c r="E799" s="427" t="str">
        <f t="shared" si="36"/>
        <v/>
      </c>
      <c r="F799" s="428" t="str">
        <f t="shared" si="37"/>
        <v/>
      </c>
      <c r="G799" s="129" t="str">
        <f>IF(H799="","",VLOOKUP(H799,プルダウン用リスト!$K$1:$M$15,2,FALSE))</f>
        <v/>
      </c>
      <c r="H799" s="76"/>
      <c r="I799" s="61"/>
      <c r="J799" s="76"/>
      <c r="K799" s="146"/>
      <c r="L799" s="77"/>
      <c r="M799" s="78"/>
      <c r="N799" s="71"/>
      <c r="O799" s="432" t="str">
        <f t="shared" si="38"/>
        <v/>
      </c>
    </row>
    <row r="800" spans="2:15" x14ac:dyDescent="0.4">
      <c r="B800" s="74"/>
      <c r="C800" s="60"/>
      <c r="D800" s="426" t="str">
        <f>IF(C800="","",VLOOKUP(C800,団体基本情報!$B$13:$D$22,3,FALSE))</f>
        <v/>
      </c>
      <c r="E800" s="427" t="str">
        <f t="shared" si="36"/>
        <v/>
      </c>
      <c r="F800" s="428" t="str">
        <f t="shared" si="37"/>
        <v/>
      </c>
      <c r="G800" s="129" t="str">
        <f>IF(H800="","",VLOOKUP(H800,プルダウン用リスト!$K$1:$M$15,2,FALSE))</f>
        <v/>
      </c>
      <c r="H800" s="76"/>
      <c r="I800" s="61"/>
      <c r="J800" s="76"/>
      <c r="K800" s="146"/>
      <c r="L800" s="77"/>
      <c r="M800" s="78"/>
      <c r="N800" s="71"/>
      <c r="O800" s="432" t="str">
        <f t="shared" si="38"/>
        <v/>
      </c>
    </row>
    <row r="801" spans="2:15" x14ac:dyDescent="0.4">
      <c r="B801" s="74"/>
      <c r="C801" s="60"/>
      <c r="D801" s="426" t="str">
        <f>IF(C801="","",VLOOKUP(C801,団体基本情報!$B$13:$D$22,3,FALSE))</f>
        <v/>
      </c>
      <c r="E801" s="427" t="str">
        <f t="shared" si="36"/>
        <v/>
      </c>
      <c r="F801" s="428" t="str">
        <f t="shared" si="37"/>
        <v/>
      </c>
      <c r="G801" s="129" t="str">
        <f>IF(H801="","",VLOOKUP(H801,プルダウン用リスト!$K$1:$M$15,2,FALSE))</f>
        <v/>
      </c>
      <c r="H801" s="76"/>
      <c r="I801" s="76"/>
      <c r="J801" s="76"/>
      <c r="K801" s="146"/>
      <c r="L801" s="77"/>
      <c r="M801" s="78"/>
      <c r="N801" s="71"/>
      <c r="O801" s="432" t="str">
        <f t="shared" si="38"/>
        <v/>
      </c>
    </row>
    <row r="802" spans="2:15" x14ac:dyDescent="0.4">
      <c r="B802" s="74"/>
      <c r="C802" s="60"/>
      <c r="D802" s="426" t="str">
        <f>IF(C802="","",VLOOKUP(C802,団体基本情報!$B$13:$D$22,3,FALSE))</f>
        <v/>
      </c>
      <c r="E802" s="427" t="str">
        <f t="shared" si="36"/>
        <v/>
      </c>
      <c r="F802" s="428" t="str">
        <f t="shared" si="37"/>
        <v/>
      </c>
      <c r="G802" s="129" t="str">
        <f>IF(H802="","",VLOOKUP(H802,プルダウン用リスト!$K$1:$M$15,2,FALSE))</f>
        <v/>
      </c>
      <c r="H802" s="76"/>
      <c r="I802" s="61"/>
      <c r="J802" s="76"/>
      <c r="K802" s="146"/>
      <c r="L802" s="77"/>
      <c r="M802" s="78"/>
      <c r="N802" s="71"/>
      <c r="O802" s="432" t="str">
        <f t="shared" si="38"/>
        <v/>
      </c>
    </row>
    <row r="803" spans="2:15" x14ac:dyDescent="0.4">
      <c r="B803" s="74"/>
      <c r="C803" s="60"/>
      <c r="D803" s="426" t="str">
        <f>IF(C803="","",VLOOKUP(C803,団体基本情報!$B$13:$D$22,3,FALSE))</f>
        <v/>
      </c>
      <c r="E803" s="427" t="str">
        <f t="shared" si="36"/>
        <v/>
      </c>
      <c r="F803" s="428" t="str">
        <f t="shared" si="37"/>
        <v/>
      </c>
      <c r="G803" s="129" t="str">
        <f>IF(H803="","",VLOOKUP(H803,プルダウン用リスト!$K$1:$M$15,2,FALSE))</f>
        <v/>
      </c>
      <c r="H803" s="76"/>
      <c r="I803" s="61"/>
      <c r="J803" s="76"/>
      <c r="K803" s="146"/>
      <c r="L803" s="77"/>
      <c r="M803" s="78"/>
      <c r="N803" s="71"/>
      <c r="O803" s="432" t="str">
        <f t="shared" si="38"/>
        <v/>
      </c>
    </row>
    <row r="804" spans="2:15" x14ac:dyDescent="0.4">
      <c r="B804" s="74"/>
      <c r="C804" s="60"/>
      <c r="D804" s="426" t="str">
        <f>IF(C804="","",VLOOKUP(C804,団体基本情報!$B$13:$D$22,3,FALSE))</f>
        <v/>
      </c>
      <c r="E804" s="427" t="str">
        <f t="shared" si="36"/>
        <v/>
      </c>
      <c r="F804" s="428" t="str">
        <f t="shared" si="37"/>
        <v/>
      </c>
      <c r="G804" s="129" t="str">
        <f>IF(H804="","",VLOOKUP(H804,プルダウン用リスト!$K$1:$M$15,2,FALSE))</f>
        <v/>
      </c>
      <c r="H804" s="76"/>
      <c r="I804" s="76"/>
      <c r="J804" s="76"/>
      <c r="K804" s="146"/>
      <c r="L804" s="77"/>
      <c r="M804" s="78"/>
      <c r="N804" s="71"/>
      <c r="O804" s="432" t="str">
        <f t="shared" si="38"/>
        <v/>
      </c>
    </row>
    <row r="805" spans="2:15" x14ac:dyDescent="0.4">
      <c r="B805" s="74"/>
      <c r="C805" s="60"/>
      <c r="D805" s="426" t="str">
        <f>IF(C805="","",VLOOKUP(C805,団体基本情報!$B$13:$D$22,3,FALSE))</f>
        <v/>
      </c>
      <c r="E805" s="427" t="str">
        <f t="shared" si="36"/>
        <v/>
      </c>
      <c r="F805" s="428" t="str">
        <f t="shared" si="37"/>
        <v/>
      </c>
      <c r="G805" s="129" t="str">
        <f>IF(H805="","",VLOOKUP(H805,プルダウン用リスト!$K$1:$M$15,2,FALSE))</f>
        <v/>
      </c>
      <c r="H805" s="76"/>
      <c r="I805" s="61"/>
      <c r="J805" s="76"/>
      <c r="K805" s="146"/>
      <c r="L805" s="77"/>
      <c r="M805" s="78"/>
      <c r="N805" s="71"/>
      <c r="O805" s="432" t="str">
        <f t="shared" si="38"/>
        <v/>
      </c>
    </row>
    <row r="806" spans="2:15" x14ac:dyDescent="0.4">
      <c r="B806" s="74"/>
      <c r="C806" s="60"/>
      <c r="D806" s="426" t="str">
        <f>IF(C806="","",VLOOKUP(C806,団体基本情報!$B$13:$D$22,3,FALSE))</f>
        <v/>
      </c>
      <c r="E806" s="427" t="str">
        <f t="shared" si="36"/>
        <v/>
      </c>
      <c r="F806" s="428" t="str">
        <f t="shared" si="37"/>
        <v/>
      </c>
      <c r="G806" s="129" t="str">
        <f>IF(H806="","",VLOOKUP(H806,プルダウン用リスト!$K$1:$M$15,2,FALSE))</f>
        <v/>
      </c>
      <c r="H806" s="76"/>
      <c r="I806" s="61"/>
      <c r="J806" s="76"/>
      <c r="K806" s="146"/>
      <c r="L806" s="77"/>
      <c r="M806" s="78"/>
      <c r="N806" s="71"/>
      <c r="O806" s="432" t="str">
        <f t="shared" si="38"/>
        <v/>
      </c>
    </row>
    <row r="807" spans="2:15" x14ac:dyDescent="0.4">
      <c r="B807" s="74"/>
      <c r="C807" s="60"/>
      <c r="D807" s="426" t="str">
        <f>IF(C807="","",VLOOKUP(C807,団体基本情報!$B$13:$D$22,3,FALSE))</f>
        <v/>
      </c>
      <c r="E807" s="427" t="str">
        <f t="shared" si="36"/>
        <v/>
      </c>
      <c r="F807" s="428" t="str">
        <f t="shared" si="37"/>
        <v/>
      </c>
      <c r="G807" s="129" t="str">
        <f>IF(H807="","",VLOOKUP(H807,プルダウン用リスト!$K$1:$M$15,2,FALSE))</f>
        <v/>
      </c>
      <c r="H807" s="76"/>
      <c r="I807" s="76"/>
      <c r="J807" s="76"/>
      <c r="K807" s="146"/>
      <c r="L807" s="77"/>
      <c r="M807" s="78"/>
      <c r="N807" s="71"/>
      <c r="O807" s="432" t="str">
        <f t="shared" si="38"/>
        <v/>
      </c>
    </row>
    <row r="808" spans="2:15" x14ac:dyDescent="0.4">
      <c r="B808" s="74"/>
      <c r="C808" s="60"/>
      <c r="D808" s="426" t="str">
        <f>IF(C808="","",VLOOKUP(C808,団体基本情報!$B$13:$D$22,3,FALSE))</f>
        <v/>
      </c>
      <c r="E808" s="427" t="str">
        <f t="shared" si="36"/>
        <v/>
      </c>
      <c r="F808" s="428" t="str">
        <f t="shared" si="37"/>
        <v/>
      </c>
      <c r="G808" s="129" t="str">
        <f>IF(H808="","",VLOOKUP(H808,プルダウン用リスト!$K$1:$M$15,2,FALSE))</f>
        <v/>
      </c>
      <c r="H808" s="76"/>
      <c r="I808" s="61"/>
      <c r="J808" s="76"/>
      <c r="K808" s="146"/>
      <c r="L808" s="77"/>
      <c r="M808" s="78"/>
      <c r="N808" s="71"/>
      <c r="O808" s="432" t="str">
        <f t="shared" si="38"/>
        <v/>
      </c>
    </row>
    <row r="809" spans="2:15" x14ac:dyDescent="0.4">
      <c r="B809" s="74"/>
      <c r="C809" s="60"/>
      <c r="D809" s="426" t="str">
        <f>IF(C809="","",VLOOKUP(C809,団体基本情報!$B$13:$D$22,3,FALSE))</f>
        <v/>
      </c>
      <c r="E809" s="427" t="str">
        <f t="shared" si="36"/>
        <v/>
      </c>
      <c r="F809" s="428" t="str">
        <f t="shared" si="37"/>
        <v/>
      </c>
      <c r="G809" s="129" t="str">
        <f>IF(H809="","",VLOOKUP(H809,プルダウン用リスト!$K$1:$M$15,2,FALSE))</f>
        <v/>
      </c>
      <c r="H809" s="76"/>
      <c r="I809" s="61"/>
      <c r="J809" s="76"/>
      <c r="K809" s="146"/>
      <c r="L809" s="77"/>
      <c r="M809" s="78"/>
      <c r="N809" s="71"/>
      <c r="O809" s="432" t="str">
        <f t="shared" si="38"/>
        <v/>
      </c>
    </row>
    <row r="810" spans="2:15" x14ac:dyDescent="0.4">
      <c r="B810" s="74"/>
      <c r="C810" s="75"/>
      <c r="D810" s="426" t="str">
        <f>IF(C810="","",VLOOKUP(C810,団体基本情報!$B$13:$D$22,3,FALSE))</f>
        <v/>
      </c>
      <c r="E810" s="427" t="str">
        <f t="shared" si="36"/>
        <v/>
      </c>
      <c r="F810" s="428" t="str">
        <f t="shared" si="37"/>
        <v/>
      </c>
      <c r="G810" s="129" t="str">
        <f>IF(H810="","",VLOOKUP(H810,プルダウン用リスト!$K$1:$M$15,2,FALSE))</f>
        <v/>
      </c>
      <c r="H810" s="76"/>
      <c r="I810" s="76"/>
      <c r="J810" s="76"/>
      <c r="K810" s="146"/>
      <c r="L810" s="77"/>
      <c r="M810" s="78"/>
      <c r="N810" s="71"/>
      <c r="O810" s="432" t="str">
        <f t="shared" si="38"/>
        <v/>
      </c>
    </row>
    <row r="811" spans="2:15" x14ac:dyDescent="0.4">
      <c r="B811" s="74"/>
      <c r="C811" s="60"/>
      <c r="D811" s="426" t="str">
        <f>IF(C811="","",VLOOKUP(C811,団体基本情報!$B$13:$D$22,3,FALSE))</f>
        <v/>
      </c>
      <c r="E811" s="427" t="str">
        <f t="shared" si="36"/>
        <v/>
      </c>
      <c r="F811" s="428" t="str">
        <f t="shared" si="37"/>
        <v/>
      </c>
      <c r="G811" s="129" t="str">
        <f>IF(H811="","",VLOOKUP(H811,プルダウン用リスト!$K$1:$M$15,2,FALSE))</f>
        <v/>
      </c>
      <c r="H811" s="76"/>
      <c r="I811" s="61"/>
      <c r="J811" s="76"/>
      <c r="K811" s="146"/>
      <c r="L811" s="77"/>
      <c r="M811" s="78"/>
      <c r="N811" s="71"/>
      <c r="O811" s="432" t="str">
        <f t="shared" si="38"/>
        <v/>
      </c>
    </row>
    <row r="812" spans="2:15" x14ac:dyDescent="0.4">
      <c r="B812" s="74"/>
      <c r="C812" s="60"/>
      <c r="D812" s="426" t="str">
        <f>IF(C812="","",VLOOKUP(C812,団体基本情報!$B$13:$D$22,3,FALSE))</f>
        <v/>
      </c>
      <c r="E812" s="427" t="str">
        <f t="shared" si="36"/>
        <v/>
      </c>
      <c r="F812" s="428" t="str">
        <f t="shared" si="37"/>
        <v/>
      </c>
      <c r="G812" s="129" t="str">
        <f>IF(H812="","",VLOOKUP(H812,プルダウン用リスト!$K$1:$M$15,2,FALSE))</f>
        <v/>
      </c>
      <c r="H812" s="76"/>
      <c r="I812" s="61"/>
      <c r="J812" s="76"/>
      <c r="K812" s="146"/>
      <c r="L812" s="77"/>
      <c r="M812" s="78"/>
      <c r="N812" s="71"/>
      <c r="O812" s="432" t="str">
        <f t="shared" si="38"/>
        <v/>
      </c>
    </row>
    <row r="813" spans="2:15" x14ac:dyDescent="0.4">
      <c r="B813" s="74"/>
      <c r="C813" s="60"/>
      <c r="D813" s="426" t="str">
        <f>IF(C813="","",VLOOKUP(C813,団体基本情報!$B$13:$D$22,3,FALSE))</f>
        <v/>
      </c>
      <c r="E813" s="427" t="str">
        <f t="shared" si="36"/>
        <v/>
      </c>
      <c r="F813" s="428" t="str">
        <f t="shared" si="37"/>
        <v/>
      </c>
      <c r="G813" s="129" t="str">
        <f>IF(H813="","",VLOOKUP(H813,プルダウン用リスト!$K$1:$M$15,2,FALSE))</f>
        <v/>
      </c>
      <c r="H813" s="76"/>
      <c r="I813" s="76"/>
      <c r="J813" s="76"/>
      <c r="K813" s="146"/>
      <c r="L813" s="77"/>
      <c r="M813" s="78"/>
      <c r="N813" s="71"/>
      <c r="O813" s="432" t="str">
        <f t="shared" si="38"/>
        <v/>
      </c>
    </row>
    <row r="814" spans="2:15" x14ac:dyDescent="0.4">
      <c r="B814" s="74"/>
      <c r="C814" s="60"/>
      <c r="D814" s="426" t="str">
        <f>IF(C814="","",VLOOKUP(C814,団体基本情報!$B$13:$D$22,3,FALSE))</f>
        <v/>
      </c>
      <c r="E814" s="427" t="str">
        <f t="shared" si="36"/>
        <v/>
      </c>
      <c r="F814" s="428" t="str">
        <f t="shared" si="37"/>
        <v/>
      </c>
      <c r="G814" s="129" t="str">
        <f>IF(H814="","",VLOOKUP(H814,プルダウン用リスト!$K$1:$M$15,2,FALSE))</f>
        <v/>
      </c>
      <c r="H814" s="76"/>
      <c r="I814" s="61"/>
      <c r="J814" s="76"/>
      <c r="K814" s="146"/>
      <c r="L814" s="77"/>
      <c r="M814" s="78"/>
      <c r="N814" s="71"/>
      <c r="O814" s="432" t="str">
        <f t="shared" si="38"/>
        <v/>
      </c>
    </row>
    <row r="815" spans="2:15" x14ac:dyDescent="0.4">
      <c r="B815" s="74"/>
      <c r="C815" s="60"/>
      <c r="D815" s="426" t="str">
        <f>IF(C815="","",VLOOKUP(C815,団体基本情報!$B$13:$D$22,3,FALSE))</f>
        <v/>
      </c>
      <c r="E815" s="427" t="str">
        <f t="shared" si="36"/>
        <v/>
      </c>
      <c r="F815" s="428" t="str">
        <f t="shared" si="37"/>
        <v/>
      </c>
      <c r="G815" s="129" t="str">
        <f>IF(H815="","",VLOOKUP(H815,プルダウン用リスト!$K$1:$M$15,2,FALSE))</f>
        <v/>
      </c>
      <c r="H815" s="76"/>
      <c r="I815" s="61"/>
      <c r="J815" s="76"/>
      <c r="K815" s="146"/>
      <c r="L815" s="77"/>
      <c r="M815" s="78"/>
      <c r="N815" s="71"/>
      <c r="O815" s="432" t="str">
        <f t="shared" si="38"/>
        <v/>
      </c>
    </row>
    <row r="816" spans="2:15" x14ac:dyDescent="0.4">
      <c r="B816" s="74"/>
      <c r="C816" s="60"/>
      <c r="D816" s="426" t="str">
        <f>IF(C816="","",VLOOKUP(C816,団体基本情報!$B$13:$D$22,3,FALSE))</f>
        <v/>
      </c>
      <c r="E816" s="427" t="str">
        <f t="shared" si="36"/>
        <v/>
      </c>
      <c r="F816" s="428" t="str">
        <f t="shared" si="37"/>
        <v/>
      </c>
      <c r="G816" s="129" t="str">
        <f>IF(H816="","",VLOOKUP(H816,プルダウン用リスト!$K$1:$M$15,2,FALSE))</f>
        <v/>
      </c>
      <c r="H816" s="76"/>
      <c r="I816" s="76"/>
      <c r="J816" s="76"/>
      <c r="K816" s="146"/>
      <c r="L816" s="77"/>
      <c r="M816" s="78"/>
      <c r="N816" s="71"/>
      <c r="O816" s="432" t="str">
        <f t="shared" si="38"/>
        <v/>
      </c>
    </row>
    <row r="817" spans="2:15" x14ac:dyDescent="0.4">
      <c r="B817" s="74"/>
      <c r="C817" s="60"/>
      <c r="D817" s="426" t="str">
        <f>IF(C817="","",VLOOKUP(C817,団体基本情報!$B$13:$D$22,3,FALSE))</f>
        <v/>
      </c>
      <c r="E817" s="427" t="str">
        <f t="shared" si="36"/>
        <v/>
      </c>
      <c r="F817" s="428" t="str">
        <f t="shared" si="37"/>
        <v/>
      </c>
      <c r="G817" s="129" t="str">
        <f>IF(H817="","",VLOOKUP(H817,プルダウン用リスト!$K$1:$M$15,2,FALSE))</f>
        <v/>
      </c>
      <c r="H817" s="76"/>
      <c r="I817" s="61"/>
      <c r="J817" s="76"/>
      <c r="K817" s="146"/>
      <c r="L817" s="77"/>
      <c r="M817" s="78"/>
      <c r="N817" s="71"/>
      <c r="O817" s="432" t="str">
        <f t="shared" si="38"/>
        <v/>
      </c>
    </row>
    <row r="818" spans="2:15" x14ac:dyDescent="0.4">
      <c r="B818" s="74"/>
      <c r="C818" s="60"/>
      <c r="D818" s="426" t="str">
        <f>IF(C818="","",VLOOKUP(C818,団体基本情報!$B$13:$D$22,3,FALSE))</f>
        <v/>
      </c>
      <c r="E818" s="427" t="str">
        <f t="shared" si="36"/>
        <v/>
      </c>
      <c r="F818" s="428" t="str">
        <f t="shared" si="37"/>
        <v/>
      </c>
      <c r="G818" s="129" t="str">
        <f>IF(H818="","",VLOOKUP(H818,プルダウン用リスト!$K$1:$M$15,2,FALSE))</f>
        <v/>
      </c>
      <c r="H818" s="76"/>
      <c r="I818" s="61"/>
      <c r="J818" s="76"/>
      <c r="K818" s="146"/>
      <c r="L818" s="77"/>
      <c r="M818" s="78"/>
      <c r="N818" s="71"/>
      <c r="O818" s="432" t="str">
        <f t="shared" si="38"/>
        <v/>
      </c>
    </row>
    <row r="819" spans="2:15" x14ac:dyDescent="0.4">
      <c r="B819" s="74"/>
      <c r="C819" s="60"/>
      <c r="D819" s="426" t="str">
        <f>IF(C819="","",VLOOKUP(C819,団体基本情報!$B$13:$D$22,3,FALSE))</f>
        <v/>
      </c>
      <c r="E819" s="427" t="str">
        <f t="shared" si="36"/>
        <v/>
      </c>
      <c r="F819" s="428" t="str">
        <f t="shared" si="37"/>
        <v/>
      </c>
      <c r="G819" s="129" t="str">
        <f>IF(H819="","",VLOOKUP(H819,プルダウン用リスト!$K$1:$M$15,2,FALSE))</f>
        <v/>
      </c>
      <c r="H819" s="76"/>
      <c r="I819" s="76"/>
      <c r="J819" s="76"/>
      <c r="K819" s="146"/>
      <c r="L819" s="77"/>
      <c r="M819" s="78"/>
      <c r="N819" s="71"/>
      <c r="O819" s="432" t="str">
        <f t="shared" si="38"/>
        <v/>
      </c>
    </row>
    <row r="820" spans="2:15" x14ac:dyDescent="0.4">
      <c r="B820" s="74"/>
      <c r="C820" s="60"/>
      <c r="D820" s="426" t="str">
        <f>IF(C820="","",VLOOKUP(C820,団体基本情報!$B$13:$D$22,3,FALSE))</f>
        <v/>
      </c>
      <c r="E820" s="427" t="str">
        <f t="shared" si="36"/>
        <v/>
      </c>
      <c r="F820" s="428" t="str">
        <f t="shared" si="37"/>
        <v/>
      </c>
      <c r="G820" s="129" t="str">
        <f>IF(H820="","",VLOOKUP(H820,プルダウン用リスト!$K$1:$M$15,2,FALSE))</f>
        <v/>
      </c>
      <c r="H820" s="76"/>
      <c r="I820" s="61"/>
      <c r="J820" s="76"/>
      <c r="K820" s="146"/>
      <c r="L820" s="77"/>
      <c r="M820" s="78"/>
      <c r="N820" s="71"/>
      <c r="O820" s="432" t="str">
        <f t="shared" si="38"/>
        <v/>
      </c>
    </row>
    <row r="821" spans="2:15" x14ac:dyDescent="0.4">
      <c r="B821" s="74"/>
      <c r="C821" s="60"/>
      <c r="D821" s="426" t="str">
        <f>IF(C821="","",VLOOKUP(C821,団体基本情報!$B$13:$D$22,3,FALSE))</f>
        <v/>
      </c>
      <c r="E821" s="427" t="str">
        <f t="shared" si="36"/>
        <v/>
      </c>
      <c r="F821" s="428" t="str">
        <f t="shared" si="37"/>
        <v/>
      </c>
      <c r="G821" s="129" t="str">
        <f>IF(H821="","",VLOOKUP(H821,プルダウン用リスト!$K$1:$M$15,2,FALSE))</f>
        <v/>
      </c>
      <c r="H821" s="76"/>
      <c r="I821" s="61"/>
      <c r="J821" s="76"/>
      <c r="K821" s="146"/>
      <c r="L821" s="77"/>
      <c r="M821" s="78"/>
      <c r="N821" s="71"/>
      <c r="O821" s="432" t="str">
        <f t="shared" si="38"/>
        <v/>
      </c>
    </row>
    <row r="822" spans="2:15" x14ac:dyDescent="0.4">
      <c r="B822" s="74"/>
      <c r="C822" s="75"/>
      <c r="D822" s="426" t="str">
        <f>IF(C822="","",VLOOKUP(C822,団体基本情報!$B$13:$D$22,3,FALSE))</f>
        <v/>
      </c>
      <c r="E822" s="427" t="str">
        <f t="shared" si="36"/>
        <v/>
      </c>
      <c r="F822" s="428" t="str">
        <f t="shared" si="37"/>
        <v/>
      </c>
      <c r="G822" s="129" t="str">
        <f>IF(H822="","",VLOOKUP(H822,プルダウン用リスト!$K$1:$M$15,2,FALSE))</f>
        <v/>
      </c>
      <c r="H822" s="76"/>
      <c r="I822" s="76"/>
      <c r="J822" s="76"/>
      <c r="K822" s="146"/>
      <c r="L822" s="77"/>
      <c r="M822" s="78"/>
      <c r="N822" s="71"/>
      <c r="O822" s="432" t="str">
        <f t="shared" si="38"/>
        <v/>
      </c>
    </row>
    <row r="823" spans="2:15" x14ac:dyDescent="0.4">
      <c r="B823" s="74"/>
      <c r="C823" s="60"/>
      <c r="D823" s="426" t="str">
        <f>IF(C823="","",VLOOKUP(C823,団体基本情報!$B$13:$D$22,3,FALSE))</f>
        <v/>
      </c>
      <c r="E823" s="427" t="str">
        <f t="shared" si="36"/>
        <v/>
      </c>
      <c r="F823" s="428" t="str">
        <f t="shared" si="37"/>
        <v/>
      </c>
      <c r="G823" s="129" t="str">
        <f>IF(H823="","",VLOOKUP(H823,プルダウン用リスト!$K$1:$M$15,2,FALSE))</f>
        <v/>
      </c>
      <c r="H823" s="76"/>
      <c r="I823" s="61"/>
      <c r="J823" s="76"/>
      <c r="K823" s="146"/>
      <c r="L823" s="77"/>
      <c r="M823" s="78"/>
      <c r="N823" s="71"/>
      <c r="O823" s="432" t="str">
        <f t="shared" si="38"/>
        <v/>
      </c>
    </row>
    <row r="824" spans="2:15" x14ac:dyDescent="0.4">
      <c r="B824" s="74"/>
      <c r="C824" s="60"/>
      <c r="D824" s="426" t="str">
        <f>IF(C824="","",VLOOKUP(C824,団体基本情報!$B$13:$D$22,3,FALSE))</f>
        <v/>
      </c>
      <c r="E824" s="427" t="str">
        <f t="shared" si="36"/>
        <v/>
      </c>
      <c r="F824" s="428" t="str">
        <f t="shared" si="37"/>
        <v/>
      </c>
      <c r="G824" s="129" t="str">
        <f>IF(H824="","",VLOOKUP(H824,プルダウン用リスト!$K$1:$M$15,2,FALSE))</f>
        <v/>
      </c>
      <c r="H824" s="76"/>
      <c r="I824" s="61"/>
      <c r="J824" s="76"/>
      <c r="K824" s="146"/>
      <c r="L824" s="77"/>
      <c r="M824" s="78"/>
      <c r="N824" s="71"/>
      <c r="O824" s="432" t="str">
        <f t="shared" si="38"/>
        <v/>
      </c>
    </row>
    <row r="825" spans="2:15" x14ac:dyDescent="0.4">
      <c r="B825" s="74"/>
      <c r="C825" s="60"/>
      <c r="D825" s="426" t="str">
        <f>IF(C825="","",VLOOKUP(C825,団体基本情報!$B$13:$D$22,3,FALSE))</f>
        <v/>
      </c>
      <c r="E825" s="427" t="str">
        <f t="shared" si="36"/>
        <v/>
      </c>
      <c r="F825" s="428" t="str">
        <f t="shared" si="37"/>
        <v/>
      </c>
      <c r="G825" s="129" t="str">
        <f>IF(H825="","",VLOOKUP(H825,プルダウン用リスト!$K$1:$M$15,2,FALSE))</f>
        <v/>
      </c>
      <c r="H825" s="76"/>
      <c r="I825" s="76"/>
      <c r="J825" s="76"/>
      <c r="K825" s="146"/>
      <c r="L825" s="77"/>
      <c r="M825" s="78"/>
      <c r="N825" s="71"/>
      <c r="O825" s="432" t="str">
        <f t="shared" si="38"/>
        <v/>
      </c>
    </row>
    <row r="826" spans="2:15" x14ac:dyDescent="0.4">
      <c r="B826" s="74"/>
      <c r="C826" s="60"/>
      <c r="D826" s="426" t="str">
        <f>IF(C826="","",VLOOKUP(C826,団体基本情報!$B$13:$D$22,3,FALSE))</f>
        <v/>
      </c>
      <c r="E826" s="427" t="str">
        <f t="shared" si="36"/>
        <v/>
      </c>
      <c r="F826" s="428" t="str">
        <f t="shared" si="37"/>
        <v/>
      </c>
      <c r="G826" s="129" t="str">
        <f>IF(H826="","",VLOOKUP(H826,プルダウン用リスト!$K$1:$M$15,2,FALSE))</f>
        <v/>
      </c>
      <c r="H826" s="76"/>
      <c r="I826" s="61"/>
      <c r="J826" s="76"/>
      <c r="K826" s="146"/>
      <c r="L826" s="77"/>
      <c r="M826" s="78"/>
      <c r="N826" s="71"/>
      <c r="O826" s="432" t="str">
        <f t="shared" si="38"/>
        <v/>
      </c>
    </row>
    <row r="827" spans="2:15" x14ac:dyDescent="0.4">
      <c r="B827" s="74"/>
      <c r="C827" s="60"/>
      <c r="D827" s="426" t="str">
        <f>IF(C827="","",VLOOKUP(C827,団体基本情報!$B$13:$D$22,3,FALSE))</f>
        <v/>
      </c>
      <c r="E827" s="427" t="str">
        <f t="shared" si="36"/>
        <v/>
      </c>
      <c r="F827" s="428" t="str">
        <f t="shared" si="37"/>
        <v/>
      </c>
      <c r="G827" s="129" t="str">
        <f>IF(H827="","",VLOOKUP(H827,プルダウン用リスト!$K$1:$M$15,2,FALSE))</f>
        <v/>
      </c>
      <c r="H827" s="76"/>
      <c r="I827" s="61"/>
      <c r="J827" s="76"/>
      <c r="K827" s="146"/>
      <c r="L827" s="77"/>
      <c r="M827" s="78"/>
      <c r="N827" s="71"/>
      <c r="O827" s="432" t="str">
        <f t="shared" si="38"/>
        <v/>
      </c>
    </row>
    <row r="828" spans="2:15" x14ac:dyDescent="0.4">
      <c r="B828" s="74"/>
      <c r="C828" s="60"/>
      <c r="D828" s="426" t="str">
        <f>IF(C828="","",VLOOKUP(C828,団体基本情報!$B$13:$D$22,3,FALSE))</f>
        <v/>
      </c>
      <c r="E828" s="427" t="str">
        <f t="shared" si="36"/>
        <v/>
      </c>
      <c r="F828" s="428" t="str">
        <f t="shared" si="37"/>
        <v/>
      </c>
      <c r="G828" s="129" t="str">
        <f>IF(H828="","",VLOOKUP(H828,プルダウン用リスト!$K$1:$M$15,2,FALSE))</f>
        <v/>
      </c>
      <c r="H828" s="76"/>
      <c r="I828" s="76"/>
      <c r="J828" s="76"/>
      <c r="K828" s="146"/>
      <c r="L828" s="77"/>
      <c r="M828" s="78"/>
      <c r="N828" s="71"/>
      <c r="O828" s="432" t="str">
        <f t="shared" si="38"/>
        <v/>
      </c>
    </row>
    <row r="829" spans="2:15" x14ac:dyDescent="0.4">
      <c r="B829" s="74"/>
      <c r="C829" s="60"/>
      <c r="D829" s="426" t="str">
        <f>IF(C829="","",VLOOKUP(C829,団体基本情報!$B$13:$D$22,3,FALSE))</f>
        <v/>
      </c>
      <c r="E829" s="427" t="str">
        <f t="shared" si="36"/>
        <v/>
      </c>
      <c r="F829" s="428" t="str">
        <f t="shared" si="37"/>
        <v/>
      </c>
      <c r="G829" s="129" t="str">
        <f>IF(H829="","",VLOOKUP(H829,プルダウン用リスト!$K$1:$M$15,2,FALSE))</f>
        <v/>
      </c>
      <c r="H829" s="76"/>
      <c r="I829" s="61"/>
      <c r="J829" s="76"/>
      <c r="K829" s="146"/>
      <c r="L829" s="77"/>
      <c r="M829" s="78"/>
      <c r="N829" s="71"/>
      <c r="O829" s="432" t="str">
        <f t="shared" si="38"/>
        <v/>
      </c>
    </row>
    <row r="830" spans="2:15" x14ac:dyDescent="0.4">
      <c r="B830" s="74"/>
      <c r="C830" s="60"/>
      <c r="D830" s="426" t="str">
        <f>IF(C830="","",VLOOKUP(C830,団体基本情報!$B$13:$D$22,3,FALSE))</f>
        <v/>
      </c>
      <c r="E830" s="427" t="str">
        <f t="shared" si="36"/>
        <v/>
      </c>
      <c r="F830" s="428" t="str">
        <f t="shared" si="37"/>
        <v/>
      </c>
      <c r="G830" s="129" t="str">
        <f>IF(H830="","",VLOOKUP(H830,プルダウン用リスト!$K$1:$M$15,2,FALSE))</f>
        <v/>
      </c>
      <c r="H830" s="76"/>
      <c r="I830" s="61"/>
      <c r="J830" s="76"/>
      <c r="K830" s="146"/>
      <c r="L830" s="77"/>
      <c r="M830" s="78"/>
      <c r="N830" s="71"/>
      <c r="O830" s="432" t="str">
        <f t="shared" si="38"/>
        <v/>
      </c>
    </row>
    <row r="831" spans="2:15" x14ac:dyDescent="0.4">
      <c r="B831" s="74"/>
      <c r="C831" s="60"/>
      <c r="D831" s="426" t="str">
        <f>IF(C831="","",VLOOKUP(C831,団体基本情報!$B$13:$D$22,3,FALSE))</f>
        <v/>
      </c>
      <c r="E831" s="427" t="str">
        <f t="shared" si="36"/>
        <v/>
      </c>
      <c r="F831" s="428" t="str">
        <f t="shared" si="37"/>
        <v/>
      </c>
      <c r="G831" s="129" t="str">
        <f>IF(H831="","",VLOOKUP(H831,プルダウン用リスト!$K$1:$M$15,2,FALSE))</f>
        <v/>
      </c>
      <c r="H831" s="76"/>
      <c r="I831" s="76"/>
      <c r="J831" s="76"/>
      <c r="K831" s="146"/>
      <c r="L831" s="77"/>
      <c r="M831" s="78"/>
      <c r="N831" s="71"/>
      <c r="O831" s="432" t="str">
        <f t="shared" si="38"/>
        <v/>
      </c>
    </row>
    <row r="832" spans="2:15" x14ac:dyDescent="0.4">
      <c r="B832" s="74"/>
      <c r="C832" s="60"/>
      <c r="D832" s="426" t="str">
        <f>IF(C832="","",VLOOKUP(C832,団体基本情報!$B$13:$D$22,3,FALSE))</f>
        <v/>
      </c>
      <c r="E832" s="427" t="str">
        <f t="shared" si="36"/>
        <v/>
      </c>
      <c r="F832" s="428" t="str">
        <f t="shared" si="37"/>
        <v/>
      </c>
      <c r="G832" s="129" t="str">
        <f>IF(H832="","",VLOOKUP(H832,プルダウン用リスト!$K$1:$M$15,2,FALSE))</f>
        <v/>
      </c>
      <c r="H832" s="76"/>
      <c r="I832" s="61"/>
      <c r="J832" s="76"/>
      <c r="K832" s="146"/>
      <c r="L832" s="77"/>
      <c r="M832" s="78"/>
      <c r="N832" s="71"/>
      <c r="O832" s="432" t="str">
        <f t="shared" si="38"/>
        <v/>
      </c>
    </row>
    <row r="833" spans="2:15" x14ac:dyDescent="0.4">
      <c r="B833" s="74"/>
      <c r="C833" s="60"/>
      <c r="D833" s="426" t="str">
        <f>IF(C833="","",VLOOKUP(C833,団体基本情報!$B$13:$D$22,3,FALSE))</f>
        <v/>
      </c>
      <c r="E833" s="427" t="str">
        <f t="shared" si="36"/>
        <v/>
      </c>
      <c r="F833" s="428" t="str">
        <f t="shared" si="37"/>
        <v/>
      </c>
      <c r="G833" s="129" t="str">
        <f>IF(H833="","",VLOOKUP(H833,プルダウン用リスト!$K$1:$M$15,2,FALSE))</f>
        <v/>
      </c>
      <c r="H833" s="76"/>
      <c r="I833" s="61"/>
      <c r="J833" s="76"/>
      <c r="K833" s="146"/>
      <c r="L833" s="77"/>
      <c r="M833" s="78"/>
      <c r="N833" s="71"/>
      <c r="O833" s="432" t="str">
        <f t="shared" si="38"/>
        <v/>
      </c>
    </row>
    <row r="834" spans="2:15" x14ac:dyDescent="0.4">
      <c r="B834" s="74"/>
      <c r="C834" s="75"/>
      <c r="D834" s="426" t="str">
        <f>IF(C834="","",VLOOKUP(C834,団体基本情報!$B$13:$D$22,3,FALSE))</f>
        <v/>
      </c>
      <c r="E834" s="427" t="str">
        <f t="shared" si="36"/>
        <v/>
      </c>
      <c r="F834" s="428" t="str">
        <f t="shared" si="37"/>
        <v/>
      </c>
      <c r="G834" s="129" t="str">
        <f>IF(H834="","",VLOOKUP(H834,プルダウン用リスト!$K$1:$M$15,2,FALSE))</f>
        <v/>
      </c>
      <c r="H834" s="76"/>
      <c r="I834" s="76"/>
      <c r="J834" s="76"/>
      <c r="K834" s="146"/>
      <c r="L834" s="77"/>
      <c r="M834" s="78"/>
      <c r="N834" s="71"/>
      <c r="O834" s="432" t="str">
        <f t="shared" si="38"/>
        <v/>
      </c>
    </row>
    <row r="835" spans="2:15" x14ac:dyDescent="0.4">
      <c r="B835" s="74"/>
      <c r="C835" s="60"/>
      <c r="D835" s="426" t="str">
        <f>IF(C835="","",VLOOKUP(C835,団体基本情報!$B$13:$D$22,3,FALSE))</f>
        <v/>
      </c>
      <c r="E835" s="427" t="str">
        <f t="shared" si="36"/>
        <v/>
      </c>
      <c r="F835" s="428" t="str">
        <f t="shared" si="37"/>
        <v/>
      </c>
      <c r="G835" s="129" t="str">
        <f>IF(H835="","",VLOOKUP(H835,プルダウン用リスト!$K$1:$M$15,2,FALSE))</f>
        <v/>
      </c>
      <c r="H835" s="76"/>
      <c r="I835" s="61"/>
      <c r="J835" s="76"/>
      <c r="K835" s="146"/>
      <c r="L835" s="77"/>
      <c r="M835" s="78"/>
      <c r="N835" s="71"/>
      <c r="O835" s="432" t="str">
        <f t="shared" si="38"/>
        <v/>
      </c>
    </row>
    <row r="836" spans="2:15" x14ac:dyDescent="0.4">
      <c r="B836" s="74"/>
      <c r="C836" s="60"/>
      <c r="D836" s="426" t="str">
        <f>IF(C836="","",VLOOKUP(C836,団体基本情報!$B$13:$D$22,3,FALSE))</f>
        <v/>
      </c>
      <c r="E836" s="427" t="str">
        <f t="shared" si="36"/>
        <v/>
      </c>
      <c r="F836" s="428" t="str">
        <f t="shared" si="37"/>
        <v/>
      </c>
      <c r="G836" s="129" t="str">
        <f>IF(H836="","",VLOOKUP(H836,プルダウン用リスト!$K$1:$M$15,2,FALSE))</f>
        <v/>
      </c>
      <c r="H836" s="76"/>
      <c r="I836" s="61"/>
      <c r="J836" s="76"/>
      <c r="K836" s="146"/>
      <c r="L836" s="77"/>
      <c r="M836" s="78"/>
      <c r="N836" s="71"/>
      <c r="O836" s="432" t="str">
        <f t="shared" si="38"/>
        <v/>
      </c>
    </row>
    <row r="837" spans="2:15" x14ac:dyDescent="0.4">
      <c r="B837" s="74"/>
      <c r="C837" s="60"/>
      <c r="D837" s="426" t="str">
        <f>IF(C837="","",VLOOKUP(C837,団体基本情報!$B$13:$D$22,3,FALSE))</f>
        <v/>
      </c>
      <c r="E837" s="427" t="str">
        <f t="shared" si="36"/>
        <v/>
      </c>
      <c r="F837" s="428" t="str">
        <f t="shared" si="37"/>
        <v/>
      </c>
      <c r="G837" s="129" t="str">
        <f>IF(H837="","",VLOOKUP(H837,プルダウン用リスト!$K$1:$M$15,2,FALSE))</f>
        <v/>
      </c>
      <c r="H837" s="76"/>
      <c r="I837" s="76"/>
      <c r="J837" s="76"/>
      <c r="K837" s="146"/>
      <c r="L837" s="77"/>
      <c r="M837" s="78"/>
      <c r="N837" s="71"/>
      <c r="O837" s="432" t="str">
        <f t="shared" si="38"/>
        <v/>
      </c>
    </row>
    <row r="838" spans="2:15" x14ac:dyDescent="0.4">
      <c r="B838" s="74"/>
      <c r="C838" s="60"/>
      <c r="D838" s="426" t="str">
        <f>IF(C838="","",VLOOKUP(C838,団体基本情報!$B$13:$D$22,3,FALSE))</f>
        <v/>
      </c>
      <c r="E838" s="427" t="str">
        <f t="shared" si="36"/>
        <v/>
      </c>
      <c r="F838" s="428" t="str">
        <f t="shared" si="37"/>
        <v/>
      </c>
      <c r="G838" s="129" t="str">
        <f>IF(H838="","",VLOOKUP(H838,プルダウン用リスト!$K$1:$M$15,2,FALSE))</f>
        <v/>
      </c>
      <c r="H838" s="76"/>
      <c r="I838" s="61"/>
      <c r="J838" s="76"/>
      <c r="K838" s="146"/>
      <c r="L838" s="77"/>
      <c r="M838" s="78"/>
      <c r="N838" s="71"/>
      <c r="O838" s="432" t="str">
        <f t="shared" si="38"/>
        <v/>
      </c>
    </row>
    <row r="839" spans="2:15" x14ac:dyDescent="0.4">
      <c r="B839" s="74"/>
      <c r="C839" s="60"/>
      <c r="D839" s="426" t="str">
        <f>IF(C839="","",VLOOKUP(C839,団体基本情報!$B$13:$D$22,3,FALSE))</f>
        <v/>
      </c>
      <c r="E839" s="427" t="str">
        <f t="shared" ref="E839:E902" si="39">IF(F839="","",IF(F839="謝金","01.",IF(F839="旅費","02.",IF(F839="その他","04.","03."))))</f>
        <v/>
      </c>
      <c r="F839" s="428" t="str">
        <f t="shared" ref="F839:F902" si="40">IF(H839="","",IF(H839="謝金","謝金",IF(H839="旅費","旅費",IF(H839="対象外経費","その他","所費"))))</f>
        <v/>
      </c>
      <c r="G839" s="129" t="str">
        <f>IF(H839="","",VLOOKUP(H839,プルダウン用リスト!$K$1:$M$15,2,FALSE))</f>
        <v/>
      </c>
      <c r="H839" s="76"/>
      <c r="I839" s="61"/>
      <c r="J839" s="76"/>
      <c r="K839" s="146"/>
      <c r="L839" s="77"/>
      <c r="M839" s="78"/>
      <c r="N839" s="71"/>
      <c r="O839" s="432" t="str">
        <f t="shared" ref="O839:O902" si="41">IF(H839="対象外経費",M839,IF(N839="","",M839-N839))</f>
        <v/>
      </c>
    </row>
    <row r="840" spans="2:15" x14ac:dyDescent="0.4">
      <c r="B840" s="74"/>
      <c r="C840" s="60"/>
      <c r="D840" s="426" t="str">
        <f>IF(C840="","",VLOOKUP(C840,団体基本情報!$B$13:$D$22,3,FALSE))</f>
        <v/>
      </c>
      <c r="E840" s="427" t="str">
        <f t="shared" si="39"/>
        <v/>
      </c>
      <c r="F840" s="428" t="str">
        <f t="shared" si="40"/>
        <v/>
      </c>
      <c r="G840" s="129" t="str">
        <f>IF(H840="","",VLOOKUP(H840,プルダウン用リスト!$K$1:$M$15,2,FALSE))</f>
        <v/>
      </c>
      <c r="H840" s="76"/>
      <c r="I840" s="76"/>
      <c r="J840" s="76"/>
      <c r="K840" s="146"/>
      <c r="L840" s="77"/>
      <c r="M840" s="78"/>
      <c r="N840" s="71"/>
      <c r="O840" s="432" t="str">
        <f t="shared" si="41"/>
        <v/>
      </c>
    </row>
    <row r="841" spans="2:15" x14ac:dyDescent="0.4">
      <c r="B841" s="74"/>
      <c r="C841" s="60"/>
      <c r="D841" s="426" t="str">
        <f>IF(C841="","",VLOOKUP(C841,団体基本情報!$B$13:$D$22,3,FALSE))</f>
        <v/>
      </c>
      <c r="E841" s="427" t="str">
        <f t="shared" si="39"/>
        <v/>
      </c>
      <c r="F841" s="428" t="str">
        <f t="shared" si="40"/>
        <v/>
      </c>
      <c r="G841" s="129" t="str">
        <f>IF(H841="","",VLOOKUP(H841,プルダウン用リスト!$K$1:$M$15,2,FALSE))</f>
        <v/>
      </c>
      <c r="H841" s="76"/>
      <c r="I841" s="61"/>
      <c r="J841" s="76"/>
      <c r="K841" s="146"/>
      <c r="L841" s="77"/>
      <c r="M841" s="78"/>
      <c r="N841" s="71"/>
      <c r="O841" s="432" t="str">
        <f t="shared" si="41"/>
        <v/>
      </c>
    </row>
    <row r="842" spans="2:15" x14ac:dyDescent="0.4">
      <c r="B842" s="74"/>
      <c r="C842" s="60"/>
      <c r="D842" s="426" t="str">
        <f>IF(C842="","",VLOOKUP(C842,団体基本情報!$B$13:$D$22,3,FALSE))</f>
        <v/>
      </c>
      <c r="E842" s="427" t="str">
        <f t="shared" si="39"/>
        <v/>
      </c>
      <c r="F842" s="428" t="str">
        <f t="shared" si="40"/>
        <v/>
      </c>
      <c r="G842" s="129" t="str">
        <f>IF(H842="","",VLOOKUP(H842,プルダウン用リスト!$K$1:$M$15,2,FALSE))</f>
        <v/>
      </c>
      <c r="H842" s="76"/>
      <c r="I842" s="61"/>
      <c r="J842" s="76"/>
      <c r="K842" s="146"/>
      <c r="L842" s="77"/>
      <c r="M842" s="78"/>
      <c r="N842" s="71"/>
      <c r="O842" s="432" t="str">
        <f t="shared" si="41"/>
        <v/>
      </c>
    </row>
    <row r="843" spans="2:15" x14ac:dyDescent="0.4">
      <c r="B843" s="74"/>
      <c r="C843" s="60"/>
      <c r="D843" s="426" t="str">
        <f>IF(C843="","",VLOOKUP(C843,団体基本情報!$B$13:$D$22,3,FALSE))</f>
        <v/>
      </c>
      <c r="E843" s="427" t="str">
        <f t="shared" si="39"/>
        <v/>
      </c>
      <c r="F843" s="428" t="str">
        <f t="shared" si="40"/>
        <v/>
      </c>
      <c r="G843" s="129" t="str">
        <f>IF(H843="","",VLOOKUP(H843,プルダウン用リスト!$K$1:$M$15,2,FALSE))</f>
        <v/>
      </c>
      <c r="H843" s="76"/>
      <c r="I843" s="76"/>
      <c r="J843" s="76"/>
      <c r="K843" s="146"/>
      <c r="L843" s="77"/>
      <c r="M843" s="78"/>
      <c r="N843" s="71"/>
      <c r="O843" s="432" t="str">
        <f t="shared" si="41"/>
        <v/>
      </c>
    </row>
    <row r="844" spans="2:15" x14ac:dyDescent="0.4">
      <c r="B844" s="74"/>
      <c r="C844" s="60"/>
      <c r="D844" s="426" t="str">
        <f>IF(C844="","",VLOOKUP(C844,団体基本情報!$B$13:$D$22,3,FALSE))</f>
        <v/>
      </c>
      <c r="E844" s="427" t="str">
        <f t="shared" si="39"/>
        <v/>
      </c>
      <c r="F844" s="428" t="str">
        <f t="shared" si="40"/>
        <v/>
      </c>
      <c r="G844" s="129" t="str">
        <f>IF(H844="","",VLOOKUP(H844,プルダウン用リスト!$K$1:$M$15,2,FALSE))</f>
        <v/>
      </c>
      <c r="H844" s="76"/>
      <c r="I844" s="61"/>
      <c r="J844" s="76"/>
      <c r="K844" s="146"/>
      <c r="L844" s="77"/>
      <c r="M844" s="78"/>
      <c r="N844" s="71"/>
      <c r="O844" s="432" t="str">
        <f t="shared" si="41"/>
        <v/>
      </c>
    </row>
    <row r="845" spans="2:15" x14ac:dyDescent="0.4">
      <c r="B845" s="74"/>
      <c r="C845" s="60"/>
      <c r="D845" s="426" t="str">
        <f>IF(C845="","",VLOOKUP(C845,団体基本情報!$B$13:$D$22,3,FALSE))</f>
        <v/>
      </c>
      <c r="E845" s="427" t="str">
        <f t="shared" si="39"/>
        <v/>
      </c>
      <c r="F845" s="428" t="str">
        <f t="shared" si="40"/>
        <v/>
      </c>
      <c r="G845" s="129" t="str">
        <f>IF(H845="","",VLOOKUP(H845,プルダウン用リスト!$K$1:$M$15,2,FALSE))</f>
        <v/>
      </c>
      <c r="H845" s="76"/>
      <c r="I845" s="61"/>
      <c r="J845" s="76"/>
      <c r="K845" s="146"/>
      <c r="L845" s="77"/>
      <c r="M845" s="78"/>
      <c r="N845" s="71"/>
      <c r="O845" s="432" t="str">
        <f t="shared" si="41"/>
        <v/>
      </c>
    </row>
    <row r="846" spans="2:15" x14ac:dyDescent="0.4">
      <c r="B846" s="74"/>
      <c r="C846" s="75"/>
      <c r="D846" s="426" t="str">
        <f>IF(C846="","",VLOOKUP(C846,団体基本情報!$B$13:$D$22,3,FALSE))</f>
        <v/>
      </c>
      <c r="E846" s="427" t="str">
        <f t="shared" si="39"/>
        <v/>
      </c>
      <c r="F846" s="428" t="str">
        <f t="shared" si="40"/>
        <v/>
      </c>
      <c r="G846" s="129" t="str">
        <f>IF(H846="","",VLOOKUP(H846,プルダウン用リスト!$K$1:$M$15,2,FALSE))</f>
        <v/>
      </c>
      <c r="H846" s="76"/>
      <c r="I846" s="76"/>
      <c r="J846" s="76"/>
      <c r="K846" s="146"/>
      <c r="L846" s="77"/>
      <c r="M846" s="78"/>
      <c r="N846" s="71"/>
      <c r="O846" s="432" t="str">
        <f t="shared" si="41"/>
        <v/>
      </c>
    </row>
    <row r="847" spans="2:15" x14ac:dyDescent="0.4">
      <c r="B847" s="74"/>
      <c r="C847" s="60"/>
      <c r="D847" s="426" t="str">
        <f>IF(C847="","",VLOOKUP(C847,団体基本情報!$B$13:$D$22,3,FALSE))</f>
        <v/>
      </c>
      <c r="E847" s="427" t="str">
        <f t="shared" si="39"/>
        <v/>
      </c>
      <c r="F847" s="428" t="str">
        <f t="shared" si="40"/>
        <v/>
      </c>
      <c r="G847" s="129" t="str">
        <f>IF(H847="","",VLOOKUP(H847,プルダウン用リスト!$K$1:$M$15,2,FALSE))</f>
        <v/>
      </c>
      <c r="H847" s="76"/>
      <c r="I847" s="61"/>
      <c r="J847" s="76"/>
      <c r="K847" s="146"/>
      <c r="L847" s="77"/>
      <c r="M847" s="78"/>
      <c r="N847" s="71"/>
      <c r="O847" s="432" t="str">
        <f t="shared" si="41"/>
        <v/>
      </c>
    </row>
    <row r="848" spans="2:15" x14ac:dyDescent="0.4">
      <c r="B848" s="74"/>
      <c r="C848" s="60"/>
      <c r="D848" s="426" t="str">
        <f>IF(C848="","",VLOOKUP(C848,団体基本情報!$B$13:$D$22,3,FALSE))</f>
        <v/>
      </c>
      <c r="E848" s="427" t="str">
        <f t="shared" si="39"/>
        <v/>
      </c>
      <c r="F848" s="428" t="str">
        <f t="shared" si="40"/>
        <v/>
      </c>
      <c r="G848" s="129" t="str">
        <f>IF(H848="","",VLOOKUP(H848,プルダウン用リスト!$K$1:$M$15,2,FALSE))</f>
        <v/>
      </c>
      <c r="H848" s="76"/>
      <c r="I848" s="61"/>
      <c r="J848" s="76"/>
      <c r="K848" s="146"/>
      <c r="L848" s="77"/>
      <c r="M848" s="78"/>
      <c r="N848" s="71"/>
      <c r="O848" s="432" t="str">
        <f t="shared" si="41"/>
        <v/>
      </c>
    </row>
    <row r="849" spans="2:15" x14ac:dyDescent="0.4">
      <c r="B849" s="74"/>
      <c r="C849" s="60"/>
      <c r="D849" s="426" t="str">
        <f>IF(C849="","",VLOOKUP(C849,団体基本情報!$B$13:$D$22,3,FALSE))</f>
        <v/>
      </c>
      <c r="E849" s="427" t="str">
        <f t="shared" si="39"/>
        <v/>
      </c>
      <c r="F849" s="428" t="str">
        <f t="shared" si="40"/>
        <v/>
      </c>
      <c r="G849" s="129" t="str">
        <f>IF(H849="","",VLOOKUP(H849,プルダウン用リスト!$K$1:$M$15,2,FALSE))</f>
        <v/>
      </c>
      <c r="H849" s="76"/>
      <c r="I849" s="76"/>
      <c r="J849" s="76"/>
      <c r="K849" s="146"/>
      <c r="L849" s="77"/>
      <c r="M849" s="78"/>
      <c r="N849" s="71"/>
      <c r="O849" s="432" t="str">
        <f t="shared" si="41"/>
        <v/>
      </c>
    </row>
    <row r="850" spans="2:15" x14ac:dyDescent="0.4">
      <c r="B850" s="74"/>
      <c r="C850" s="60"/>
      <c r="D850" s="426" t="str">
        <f>IF(C850="","",VLOOKUP(C850,団体基本情報!$B$13:$D$22,3,FALSE))</f>
        <v/>
      </c>
      <c r="E850" s="427" t="str">
        <f t="shared" si="39"/>
        <v/>
      </c>
      <c r="F850" s="428" t="str">
        <f t="shared" si="40"/>
        <v/>
      </c>
      <c r="G850" s="129" t="str">
        <f>IF(H850="","",VLOOKUP(H850,プルダウン用リスト!$K$1:$M$15,2,FALSE))</f>
        <v/>
      </c>
      <c r="H850" s="76"/>
      <c r="I850" s="61"/>
      <c r="J850" s="76"/>
      <c r="K850" s="146"/>
      <c r="L850" s="77"/>
      <c r="M850" s="78"/>
      <c r="N850" s="71"/>
      <c r="O850" s="432" t="str">
        <f t="shared" si="41"/>
        <v/>
      </c>
    </row>
    <row r="851" spans="2:15" x14ac:dyDescent="0.4">
      <c r="B851" s="74"/>
      <c r="C851" s="60"/>
      <c r="D851" s="426" t="str">
        <f>IF(C851="","",VLOOKUP(C851,団体基本情報!$B$13:$D$22,3,FALSE))</f>
        <v/>
      </c>
      <c r="E851" s="427" t="str">
        <f t="shared" si="39"/>
        <v/>
      </c>
      <c r="F851" s="428" t="str">
        <f t="shared" si="40"/>
        <v/>
      </c>
      <c r="G851" s="129" t="str">
        <f>IF(H851="","",VLOOKUP(H851,プルダウン用リスト!$K$1:$M$15,2,FALSE))</f>
        <v/>
      </c>
      <c r="H851" s="76"/>
      <c r="I851" s="61"/>
      <c r="J851" s="76"/>
      <c r="K851" s="146"/>
      <c r="L851" s="77"/>
      <c r="M851" s="78"/>
      <c r="N851" s="71"/>
      <c r="O851" s="432" t="str">
        <f t="shared" si="41"/>
        <v/>
      </c>
    </row>
    <row r="852" spans="2:15" x14ac:dyDescent="0.4">
      <c r="B852" s="74"/>
      <c r="C852" s="60"/>
      <c r="D852" s="426" t="str">
        <f>IF(C852="","",VLOOKUP(C852,団体基本情報!$B$13:$D$22,3,FALSE))</f>
        <v/>
      </c>
      <c r="E852" s="427" t="str">
        <f t="shared" si="39"/>
        <v/>
      </c>
      <c r="F852" s="428" t="str">
        <f t="shared" si="40"/>
        <v/>
      </c>
      <c r="G852" s="129" t="str">
        <f>IF(H852="","",VLOOKUP(H852,プルダウン用リスト!$K$1:$M$15,2,FALSE))</f>
        <v/>
      </c>
      <c r="H852" s="76"/>
      <c r="I852" s="76"/>
      <c r="J852" s="76"/>
      <c r="K852" s="146"/>
      <c r="L852" s="77"/>
      <c r="M852" s="78"/>
      <c r="N852" s="71"/>
      <c r="O852" s="432" t="str">
        <f t="shared" si="41"/>
        <v/>
      </c>
    </row>
    <row r="853" spans="2:15" x14ac:dyDescent="0.4">
      <c r="B853" s="74"/>
      <c r="C853" s="60"/>
      <c r="D853" s="426" t="str">
        <f>IF(C853="","",VLOOKUP(C853,団体基本情報!$B$13:$D$22,3,FALSE))</f>
        <v/>
      </c>
      <c r="E853" s="427" t="str">
        <f t="shared" si="39"/>
        <v/>
      </c>
      <c r="F853" s="428" t="str">
        <f t="shared" si="40"/>
        <v/>
      </c>
      <c r="G853" s="129" t="str">
        <f>IF(H853="","",VLOOKUP(H853,プルダウン用リスト!$K$1:$M$15,2,FALSE))</f>
        <v/>
      </c>
      <c r="H853" s="76"/>
      <c r="I853" s="61"/>
      <c r="J853" s="76"/>
      <c r="K853" s="146"/>
      <c r="L853" s="77"/>
      <c r="M853" s="78"/>
      <c r="N853" s="71"/>
      <c r="O853" s="432" t="str">
        <f t="shared" si="41"/>
        <v/>
      </c>
    </row>
    <row r="854" spans="2:15" x14ac:dyDescent="0.4">
      <c r="B854" s="74"/>
      <c r="C854" s="60"/>
      <c r="D854" s="426" t="str">
        <f>IF(C854="","",VLOOKUP(C854,団体基本情報!$B$13:$D$22,3,FALSE))</f>
        <v/>
      </c>
      <c r="E854" s="427" t="str">
        <f t="shared" si="39"/>
        <v/>
      </c>
      <c r="F854" s="428" t="str">
        <f t="shared" si="40"/>
        <v/>
      </c>
      <c r="G854" s="129" t="str">
        <f>IF(H854="","",VLOOKUP(H854,プルダウン用リスト!$K$1:$M$15,2,FALSE))</f>
        <v/>
      </c>
      <c r="H854" s="76"/>
      <c r="I854" s="61"/>
      <c r="J854" s="76"/>
      <c r="K854" s="146"/>
      <c r="L854" s="77"/>
      <c r="M854" s="78"/>
      <c r="N854" s="71"/>
      <c r="O854" s="432" t="str">
        <f t="shared" si="41"/>
        <v/>
      </c>
    </row>
    <row r="855" spans="2:15" x14ac:dyDescent="0.4">
      <c r="B855" s="74"/>
      <c r="C855" s="60"/>
      <c r="D855" s="426" t="str">
        <f>IF(C855="","",VLOOKUP(C855,団体基本情報!$B$13:$D$22,3,FALSE))</f>
        <v/>
      </c>
      <c r="E855" s="427" t="str">
        <f t="shared" si="39"/>
        <v/>
      </c>
      <c r="F855" s="428" t="str">
        <f t="shared" si="40"/>
        <v/>
      </c>
      <c r="G855" s="129" t="str">
        <f>IF(H855="","",VLOOKUP(H855,プルダウン用リスト!$K$1:$M$15,2,FALSE))</f>
        <v/>
      </c>
      <c r="H855" s="76"/>
      <c r="I855" s="76"/>
      <c r="J855" s="76"/>
      <c r="K855" s="146"/>
      <c r="L855" s="77"/>
      <c r="M855" s="78"/>
      <c r="N855" s="71"/>
      <c r="O855" s="432" t="str">
        <f t="shared" si="41"/>
        <v/>
      </c>
    </row>
    <row r="856" spans="2:15" x14ac:dyDescent="0.4">
      <c r="B856" s="74"/>
      <c r="C856" s="60"/>
      <c r="D856" s="426" t="str">
        <f>IF(C856="","",VLOOKUP(C856,団体基本情報!$B$13:$D$22,3,FALSE))</f>
        <v/>
      </c>
      <c r="E856" s="427" t="str">
        <f t="shared" si="39"/>
        <v/>
      </c>
      <c r="F856" s="428" t="str">
        <f t="shared" si="40"/>
        <v/>
      </c>
      <c r="G856" s="129" t="str">
        <f>IF(H856="","",VLOOKUP(H856,プルダウン用リスト!$K$1:$M$15,2,FALSE))</f>
        <v/>
      </c>
      <c r="H856" s="76"/>
      <c r="I856" s="61"/>
      <c r="J856" s="76"/>
      <c r="K856" s="146"/>
      <c r="L856" s="77"/>
      <c r="M856" s="78"/>
      <c r="N856" s="71"/>
      <c r="O856" s="432" t="str">
        <f t="shared" si="41"/>
        <v/>
      </c>
    </row>
    <row r="857" spans="2:15" x14ac:dyDescent="0.4">
      <c r="B857" s="74"/>
      <c r="C857" s="60"/>
      <c r="D857" s="426" t="str">
        <f>IF(C857="","",VLOOKUP(C857,団体基本情報!$B$13:$D$22,3,FALSE))</f>
        <v/>
      </c>
      <c r="E857" s="427" t="str">
        <f t="shared" si="39"/>
        <v/>
      </c>
      <c r="F857" s="428" t="str">
        <f t="shared" si="40"/>
        <v/>
      </c>
      <c r="G857" s="129" t="str">
        <f>IF(H857="","",VLOOKUP(H857,プルダウン用リスト!$K$1:$M$15,2,FALSE))</f>
        <v/>
      </c>
      <c r="H857" s="76"/>
      <c r="I857" s="61"/>
      <c r="J857" s="76"/>
      <c r="K857" s="146"/>
      <c r="L857" s="77"/>
      <c r="M857" s="78"/>
      <c r="N857" s="71"/>
      <c r="O857" s="432" t="str">
        <f t="shared" si="41"/>
        <v/>
      </c>
    </row>
    <row r="858" spans="2:15" x14ac:dyDescent="0.4">
      <c r="B858" s="74"/>
      <c r="C858" s="75"/>
      <c r="D858" s="426" t="str">
        <f>IF(C858="","",VLOOKUP(C858,団体基本情報!$B$13:$D$22,3,FALSE))</f>
        <v/>
      </c>
      <c r="E858" s="427" t="str">
        <f t="shared" si="39"/>
        <v/>
      </c>
      <c r="F858" s="428" t="str">
        <f t="shared" si="40"/>
        <v/>
      </c>
      <c r="G858" s="129" t="str">
        <f>IF(H858="","",VLOOKUP(H858,プルダウン用リスト!$K$1:$M$15,2,FALSE))</f>
        <v/>
      </c>
      <c r="H858" s="76"/>
      <c r="I858" s="76"/>
      <c r="J858" s="76"/>
      <c r="K858" s="146"/>
      <c r="L858" s="77"/>
      <c r="M858" s="78"/>
      <c r="N858" s="71"/>
      <c r="O858" s="432" t="str">
        <f t="shared" si="41"/>
        <v/>
      </c>
    </row>
    <row r="859" spans="2:15" x14ac:dyDescent="0.4">
      <c r="B859" s="74"/>
      <c r="C859" s="60"/>
      <c r="D859" s="426" t="str">
        <f>IF(C859="","",VLOOKUP(C859,団体基本情報!$B$13:$D$22,3,FALSE))</f>
        <v/>
      </c>
      <c r="E859" s="427" t="str">
        <f t="shared" si="39"/>
        <v/>
      </c>
      <c r="F859" s="428" t="str">
        <f t="shared" si="40"/>
        <v/>
      </c>
      <c r="G859" s="129" t="str">
        <f>IF(H859="","",VLOOKUP(H859,プルダウン用リスト!$K$1:$M$15,2,FALSE))</f>
        <v/>
      </c>
      <c r="H859" s="76"/>
      <c r="I859" s="61"/>
      <c r="J859" s="76"/>
      <c r="K859" s="146"/>
      <c r="L859" s="77"/>
      <c r="M859" s="78"/>
      <c r="N859" s="71"/>
      <c r="O859" s="432" t="str">
        <f t="shared" si="41"/>
        <v/>
      </c>
    </row>
    <row r="860" spans="2:15" x14ac:dyDescent="0.4">
      <c r="B860" s="74"/>
      <c r="C860" s="60"/>
      <c r="D860" s="426" t="str">
        <f>IF(C860="","",VLOOKUP(C860,団体基本情報!$B$13:$D$22,3,FALSE))</f>
        <v/>
      </c>
      <c r="E860" s="427" t="str">
        <f t="shared" si="39"/>
        <v/>
      </c>
      <c r="F860" s="428" t="str">
        <f t="shared" si="40"/>
        <v/>
      </c>
      <c r="G860" s="129" t="str">
        <f>IF(H860="","",VLOOKUP(H860,プルダウン用リスト!$K$1:$M$15,2,FALSE))</f>
        <v/>
      </c>
      <c r="H860" s="76"/>
      <c r="I860" s="61"/>
      <c r="J860" s="76"/>
      <c r="K860" s="146"/>
      <c r="L860" s="77"/>
      <c r="M860" s="78"/>
      <c r="N860" s="71"/>
      <c r="O860" s="432" t="str">
        <f t="shared" si="41"/>
        <v/>
      </c>
    </row>
    <row r="861" spans="2:15" x14ac:dyDescent="0.4">
      <c r="B861" s="74"/>
      <c r="C861" s="60"/>
      <c r="D861" s="426" t="str">
        <f>IF(C861="","",VLOOKUP(C861,団体基本情報!$B$13:$D$22,3,FALSE))</f>
        <v/>
      </c>
      <c r="E861" s="427" t="str">
        <f t="shared" si="39"/>
        <v/>
      </c>
      <c r="F861" s="428" t="str">
        <f t="shared" si="40"/>
        <v/>
      </c>
      <c r="G861" s="129" t="str">
        <f>IF(H861="","",VLOOKUP(H861,プルダウン用リスト!$K$1:$M$15,2,FALSE))</f>
        <v/>
      </c>
      <c r="H861" s="76"/>
      <c r="I861" s="76"/>
      <c r="J861" s="76"/>
      <c r="K861" s="146"/>
      <c r="L861" s="77"/>
      <c r="M861" s="78"/>
      <c r="N861" s="71"/>
      <c r="O861" s="432" t="str">
        <f t="shared" si="41"/>
        <v/>
      </c>
    </row>
    <row r="862" spans="2:15" x14ac:dyDescent="0.4">
      <c r="B862" s="74"/>
      <c r="C862" s="60"/>
      <c r="D862" s="426" t="str">
        <f>IF(C862="","",VLOOKUP(C862,団体基本情報!$B$13:$D$22,3,FALSE))</f>
        <v/>
      </c>
      <c r="E862" s="427" t="str">
        <f t="shared" si="39"/>
        <v/>
      </c>
      <c r="F862" s="428" t="str">
        <f t="shared" si="40"/>
        <v/>
      </c>
      <c r="G862" s="129" t="str">
        <f>IF(H862="","",VLOOKUP(H862,プルダウン用リスト!$K$1:$M$15,2,FALSE))</f>
        <v/>
      </c>
      <c r="H862" s="76"/>
      <c r="I862" s="61"/>
      <c r="J862" s="76"/>
      <c r="K862" s="146"/>
      <c r="L862" s="77"/>
      <c r="M862" s="78"/>
      <c r="N862" s="71"/>
      <c r="O862" s="432" t="str">
        <f t="shared" si="41"/>
        <v/>
      </c>
    </row>
    <row r="863" spans="2:15" x14ac:dyDescent="0.4">
      <c r="B863" s="74"/>
      <c r="C863" s="60"/>
      <c r="D863" s="426" t="str">
        <f>IF(C863="","",VLOOKUP(C863,団体基本情報!$B$13:$D$22,3,FALSE))</f>
        <v/>
      </c>
      <c r="E863" s="427" t="str">
        <f t="shared" si="39"/>
        <v/>
      </c>
      <c r="F863" s="428" t="str">
        <f t="shared" si="40"/>
        <v/>
      </c>
      <c r="G863" s="129" t="str">
        <f>IF(H863="","",VLOOKUP(H863,プルダウン用リスト!$K$1:$M$15,2,FALSE))</f>
        <v/>
      </c>
      <c r="H863" s="76"/>
      <c r="I863" s="61"/>
      <c r="J863" s="76"/>
      <c r="K863" s="146"/>
      <c r="L863" s="77"/>
      <c r="M863" s="78"/>
      <c r="N863" s="71"/>
      <c r="O863" s="432" t="str">
        <f t="shared" si="41"/>
        <v/>
      </c>
    </row>
    <row r="864" spans="2:15" x14ac:dyDescent="0.4">
      <c r="B864" s="74"/>
      <c r="C864" s="60"/>
      <c r="D864" s="426" t="str">
        <f>IF(C864="","",VLOOKUP(C864,団体基本情報!$B$13:$D$22,3,FALSE))</f>
        <v/>
      </c>
      <c r="E864" s="427" t="str">
        <f t="shared" si="39"/>
        <v/>
      </c>
      <c r="F864" s="428" t="str">
        <f t="shared" si="40"/>
        <v/>
      </c>
      <c r="G864" s="129" t="str">
        <f>IF(H864="","",VLOOKUP(H864,プルダウン用リスト!$K$1:$M$15,2,FALSE))</f>
        <v/>
      </c>
      <c r="H864" s="76"/>
      <c r="I864" s="76"/>
      <c r="J864" s="76"/>
      <c r="K864" s="146"/>
      <c r="L864" s="77"/>
      <c r="M864" s="78"/>
      <c r="N864" s="71"/>
      <c r="O864" s="432" t="str">
        <f t="shared" si="41"/>
        <v/>
      </c>
    </row>
    <row r="865" spans="2:15" x14ac:dyDescent="0.4">
      <c r="B865" s="74"/>
      <c r="C865" s="60"/>
      <c r="D865" s="426" t="str">
        <f>IF(C865="","",VLOOKUP(C865,団体基本情報!$B$13:$D$22,3,FALSE))</f>
        <v/>
      </c>
      <c r="E865" s="427" t="str">
        <f t="shared" si="39"/>
        <v/>
      </c>
      <c r="F865" s="428" t="str">
        <f t="shared" si="40"/>
        <v/>
      </c>
      <c r="G865" s="129" t="str">
        <f>IF(H865="","",VLOOKUP(H865,プルダウン用リスト!$K$1:$M$15,2,FALSE))</f>
        <v/>
      </c>
      <c r="H865" s="76"/>
      <c r="I865" s="61"/>
      <c r="J865" s="76"/>
      <c r="K865" s="146"/>
      <c r="L865" s="77"/>
      <c r="M865" s="78"/>
      <c r="N865" s="71"/>
      <c r="O865" s="432" t="str">
        <f t="shared" si="41"/>
        <v/>
      </c>
    </row>
    <row r="866" spans="2:15" x14ac:dyDescent="0.4">
      <c r="B866" s="74"/>
      <c r="C866" s="60"/>
      <c r="D866" s="426" t="str">
        <f>IF(C866="","",VLOOKUP(C866,団体基本情報!$B$13:$D$22,3,FALSE))</f>
        <v/>
      </c>
      <c r="E866" s="427" t="str">
        <f t="shared" si="39"/>
        <v/>
      </c>
      <c r="F866" s="428" t="str">
        <f t="shared" si="40"/>
        <v/>
      </c>
      <c r="G866" s="129" t="str">
        <f>IF(H866="","",VLOOKUP(H866,プルダウン用リスト!$K$1:$M$15,2,FALSE))</f>
        <v/>
      </c>
      <c r="H866" s="76"/>
      <c r="I866" s="61"/>
      <c r="J866" s="76"/>
      <c r="K866" s="146"/>
      <c r="L866" s="77"/>
      <c r="M866" s="78"/>
      <c r="N866" s="71"/>
      <c r="O866" s="432" t="str">
        <f t="shared" si="41"/>
        <v/>
      </c>
    </row>
    <row r="867" spans="2:15" x14ac:dyDescent="0.4">
      <c r="B867" s="74"/>
      <c r="C867" s="60"/>
      <c r="D867" s="426" t="str">
        <f>IF(C867="","",VLOOKUP(C867,団体基本情報!$B$13:$D$22,3,FALSE))</f>
        <v/>
      </c>
      <c r="E867" s="427" t="str">
        <f t="shared" si="39"/>
        <v/>
      </c>
      <c r="F867" s="428" t="str">
        <f t="shared" si="40"/>
        <v/>
      </c>
      <c r="G867" s="129" t="str">
        <f>IF(H867="","",VLOOKUP(H867,プルダウン用リスト!$K$1:$M$15,2,FALSE))</f>
        <v/>
      </c>
      <c r="H867" s="76"/>
      <c r="I867" s="76"/>
      <c r="J867" s="76"/>
      <c r="K867" s="146"/>
      <c r="L867" s="77"/>
      <c r="M867" s="78"/>
      <c r="N867" s="71"/>
      <c r="O867" s="432" t="str">
        <f t="shared" si="41"/>
        <v/>
      </c>
    </row>
    <row r="868" spans="2:15" x14ac:dyDescent="0.4">
      <c r="B868" s="74"/>
      <c r="C868" s="60"/>
      <c r="D868" s="426" t="str">
        <f>IF(C868="","",VLOOKUP(C868,団体基本情報!$B$13:$D$22,3,FALSE))</f>
        <v/>
      </c>
      <c r="E868" s="427" t="str">
        <f t="shared" si="39"/>
        <v/>
      </c>
      <c r="F868" s="428" t="str">
        <f t="shared" si="40"/>
        <v/>
      </c>
      <c r="G868" s="129" t="str">
        <f>IF(H868="","",VLOOKUP(H868,プルダウン用リスト!$K$1:$M$15,2,FALSE))</f>
        <v/>
      </c>
      <c r="H868" s="76"/>
      <c r="I868" s="61"/>
      <c r="J868" s="76"/>
      <c r="K868" s="146"/>
      <c r="L868" s="77"/>
      <c r="M868" s="78"/>
      <c r="N868" s="71"/>
      <c r="O868" s="432" t="str">
        <f t="shared" si="41"/>
        <v/>
      </c>
    </row>
    <row r="869" spans="2:15" x14ac:dyDescent="0.4">
      <c r="B869" s="74"/>
      <c r="C869" s="60"/>
      <c r="D869" s="426" t="str">
        <f>IF(C869="","",VLOOKUP(C869,団体基本情報!$B$13:$D$22,3,FALSE))</f>
        <v/>
      </c>
      <c r="E869" s="427" t="str">
        <f t="shared" si="39"/>
        <v/>
      </c>
      <c r="F869" s="428" t="str">
        <f t="shared" si="40"/>
        <v/>
      </c>
      <c r="G869" s="129" t="str">
        <f>IF(H869="","",VLOOKUP(H869,プルダウン用リスト!$K$1:$M$15,2,FALSE))</f>
        <v/>
      </c>
      <c r="H869" s="76"/>
      <c r="I869" s="61"/>
      <c r="J869" s="76"/>
      <c r="K869" s="146"/>
      <c r="L869" s="77"/>
      <c r="M869" s="78"/>
      <c r="N869" s="71"/>
      <c r="O869" s="432" t="str">
        <f t="shared" si="41"/>
        <v/>
      </c>
    </row>
    <row r="870" spans="2:15" x14ac:dyDescent="0.4">
      <c r="B870" s="74"/>
      <c r="C870" s="75"/>
      <c r="D870" s="426" t="str">
        <f>IF(C870="","",VLOOKUP(C870,団体基本情報!$B$13:$D$22,3,FALSE))</f>
        <v/>
      </c>
      <c r="E870" s="427" t="str">
        <f t="shared" si="39"/>
        <v/>
      </c>
      <c r="F870" s="428" t="str">
        <f t="shared" si="40"/>
        <v/>
      </c>
      <c r="G870" s="129" t="str">
        <f>IF(H870="","",VLOOKUP(H870,プルダウン用リスト!$K$1:$M$15,2,FALSE))</f>
        <v/>
      </c>
      <c r="H870" s="76"/>
      <c r="I870" s="76"/>
      <c r="J870" s="76"/>
      <c r="K870" s="146"/>
      <c r="L870" s="77"/>
      <c r="M870" s="78"/>
      <c r="N870" s="71"/>
      <c r="O870" s="432" t="str">
        <f t="shared" si="41"/>
        <v/>
      </c>
    </row>
    <row r="871" spans="2:15" x14ac:dyDescent="0.4">
      <c r="B871" s="74"/>
      <c r="C871" s="60"/>
      <c r="D871" s="426" t="str">
        <f>IF(C871="","",VLOOKUP(C871,団体基本情報!$B$13:$D$22,3,FALSE))</f>
        <v/>
      </c>
      <c r="E871" s="427" t="str">
        <f t="shared" si="39"/>
        <v/>
      </c>
      <c r="F871" s="428" t="str">
        <f t="shared" si="40"/>
        <v/>
      </c>
      <c r="G871" s="129" t="str">
        <f>IF(H871="","",VLOOKUP(H871,プルダウン用リスト!$K$1:$M$15,2,FALSE))</f>
        <v/>
      </c>
      <c r="H871" s="76"/>
      <c r="I871" s="61"/>
      <c r="J871" s="76"/>
      <c r="K871" s="146"/>
      <c r="L871" s="77"/>
      <c r="M871" s="78"/>
      <c r="N871" s="71"/>
      <c r="O871" s="432" t="str">
        <f t="shared" si="41"/>
        <v/>
      </c>
    </row>
    <row r="872" spans="2:15" x14ac:dyDescent="0.4">
      <c r="B872" s="74"/>
      <c r="C872" s="60"/>
      <c r="D872" s="426" t="str">
        <f>IF(C872="","",VLOOKUP(C872,団体基本情報!$B$13:$D$22,3,FALSE))</f>
        <v/>
      </c>
      <c r="E872" s="427" t="str">
        <f t="shared" si="39"/>
        <v/>
      </c>
      <c r="F872" s="428" t="str">
        <f t="shared" si="40"/>
        <v/>
      </c>
      <c r="G872" s="129" t="str">
        <f>IF(H872="","",VLOOKUP(H872,プルダウン用リスト!$K$1:$M$15,2,FALSE))</f>
        <v/>
      </c>
      <c r="H872" s="76"/>
      <c r="I872" s="61"/>
      <c r="J872" s="76"/>
      <c r="K872" s="146"/>
      <c r="L872" s="77"/>
      <c r="M872" s="78"/>
      <c r="N872" s="71"/>
      <c r="O872" s="432" t="str">
        <f t="shared" si="41"/>
        <v/>
      </c>
    </row>
    <row r="873" spans="2:15" x14ac:dyDescent="0.4">
      <c r="B873" s="74"/>
      <c r="C873" s="60"/>
      <c r="D873" s="426" t="str">
        <f>IF(C873="","",VLOOKUP(C873,団体基本情報!$B$13:$D$22,3,FALSE))</f>
        <v/>
      </c>
      <c r="E873" s="427" t="str">
        <f t="shared" si="39"/>
        <v/>
      </c>
      <c r="F873" s="428" t="str">
        <f t="shared" si="40"/>
        <v/>
      </c>
      <c r="G873" s="129" t="str">
        <f>IF(H873="","",VLOOKUP(H873,プルダウン用リスト!$K$1:$M$15,2,FALSE))</f>
        <v/>
      </c>
      <c r="H873" s="76"/>
      <c r="I873" s="76"/>
      <c r="J873" s="76"/>
      <c r="K873" s="146"/>
      <c r="L873" s="77"/>
      <c r="M873" s="78"/>
      <c r="N873" s="71"/>
      <c r="O873" s="432" t="str">
        <f t="shared" si="41"/>
        <v/>
      </c>
    </row>
    <row r="874" spans="2:15" x14ac:dyDescent="0.4">
      <c r="B874" s="74"/>
      <c r="C874" s="60"/>
      <c r="D874" s="426" t="str">
        <f>IF(C874="","",VLOOKUP(C874,団体基本情報!$B$13:$D$22,3,FALSE))</f>
        <v/>
      </c>
      <c r="E874" s="427" t="str">
        <f t="shared" si="39"/>
        <v/>
      </c>
      <c r="F874" s="428" t="str">
        <f t="shared" si="40"/>
        <v/>
      </c>
      <c r="G874" s="129" t="str">
        <f>IF(H874="","",VLOOKUP(H874,プルダウン用リスト!$K$1:$M$15,2,FALSE))</f>
        <v/>
      </c>
      <c r="H874" s="76"/>
      <c r="I874" s="61"/>
      <c r="J874" s="76"/>
      <c r="K874" s="146"/>
      <c r="L874" s="77"/>
      <c r="M874" s="78"/>
      <c r="N874" s="71"/>
      <c r="O874" s="432" t="str">
        <f t="shared" si="41"/>
        <v/>
      </c>
    </row>
    <row r="875" spans="2:15" x14ac:dyDescent="0.4">
      <c r="B875" s="74"/>
      <c r="C875" s="60"/>
      <c r="D875" s="426" t="str">
        <f>IF(C875="","",VLOOKUP(C875,団体基本情報!$B$13:$D$22,3,FALSE))</f>
        <v/>
      </c>
      <c r="E875" s="427" t="str">
        <f t="shared" si="39"/>
        <v/>
      </c>
      <c r="F875" s="428" t="str">
        <f t="shared" si="40"/>
        <v/>
      </c>
      <c r="G875" s="129" t="str">
        <f>IF(H875="","",VLOOKUP(H875,プルダウン用リスト!$K$1:$M$15,2,FALSE))</f>
        <v/>
      </c>
      <c r="H875" s="76"/>
      <c r="I875" s="61"/>
      <c r="J875" s="76"/>
      <c r="K875" s="146"/>
      <c r="L875" s="77"/>
      <c r="M875" s="78"/>
      <c r="N875" s="71"/>
      <c r="O875" s="432" t="str">
        <f t="shared" si="41"/>
        <v/>
      </c>
    </row>
    <row r="876" spans="2:15" x14ac:dyDescent="0.4">
      <c r="B876" s="74"/>
      <c r="C876" s="60"/>
      <c r="D876" s="426" t="str">
        <f>IF(C876="","",VLOOKUP(C876,団体基本情報!$B$13:$D$22,3,FALSE))</f>
        <v/>
      </c>
      <c r="E876" s="427" t="str">
        <f t="shared" si="39"/>
        <v/>
      </c>
      <c r="F876" s="428" t="str">
        <f t="shared" si="40"/>
        <v/>
      </c>
      <c r="G876" s="129" t="str">
        <f>IF(H876="","",VLOOKUP(H876,プルダウン用リスト!$K$1:$M$15,2,FALSE))</f>
        <v/>
      </c>
      <c r="H876" s="76"/>
      <c r="I876" s="76"/>
      <c r="J876" s="76"/>
      <c r="K876" s="146"/>
      <c r="L876" s="77"/>
      <c r="M876" s="78"/>
      <c r="N876" s="71"/>
      <c r="O876" s="432" t="str">
        <f t="shared" si="41"/>
        <v/>
      </c>
    </row>
    <row r="877" spans="2:15" x14ac:dyDescent="0.4">
      <c r="B877" s="74"/>
      <c r="C877" s="60"/>
      <c r="D877" s="426" t="str">
        <f>IF(C877="","",VLOOKUP(C877,団体基本情報!$B$13:$D$22,3,FALSE))</f>
        <v/>
      </c>
      <c r="E877" s="427" t="str">
        <f t="shared" si="39"/>
        <v/>
      </c>
      <c r="F877" s="428" t="str">
        <f t="shared" si="40"/>
        <v/>
      </c>
      <c r="G877" s="129" t="str">
        <f>IF(H877="","",VLOOKUP(H877,プルダウン用リスト!$K$1:$M$15,2,FALSE))</f>
        <v/>
      </c>
      <c r="H877" s="76"/>
      <c r="I877" s="61"/>
      <c r="J877" s="76"/>
      <c r="K877" s="146"/>
      <c r="L877" s="77"/>
      <c r="M877" s="78"/>
      <c r="N877" s="71"/>
      <c r="O877" s="432" t="str">
        <f t="shared" si="41"/>
        <v/>
      </c>
    </row>
    <row r="878" spans="2:15" x14ac:dyDescent="0.4">
      <c r="B878" s="74"/>
      <c r="C878" s="60"/>
      <c r="D878" s="426" t="str">
        <f>IF(C878="","",VLOOKUP(C878,団体基本情報!$B$13:$D$22,3,FALSE))</f>
        <v/>
      </c>
      <c r="E878" s="427" t="str">
        <f t="shared" si="39"/>
        <v/>
      </c>
      <c r="F878" s="428" t="str">
        <f t="shared" si="40"/>
        <v/>
      </c>
      <c r="G878" s="129" t="str">
        <f>IF(H878="","",VLOOKUP(H878,プルダウン用リスト!$K$1:$M$15,2,FALSE))</f>
        <v/>
      </c>
      <c r="H878" s="76"/>
      <c r="I878" s="61"/>
      <c r="J878" s="76"/>
      <c r="K878" s="146"/>
      <c r="L878" s="77"/>
      <c r="M878" s="78"/>
      <c r="N878" s="71"/>
      <c r="O878" s="432" t="str">
        <f t="shared" si="41"/>
        <v/>
      </c>
    </row>
    <row r="879" spans="2:15" x14ac:dyDescent="0.4">
      <c r="B879" s="74"/>
      <c r="C879" s="60"/>
      <c r="D879" s="426" t="str">
        <f>IF(C879="","",VLOOKUP(C879,団体基本情報!$B$13:$D$22,3,FALSE))</f>
        <v/>
      </c>
      <c r="E879" s="427" t="str">
        <f t="shared" si="39"/>
        <v/>
      </c>
      <c r="F879" s="428" t="str">
        <f t="shared" si="40"/>
        <v/>
      </c>
      <c r="G879" s="129" t="str">
        <f>IF(H879="","",VLOOKUP(H879,プルダウン用リスト!$K$1:$M$15,2,FALSE))</f>
        <v/>
      </c>
      <c r="H879" s="76"/>
      <c r="I879" s="76"/>
      <c r="J879" s="76"/>
      <c r="K879" s="146"/>
      <c r="L879" s="77"/>
      <c r="M879" s="78"/>
      <c r="N879" s="71"/>
      <c r="O879" s="432" t="str">
        <f t="shared" si="41"/>
        <v/>
      </c>
    </row>
    <row r="880" spans="2:15" x14ac:dyDescent="0.4">
      <c r="B880" s="74"/>
      <c r="C880" s="60"/>
      <c r="D880" s="426" t="str">
        <f>IF(C880="","",VLOOKUP(C880,団体基本情報!$B$13:$D$22,3,FALSE))</f>
        <v/>
      </c>
      <c r="E880" s="427" t="str">
        <f t="shared" si="39"/>
        <v/>
      </c>
      <c r="F880" s="428" t="str">
        <f t="shared" si="40"/>
        <v/>
      </c>
      <c r="G880" s="129" t="str">
        <f>IF(H880="","",VLOOKUP(H880,プルダウン用リスト!$K$1:$M$15,2,FALSE))</f>
        <v/>
      </c>
      <c r="H880" s="76"/>
      <c r="I880" s="61"/>
      <c r="J880" s="76"/>
      <c r="K880" s="146"/>
      <c r="L880" s="77"/>
      <c r="M880" s="78"/>
      <c r="N880" s="71"/>
      <c r="O880" s="432" t="str">
        <f t="shared" si="41"/>
        <v/>
      </c>
    </row>
    <row r="881" spans="2:15" x14ac:dyDescent="0.4">
      <c r="B881" s="74"/>
      <c r="C881" s="60"/>
      <c r="D881" s="426" t="str">
        <f>IF(C881="","",VLOOKUP(C881,団体基本情報!$B$13:$D$22,3,FALSE))</f>
        <v/>
      </c>
      <c r="E881" s="427" t="str">
        <f t="shared" si="39"/>
        <v/>
      </c>
      <c r="F881" s="428" t="str">
        <f t="shared" si="40"/>
        <v/>
      </c>
      <c r="G881" s="129" t="str">
        <f>IF(H881="","",VLOOKUP(H881,プルダウン用リスト!$K$1:$M$15,2,FALSE))</f>
        <v/>
      </c>
      <c r="H881" s="76"/>
      <c r="I881" s="61"/>
      <c r="J881" s="76"/>
      <c r="K881" s="146"/>
      <c r="L881" s="77"/>
      <c r="M881" s="78"/>
      <c r="N881" s="71"/>
      <c r="O881" s="432" t="str">
        <f t="shared" si="41"/>
        <v/>
      </c>
    </row>
    <row r="882" spans="2:15" x14ac:dyDescent="0.4">
      <c r="B882" s="74"/>
      <c r="C882" s="75"/>
      <c r="D882" s="426" t="str">
        <f>IF(C882="","",VLOOKUP(C882,団体基本情報!$B$13:$D$22,3,FALSE))</f>
        <v/>
      </c>
      <c r="E882" s="427" t="str">
        <f t="shared" si="39"/>
        <v/>
      </c>
      <c r="F882" s="428" t="str">
        <f t="shared" si="40"/>
        <v/>
      </c>
      <c r="G882" s="129" t="str">
        <f>IF(H882="","",VLOOKUP(H882,プルダウン用リスト!$K$1:$M$15,2,FALSE))</f>
        <v/>
      </c>
      <c r="H882" s="76"/>
      <c r="I882" s="76"/>
      <c r="J882" s="76"/>
      <c r="K882" s="146"/>
      <c r="L882" s="77"/>
      <c r="M882" s="78"/>
      <c r="N882" s="71"/>
      <c r="O882" s="432" t="str">
        <f t="shared" si="41"/>
        <v/>
      </c>
    </row>
    <row r="883" spans="2:15" x14ac:dyDescent="0.4">
      <c r="B883" s="74"/>
      <c r="C883" s="60"/>
      <c r="D883" s="426" t="str">
        <f>IF(C883="","",VLOOKUP(C883,団体基本情報!$B$13:$D$22,3,FALSE))</f>
        <v/>
      </c>
      <c r="E883" s="427" t="str">
        <f t="shared" si="39"/>
        <v/>
      </c>
      <c r="F883" s="428" t="str">
        <f t="shared" si="40"/>
        <v/>
      </c>
      <c r="G883" s="129" t="str">
        <f>IF(H883="","",VLOOKUP(H883,プルダウン用リスト!$K$1:$M$15,2,FALSE))</f>
        <v/>
      </c>
      <c r="H883" s="76"/>
      <c r="I883" s="61"/>
      <c r="J883" s="76"/>
      <c r="K883" s="146"/>
      <c r="L883" s="77"/>
      <c r="M883" s="78"/>
      <c r="N883" s="71"/>
      <c r="O883" s="432" t="str">
        <f t="shared" si="41"/>
        <v/>
      </c>
    </row>
    <row r="884" spans="2:15" x14ac:dyDescent="0.4">
      <c r="B884" s="74"/>
      <c r="C884" s="60"/>
      <c r="D884" s="426" t="str">
        <f>IF(C884="","",VLOOKUP(C884,団体基本情報!$B$13:$D$22,3,FALSE))</f>
        <v/>
      </c>
      <c r="E884" s="427" t="str">
        <f t="shared" si="39"/>
        <v/>
      </c>
      <c r="F884" s="428" t="str">
        <f t="shared" si="40"/>
        <v/>
      </c>
      <c r="G884" s="129" t="str">
        <f>IF(H884="","",VLOOKUP(H884,プルダウン用リスト!$K$1:$M$15,2,FALSE))</f>
        <v/>
      </c>
      <c r="H884" s="76"/>
      <c r="I884" s="61"/>
      <c r="J884" s="76"/>
      <c r="K884" s="146"/>
      <c r="L884" s="77"/>
      <c r="M884" s="78"/>
      <c r="N884" s="71"/>
      <c r="O884" s="432" t="str">
        <f t="shared" si="41"/>
        <v/>
      </c>
    </row>
    <row r="885" spans="2:15" x14ac:dyDescent="0.4">
      <c r="B885" s="74"/>
      <c r="C885" s="60"/>
      <c r="D885" s="426" t="str">
        <f>IF(C885="","",VLOOKUP(C885,団体基本情報!$B$13:$D$22,3,FALSE))</f>
        <v/>
      </c>
      <c r="E885" s="427" t="str">
        <f t="shared" si="39"/>
        <v/>
      </c>
      <c r="F885" s="428" t="str">
        <f t="shared" si="40"/>
        <v/>
      </c>
      <c r="G885" s="129" t="str">
        <f>IF(H885="","",VLOOKUP(H885,プルダウン用リスト!$K$1:$M$15,2,FALSE))</f>
        <v/>
      </c>
      <c r="H885" s="76"/>
      <c r="I885" s="76"/>
      <c r="J885" s="76"/>
      <c r="K885" s="146"/>
      <c r="L885" s="77"/>
      <c r="M885" s="78"/>
      <c r="N885" s="71"/>
      <c r="O885" s="432" t="str">
        <f t="shared" si="41"/>
        <v/>
      </c>
    </row>
    <row r="886" spans="2:15" x14ac:dyDescent="0.4">
      <c r="B886" s="74"/>
      <c r="C886" s="60"/>
      <c r="D886" s="426" t="str">
        <f>IF(C886="","",VLOOKUP(C886,団体基本情報!$B$13:$D$22,3,FALSE))</f>
        <v/>
      </c>
      <c r="E886" s="427" t="str">
        <f t="shared" si="39"/>
        <v/>
      </c>
      <c r="F886" s="428" t="str">
        <f t="shared" si="40"/>
        <v/>
      </c>
      <c r="G886" s="129" t="str">
        <f>IF(H886="","",VLOOKUP(H886,プルダウン用リスト!$K$1:$M$15,2,FALSE))</f>
        <v/>
      </c>
      <c r="H886" s="76"/>
      <c r="I886" s="61"/>
      <c r="J886" s="76"/>
      <c r="K886" s="146"/>
      <c r="L886" s="77"/>
      <c r="M886" s="78"/>
      <c r="N886" s="71"/>
      <c r="O886" s="432" t="str">
        <f t="shared" si="41"/>
        <v/>
      </c>
    </row>
    <row r="887" spans="2:15" x14ac:dyDescent="0.4">
      <c r="B887" s="74"/>
      <c r="C887" s="60"/>
      <c r="D887" s="426" t="str">
        <f>IF(C887="","",VLOOKUP(C887,団体基本情報!$B$13:$D$22,3,FALSE))</f>
        <v/>
      </c>
      <c r="E887" s="427" t="str">
        <f t="shared" si="39"/>
        <v/>
      </c>
      <c r="F887" s="428" t="str">
        <f t="shared" si="40"/>
        <v/>
      </c>
      <c r="G887" s="129" t="str">
        <f>IF(H887="","",VLOOKUP(H887,プルダウン用リスト!$K$1:$M$15,2,FALSE))</f>
        <v/>
      </c>
      <c r="H887" s="76"/>
      <c r="I887" s="61"/>
      <c r="J887" s="76"/>
      <c r="K887" s="146"/>
      <c r="L887" s="77"/>
      <c r="M887" s="78"/>
      <c r="N887" s="71"/>
      <c r="O887" s="432" t="str">
        <f t="shared" si="41"/>
        <v/>
      </c>
    </row>
    <row r="888" spans="2:15" x14ac:dyDescent="0.4">
      <c r="B888" s="74"/>
      <c r="C888" s="60"/>
      <c r="D888" s="426" t="str">
        <f>IF(C888="","",VLOOKUP(C888,団体基本情報!$B$13:$D$22,3,FALSE))</f>
        <v/>
      </c>
      <c r="E888" s="427" t="str">
        <f t="shared" si="39"/>
        <v/>
      </c>
      <c r="F888" s="428" t="str">
        <f t="shared" si="40"/>
        <v/>
      </c>
      <c r="G888" s="129" t="str">
        <f>IF(H888="","",VLOOKUP(H888,プルダウン用リスト!$K$1:$M$15,2,FALSE))</f>
        <v/>
      </c>
      <c r="H888" s="76"/>
      <c r="I888" s="76"/>
      <c r="J888" s="76"/>
      <c r="K888" s="146"/>
      <c r="L888" s="77"/>
      <c r="M888" s="78"/>
      <c r="N888" s="71"/>
      <c r="O888" s="432" t="str">
        <f t="shared" si="41"/>
        <v/>
      </c>
    </row>
    <row r="889" spans="2:15" x14ac:dyDescent="0.4">
      <c r="B889" s="74"/>
      <c r="C889" s="60"/>
      <c r="D889" s="426" t="str">
        <f>IF(C889="","",VLOOKUP(C889,団体基本情報!$B$13:$D$22,3,FALSE))</f>
        <v/>
      </c>
      <c r="E889" s="427" t="str">
        <f t="shared" si="39"/>
        <v/>
      </c>
      <c r="F889" s="428" t="str">
        <f t="shared" si="40"/>
        <v/>
      </c>
      <c r="G889" s="129" t="str">
        <f>IF(H889="","",VLOOKUP(H889,プルダウン用リスト!$K$1:$M$15,2,FALSE))</f>
        <v/>
      </c>
      <c r="H889" s="76"/>
      <c r="I889" s="61"/>
      <c r="J889" s="76"/>
      <c r="K889" s="146"/>
      <c r="L889" s="77"/>
      <c r="M889" s="78"/>
      <c r="N889" s="71"/>
      <c r="O889" s="432" t="str">
        <f t="shared" si="41"/>
        <v/>
      </c>
    </row>
    <row r="890" spans="2:15" x14ac:dyDescent="0.4">
      <c r="B890" s="74"/>
      <c r="C890" s="60"/>
      <c r="D890" s="426" t="str">
        <f>IF(C890="","",VLOOKUP(C890,団体基本情報!$B$13:$D$22,3,FALSE))</f>
        <v/>
      </c>
      <c r="E890" s="427" t="str">
        <f t="shared" si="39"/>
        <v/>
      </c>
      <c r="F890" s="428" t="str">
        <f t="shared" si="40"/>
        <v/>
      </c>
      <c r="G890" s="129" t="str">
        <f>IF(H890="","",VLOOKUP(H890,プルダウン用リスト!$K$1:$M$15,2,FALSE))</f>
        <v/>
      </c>
      <c r="H890" s="76"/>
      <c r="I890" s="61"/>
      <c r="J890" s="76"/>
      <c r="K890" s="146"/>
      <c r="L890" s="77"/>
      <c r="M890" s="78"/>
      <c r="N890" s="71"/>
      <c r="O890" s="432" t="str">
        <f t="shared" si="41"/>
        <v/>
      </c>
    </row>
    <row r="891" spans="2:15" x14ac:dyDescent="0.4">
      <c r="B891" s="74"/>
      <c r="C891" s="60"/>
      <c r="D891" s="426" t="str">
        <f>IF(C891="","",VLOOKUP(C891,団体基本情報!$B$13:$D$22,3,FALSE))</f>
        <v/>
      </c>
      <c r="E891" s="427" t="str">
        <f t="shared" si="39"/>
        <v/>
      </c>
      <c r="F891" s="428" t="str">
        <f t="shared" si="40"/>
        <v/>
      </c>
      <c r="G891" s="129" t="str">
        <f>IF(H891="","",VLOOKUP(H891,プルダウン用リスト!$K$1:$M$15,2,FALSE))</f>
        <v/>
      </c>
      <c r="H891" s="76"/>
      <c r="I891" s="76"/>
      <c r="J891" s="76"/>
      <c r="K891" s="146"/>
      <c r="L891" s="77"/>
      <c r="M891" s="78"/>
      <c r="N891" s="71"/>
      <c r="O891" s="432" t="str">
        <f t="shared" si="41"/>
        <v/>
      </c>
    </row>
    <row r="892" spans="2:15" x14ac:dyDescent="0.4">
      <c r="B892" s="74"/>
      <c r="C892" s="60"/>
      <c r="D892" s="426" t="str">
        <f>IF(C892="","",VLOOKUP(C892,団体基本情報!$B$13:$D$22,3,FALSE))</f>
        <v/>
      </c>
      <c r="E892" s="427" t="str">
        <f t="shared" si="39"/>
        <v/>
      </c>
      <c r="F892" s="428" t="str">
        <f t="shared" si="40"/>
        <v/>
      </c>
      <c r="G892" s="129" t="str">
        <f>IF(H892="","",VLOOKUP(H892,プルダウン用リスト!$K$1:$M$15,2,FALSE))</f>
        <v/>
      </c>
      <c r="H892" s="76"/>
      <c r="I892" s="61"/>
      <c r="J892" s="76"/>
      <c r="K892" s="146"/>
      <c r="L892" s="77"/>
      <c r="M892" s="78"/>
      <c r="N892" s="71"/>
      <c r="O892" s="432" t="str">
        <f t="shared" si="41"/>
        <v/>
      </c>
    </row>
    <row r="893" spans="2:15" x14ac:dyDescent="0.4">
      <c r="B893" s="74"/>
      <c r="C893" s="60"/>
      <c r="D893" s="426" t="str">
        <f>IF(C893="","",VLOOKUP(C893,団体基本情報!$B$13:$D$22,3,FALSE))</f>
        <v/>
      </c>
      <c r="E893" s="427" t="str">
        <f t="shared" si="39"/>
        <v/>
      </c>
      <c r="F893" s="428" t="str">
        <f t="shared" si="40"/>
        <v/>
      </c>
      <c r="G893" s="129" t="str">
        <f>IF(H893="","",VLOOKUP(H893,プルダウン用リスト!$K$1:$M$15,2,FALSE))</f>
        <v/>
      </c>
      <c r="H893" s="76"/>
      <c r="I893" s="61"/>
      <c r="J893" s="76"/>
      <c r="K893" s="146"/>
      <c r="L893" s="77"/>
      <c r="M893" s="78"/>
      <c r="N893" s="71"/>
      <c r="O893" s="432" t="str">
        <f t="shared" si="41"/>
        <v/>
      </c>
    </row>
    <row r="894" spans="2:15" x14ac:dyDescent="0.4">
      <c r="B894" s="74"/>
      <c r="C894" s="75"/>
      <c r="D894" s="426" t="str">
        <f>IF(C894="","",VLOOKUP(C894,団体基本情報!$B$13:$D$22,3,FALSE))</f>
        <v/>
      </c>
      <c r="E894" s="427" t="str">
        <f t="shared" si="39"/>
        <v/>
      </c>
      <c r="F894" s="428" t="str">
        <f t="shared" si="40"/>
        <v/>
      </c>
      <c r="G894" s="129" t="str">
        <f>IF(H894="","",VLOOKUP(H894,プルダウン用リスト!$K$1:$M$15,2,FALSE))</f>
        <v/>
      </c>
      <c r="H894" s="76"/>
      <c r="I894" s="76"/>
      <c r="J894" s="76"/>
      <c r="K894" s="146"/>
      <c r="L894" s="77"/>
      <c r="M894" s="78"/>
      <c r="N894" s="71"/>
      <c r="O894" s="432" t="str">
        <f t="shared" si="41"/>
        <v/>
      </c>
    </row>
    <row r="895" spans="2:15" x14ac:dyDescent="0.4">
      <c r="B895" s="74"/>
      <c r="C895" s="60"/>
      <c r="D895" s="426" t="str">
        <f>IF(C895="","",VLOOKUP(C895,団体基本情報!$B$13:$D$22,3,FALSE))</f>
        <v/>
      </c>
      <c r="E895" s="427" t="str">
        <f t="shared" si="39"/>
        <v/>
      </c>
      <c r="F895" s="428" t="str">
        <f t="shared" si="40"/>
        <v/>
      </c>
      <c r="G895" s="129" t="str">
        <f>IF(H895="","",VLOOKUP(H895,プルダウン用リスト!$K$1:$M$15,2,FALSE))</f>
        <v/>
      </c>
      <c r="H895" s="76"/>
      <c r="I895" s="61"/>
      <c r="J895" s="76"/>
      <c r="K895" s="146"/>
      <c r="L895" s="77"/>
      <c r="M895" s="78"/>
      <c r="N895" s="71"/>
      <c r="O895" s="432" t="str">
        <f t="shared" si="41"/>
        <v/>
      </c>
    </row>
    <row r="896" spans="2:15" x14ac:dyDescent="0.4">
      <c r="B896" s="74"/>
      <c r="C896" s="60"/>
      <c r="D896" s="426" t="str">
        <f>IF(C896="","",VLOOKUP(C896,団体基本情報!$B$13:$D$22,3,FALSE))</f>
        <v/>
      </c>
      <c r="E896" s="427" t="str">
        <f t="shared" si="39"/>
        <v/>
      </c>
      <c r="F896" s="428" t="str">
        <f t="shared" si="40"/>
        <v/>
      </c>
      <c r="G896" s="129" t="str">
        <f>IF(H896="","",VLOOKUP(H896,プルダウン用リスト!$K$1:$M$15,2,FALSE))</f>
        <v/>
      </c>
      <c r="H896" s="76"/>
      <c r="I896" s="61"/>
      <c r="J896" s="76"/>
      <c r="K896" s="146"/>
      <c r="L896" s="77"/>
      <c r="M896" s="78"/>
      <c r="N896" s="71"/>
      <c r="O896" s="432" t="str">
        <f t="shared" si="41"/>
        <v/>
      </c>
    </row>
    <row r="897" spans="2:15" x14ac:dyDescent="0.4">
      <c r="B897" s="74"/>
      <c r="C897" s="60"/>
      <c r="D897" s="426" t="str">
        <f>IF(C897="","",VLOOKUP(C897,団体基本情報!$B$13:$D$22,3,FALSE))</f>
        <v/>
      </c>
      <c r="E897" s="427" t="str">
        <f t="shared" si="39"/>
        <v/>
      </c>
      <c r="F897" s="428" t="str">
        <f t="shared" si="40"/>
        <v/>
      </c>
      <c r="G897" s="129" t="str">
        <f>IF(H897="","",VLOOKUP(H897,プルダウン用リスト!$K$1:$M$15,2,FALSE))</f>
        <v/>
      </c>
      <c r="H897" s="76"/>
      <c r="I897" s="76"/>
      <c r="J897" s="76"/>
      <c r="K897" s="146"/>
      <c r="L897" s="77"/>
      <c r="M897" s="78"/>
      <c r="N897" s="71"/>
      <c r="O897" s="432" t="str">
        <f t="shared" si="41"/>
        <v/>
      </c>
    </row>
    <row r="898" spans="2:15" x14ac:dyDescent="0.4">
      <c r="B898" s="74"/>
      <c r="C898" s="60"/>
      <c r="D898" s="426" t="str">
        <f>IF(C898="","",VLOOKUP(C898,団体基本情報!$B$13:$D$22,3,FALSE))</f>
        <v/>
      </c>
      <c r="E898" s="427" t="str">
        <f t="shared" si="39"/>
        <v/>
      </c>
      <c r="F898" s="428" t="str">
        <f t="shared" si="40"/>
        <v/>
      </c>
      <c r="G898" s="129" t="str">
        <f>IF(H898="","",VLOOKUP(H898,プルダウン用リスト!$K$1:$M$15,2,FALSE))</f>
        <v/>
      </c>
      <c r="H898" s="76"/>
      <c r="I898" s="61"/>
      <c r="J898" s="76"/>
      <c r="K898" s="146"/>
      <c r="L898" s="77"/>
      <c r="M898" s="78"/>
      <c r="N898" s="71"/>
      <c r="O898" s="432" t="str">
        <f t="shared" si="41"/>
        <v/>
      </c>
    </row>
    <row r="899" spans="2:15" x14ac:dyDescent="0.4">
      <c r="B899" s="74"/>
      <c r="C899" s="60"/>
      <c r="D899" s="426" t="str">
        <f>IF(C899="","",VLOOKUP(C899,団体基本情報!$B$13:$D$22,3,FALSE))</f>
        <v/>
      </c>
      <c r="E899" s="427" t="str">
        <f t="shared" si="39"/>
        <v/>
      </c>
      <c r="F899" s="428" t="str">
        <f t="shared" si="40"/>
        <v/>
      </c>
      <c r="G899" s="129" t="str">
        <f>IF(H899="","",VLOOKUP(H899,プルダウン用リスト!$K$1:$M$15,2,FALSE))</f>
        <v/>
      </c>
      <c r="H899" s="76"/>
      <c r="I899" s="61"/>
      <c r="J899" s="76"/>
      <c r="K899" s="146"/>
      <c r="L899" s="77"/>
      <c r="M899" s="78"/>
      <c r="N899" s="71"/>
      <c r="O899" s="432" t="str">
        <f t="shared" si="41"/>
        <v/>
      </c>
    </row>
    <row r="900" spans="2:15" x14ac:dyDescent="0.4">
      <c r="B900" s="74"/>
      <c r="C900" s="60"/>
      <c r="D900" s="426" t="str">
        <f>IF(C900="","",VLOOKUP(C900,団体基本情報!$B$13:$D$22,3,FALSE))</f>
        <v/>
      </c>
      <c r="E900" s="427" t="str">
        <f t="shared" si="39"/>
        <v/>
      </c>
      <c r="F900" s="428" t="str">
        <f t="shared" si="40"/>
        <v/>
      </c>
      <c r="G900" s="129" t="str">
        <f>IF(H900="","",VLOOKUP(H900,プルダウン用リスト!$K$1:$M$15,2,FALSE))</f>
        <v/>
      </c>
      <c r="H900" s="76"/>
      <c r="I900" s="76"/>
      <c r="J900" s="76"/>
      <c r="K900" s="146"/>
      <c r="L900" s="77"/>
      <c r="M900" s="78"/>
      <c r="N900" s="71"/>
      <c r="O900" s="432" t="str">
        <f t="shared" si="41"/>
        <v/>
      </c>
    </row>
    <row r="901" spans="2:15" x14ac:dyDescent="0.4">
      <c r="B901" s="74"/>
      <c r="C901" s="60"/>
      <c r="D901" s="426" t="str">
        <f>IF(C901="","",VLOOKUP(C901,団体基本情報!$B$13:$D$22,3,FALSE))</f>
        <v/>
      </c>
      <c r="E901" s="427" t="str">
        <f t="shared" si="39"/>
        <v/>
      </c>
      <c r="F901" s="428" t="str">
        <f t="shared" si="40"/>
        <v/>
      </c>
      <c r="G901" s="129" t="str">
        <f>IF(H901="","",VLOOKUP(H901,プルダウン用リスト!$K$1:$M$15,2,FALSE))</f>
        <v/>
      </c>
      <c r="H901" s="76"/>
      <c r="I901" s="61"/>
      <c r="J901" s="76"/>
      <c r="K901" s="146"/>
      <c r="L901" s="77"/>
      <c r="M901" s="78"/>
      <c r="N901" s="71"/>
      <c r="O901" s="432" t="str">
        <f t="shared" si="41"/>
        <v/>
      </c>
    </row>
    <row r="902" spans="2:15" x14ac:dyDescent="0.4">
      <c r="B902" s="74"/>
      <c r="C902" s="60"/>
      <c r="D902" s="426" t="str">
        <f>IF(C902="","",VLOOKUP(C902,団体基本情報!$B$13:$D$22,3,FALSE))</f>
        <v/>
      </c>
      <c r="E902" s="427" t="str">
        <f t="shared" si="39"/>
        <v/>
      </c>
      <c r="F902" s="428" t="str">
        <f t="shared" si="40"/>
        <v/>
      </c>
      <c r="G902" s="129" t="str">
        <f>IF(H902="","",VLOOKUP(H902,プルダウン用リスト!$K$1:$M$15,2,FALSE))</f>
        <v/>
      </c>
      <c r="H902" s="76"/>
      <c r="I902" s="61"/>
      <c r="J902" s="76"/>
      <c r="K902" s="146"/>
      <c r="L902" s="77"/>
      <c r="M902" s="78"/>
      <c r="N902" s="71"/>
      <c r="O902" s="432" t="str">
        <f t="shared" si="41"/>
        <v/>
      </c>
    </row>
    <row r="903" spans="2:15" x14ac:dyDescent="0.4">
      <c r="B903" s="74"/>
      <c r="C903" s="60"/>
      <c r="D903" s="426" t="str">
        <f>IF(C903="","",VLOOKUP(C903,団体基本情報!$B$13:$D$22,3,FALSE))</f>
        <v/>
      </c>
      <c r="E903" s="427" t="str">
        <f t="shared" ref="E903:E966" si="42">IF(F903="","",IF(F903="謝金","01.",IF(F903="旅費","02.",IF(F903="その他","04.","03."))))</f>
        <v/>
      </c>
      <c r="F903" s="428" t="str">
        <f t="shared" ref="F903:F966" si="43">IF(H903="","",IF(H903="謝金","謝金",IF(H903="旅費","旅費",IF(H903="対象外経費","その他","所費"))))</f>
        <v/>
      </c>
      <c r="G903" s="129" t="str">
        <f>IF(H903="","",VLOOKUP(H903,プルダウン用リスト!$K$1:$M$15,2,FALSE))</f>
        <v/>
      </c>
      <c r="H903" s="76"/>
      <c r="I903" s="76"/>
      <c r="J903" s="76"/>
      <c r="K903" s="146"/>
      <c r="L903" s="77"/>
      <c r="M903" s="78"/>
      <c r="N903" s="71"/>
      <c r="O903" s="432" t="str">
        <f t="shared" ref="O903:O966" si="44">IF(H903="対象外経費",M903,IF(N903="","",M903-N903))</f>
        <v/>
      </c>
    </row>
    <row r="904" spans="2:15" x14ac:dyDescent="0.4">
      <c r="B904" s="74"/>
      <c r="C904" s="60"/>
      <c r="D904" s="426" t="str">
        <f>IF(C904="","",VLOOKUP(C904,団体基本情報!$B$13:$D$22,3,FALSE))</f>
        <v/>
      </c>
      <c r="E904" s="427" t="str">
        <f t="shared" si="42"/>
        <v/>
      </c>
      <c r="F904" s="428" t="str">
        <f t="shared" si="43"/>
        <v/>
      </c>
      <c r="G904" s="129" t="str">
        <f>IF(H904="","",VLOOKUP(H904,プルダウン用リスト!$K$1:$M$15,2,FALSE))</f>
        <v/>
      </c>
      <c r="H904" s="76"/>
      <c r="I904" s="61"/>
      <c r="J904" s="76"/>
      <c r="K904" s="146"/>
      <c r="L904" s="77"/>
      <c r="M904" s="78"/>
      <c r="N904" s="71"/>
      <c r="O904" s="432" t="str">
        <f t="shared" si="44"/>
        <v/>
      </c>
    </row>
    <row r="905" spans="2:15" x14ac:dyDescent="0.4">
      <c r="B905" s="74"/>
      <c r="C905" s="60"/>
      <c r="D905" s="426" t="str">
        <f>IF(C905="","",VLOOKUP(C905,団体基本情報!$B$13:$D$22,3,FALSE))</f>
        <v/>
      </c>
      <c r="E905" s="427" t="str">
        <f t="shared" si="42"/>
        <v/>
      </c>
      <c r="F905" s="428" t="str">
        <f t="shared" si="43"/>
        <v/>
      </c>
      <c r="G905" s="129" t="str">
        <f>IF(H905="","",VLOOKUP(H905,プルダウン用リスト!$K$1:$M$15,2,FALSE))</f>
        <v/>
      </c>
      <c r="H905" s="76"/>
      <c r="I905" s="61"/>
      <c r="J905" s="76"/>
      <c r="K905" s="146"/>
      <c r="L905" s="77"/>
      <c r="M905" s="78"/>
      <c r="N905" s="71"/>
      <c r="O905" s="432" t="str">
        <f t="shared" si="44"/>
        <v/>
      </c>
    </row>
    <row r="906" spans="2:15" x14ac:dyDescent="0.4">
      <c r="B906" s="74"/>
      <c r="C906" s="75"/>
      <c r="D906" s="426" t="str">
        <f>IF(C906="","",VLOOKUP(C906,団体基本情報!$B$13:$D$22,3,FALSE))</f>
        <v/>
      </c>
      <c r="E906" s="427" t="str">
        <f t="shared" si="42"/>
        <v/>
      </c>
      <c r="F906" s="428" t="str">
        <f t="shared" si="43"/>
        <v/>
      </c>
      <c r="G906" s="129" t="str">
        <f>IF(H906="","",VLOOKUP(H906,プルダウン用リスト!$K$1:$M$15,2,FALSE))</f>
        <v/>
      </c>
      <c r="H906" s="76"/>
      <c r="I906" s="76"/>
      <c r="J906" s="76"/>
      <c r="K906" s="146"/>
      <c r="L906" s="77"/>
      <c r="M906" s="78"/>
      <c r="N906" s="71"/>
      <c r="O906" s="432" t="str">
        <f t="shared" si="44"/>
        <v/>
      </c>
    </row>
    <row r="907" spans="2:15" x14ac:dyDescent="0.4">
      <c r="B907" s="74"/>
      <c r="C907" s="60"/>
      <c r="D907" s="426" t="str">
        <f>IF(C907="","",VLOOKUP(C907,団体基本情報!$B$13:$D$22,3,FALSE))</f>
        <v/>
      </c>
      <c r="E907" s="427" t="str">
        <f t="shared" si="42"/>
        <v/>
      </c>
      <c r="F907" s="428" t="str">
        <f t="shared" si="43"/>
        <v/>
      </c>
      <c r="G907" s="129" t="str">
        <f>IF(H907="","",VLOOKUP(H907,プルダウン用リスト!$K$1:$M$15,2,FALSE))</f>
        <v/>
      </c>
      <c r="H907" s="76"/>
      <c r="I907" s="61"/>
      <c r="J907" s="76"/>
      <c r="K907" s="146"/>
      <c r="L907" s="77"/>
      <c r="M907" s="78"/>
      <c r="N907" s="71"/>
      <c r="O907" s="432" t="str">
        <f t="shared" si="44"/>
        <v/>
      </c>
    </row>
    <row r="908" spans="2:15" x14ac:dyDescent="0.4">
      <c r="B908" s="74"/>
      <c r="C908" s="60"/>
      <c r="D908" s="426" t="str">
        <f>IF(C908="","",VLOOKUP(C908,団体基本情報!$B$13:$D$22,3,FALSE))</f>
        <v/>
      </c>
      <c r="E908" s="427" t="str">
        <f t="shared" si="42"/>
        <v/>
      </c>
      <c r="F908" s="428" t="str">
        <f t="shared" si="43"/>
        <v/>
      </c>
      <c r="G908" s="129" t="str">
        <f>IF(H908="","",VLOOKUP(H908,プルダウン用リスト!$K$1:$M$15,2,FALSE))</f>
        <v/>
      </c>
      <c r="H908" s="76"/>
      <c r="I908" s="61"/>
      <c r="J908" s="76"/>
      <c r="K908" s="146"/>
      <c r="L908" s="77"/>
      <c r="M908" s="78"/>
      <c r="N908" s="71"/>
      <c r="O908" s="432" t="str">
        <f t="shared" si="44"/>
        <v/>
      </c>
    </row>
    <row r="909" spans="2:15" x14ac:dyDescent="0.4">
      <c r="B909" s="74"/>
      <c r="C909" s="60"/>
      <c r="D909" s="426" t="str">
        <f>IF(C909="","",VLOOKUP(C909,団体基本情報!$B$13:$D$22,3,FALSE))</f>
        <v/>
      </c>
      <c r="E909" s="427" t="str">
        <f t="shared" si="42"/>
        <v/>
      </c>
      <c r="F909" s="428" t="str">
        <f t="shared" si="43"/>
        <v/>
      </c>
      <c r="G909" s="129" t="str">
        <f>IF(H909="","",VLOOKUP(H909,プルダウン用リスト!$K$1:$M$15,2,FALSE))</f>
        <v/>
      </c>
      <c r="H909" s="76"/>
      <c r="I909" s="76"/>
      <c r="J909" s="76"/>
      <c r="K909" s="146"/>
      <c r="L909" s="77"/>
      <c r="M909" s="78"/>
      <c r="N909" s="71"/>
      <c r="O909" s="432" t="str">
        <f t="shared" si="44"/>
        <v/>
      </c>
    </row>
    <row r="910" spans="2:15" x14ac:dyDescent="0.4">
      <c r="B910" s="74"/>
      <c r="C910" s="60"/>
      <c r="D910" s="426" t="str">
        <f>IF(C910="","",VLOOKUP(C910,団体基本情報!$B$13:$D$22,3,FALSE))</f>
        <v/>
      </c>
      <c r="E910" s="427" t="str">
        <f t="shared" si="42"/>
        <v/>
      </c>
      <c r="F910" s="428" t="str">
        <f t="shared" si="43"/>
        <v/>
      </c>
      <c r="G910" s="129" t="str">
        <f>IF(H910="","",VLOOKUP(H910,プルダウン用リスト!$K$1:$M$15,2,FALSE))</f>
        <v/>
      </c>
      <c r="H910" s="76"/>
      <c r="I910" s="61"/>
      <c r="J910" s="76"/>
      <c r="K910" s="146"/>
      <c r="L910" s="77"/>
      <c r="M910" s="78"/>
      <c r="N910" s="71"/>
      <c r="O910" s="432" t="str">
        <f t="shared" si="44"/>
        <v/>
      </c>
    </row>
    <row r="911" spans="2:15" x14ac:dyDescent="0.4">
      <c r="B911" s="74"/>
      <c r="C911" s="60"/>
      <c r="D911" s="426" t="str">
        <f>IF(C911="","",VLOOKUP(C911,団体基本情報!$B$13:$D$22,3,FALSE))</f>
        <v/>
      </c>
      <c r="E911" s="427" t="str">
        <f t="shared" si="42"/>
        <v/>
      </c>
      <c r="F911" s="428" t="str">
        <f t="shared" si="43"/>
        <v/>
      </c>
      <c r="G911" s="129" t="str">
        <f>IF(H911="","",VLOOKUP(H911,プルダウン用リスト!$K$1:$M$15,2,FALSE))</f>
        <v/>
      </c>
      <c r="H911" s="76"/>
      <c r="I911" s="61"/>
      <c r="J911" s="76"/>
      <c r="K911" s="146"/>
      <c r="L911" s="77"/>
      <c r="M911" s="78"/>
      <c r="N911" s="71"/>
      <c r="O911" s="432" t="str">
        <f t="shared" si="44"/>
        <v/>
      </c>
    </row>
    <row r="912" spans="2:15" x14ac:dyDescent="0.4">
      <c r="B912" s="74"/>
      <c r="C912" s="60"/>
      <c r="D912" s="426" t="str">
        <f>IF(C912="","",VLOOKUP(C912,団体基本情報!$B$13:$D$22,3,FALSE))</f>
        <v/>
      </c>
      <c r="E912" s="427" t="str">
        <f t="shared" si="42"/>
        <v/>
      </c>
      <c r="F912" s="428" t="str">
        <f t="shared" si="43"/>
        <v/>
      </c>
      <c r="G912" s="129" t="str">
        <f>IF(H912="","",VLOOKUP(H912,プルダウン用リスト!$K$1:$M$15,2,FALSE))</f>
        <v/>
      </c>
      <c r="H912" s="76"/>
      <c r="I912" s="76"/>
      <c r="J912" s="76"/>
      <c r="K912" s="146"/>
      <c r="L912" s="77"/>
      <c r="M912" s="78"/>
      <c r="N912" s="71"/>
      <c r="O912" s="432" t="str">
        <f t="shared" si="44"/>
        <v/>
      </c>
    </row>
    <row r="913" spans="2:15" x14ac:dyDescent="0.4">
      <c r="B913" s="74"/>
      <c r="C913" s="60"/>
      <c r="D913" s="426" t="str">
        <f>IF(C913="","",VLOOKUP(C913,団体基本情報!$B$13:$D$22,3,FALSE))</f>
        <v/>
      </c>
      <c r="E913" s="427" t="str">
        <f t="shared" si="42"/>
        <v/>
      </c>
      <c r="F913" s="428" t="str">
        <f t="shared" si="43"/>
        <v/>
      </c>
      <c r="G913" s="129" t="str">
        <f>IF(H913="","",VLOOKUP(H913,プルダウン用リスト!$K$1:$M$15,2,FALSE))</f>
        <v/>
      </c>
      <c r="H913" s="76"/>
      <c r="I913" s="61"/>
      <c r="J913" s="76"/>
      <c r="K913" s="146"/>
      <c r="L913" s="77"/>
      <c r="M913" s="78"/>
      <c r="N913" s="71"/>
      <c r="O913" s="432" t="str">
        <f t="shared" si="44"/>
        <v/>
      </c>
    </row>
    <row r="914" spans="2:15" x14ac:dyDescent="0.4">
      <c r="B914" s="74"/>
      <c r="C914" s="60"/>
      <c r="D914" s="426" t="str">
        <f>IF(C914="","",VLOOKUP(C914,団体基本情報!$B$13:$D$22,3,FALSE))</f>
        <v/>
      </c>
      <c r="E914" s="427" t="str">
        <f t="shared" si="42"/>
        <v/>
      </c>
      <c r="F914" s="428" t="str">
        <f t="shared" si="43"/>
        <v/>
      </c>
      <c r="G914" s="129" t="str">
        <f>IF(H914="","",VLOOKUP(H914,プルダウン用リスト!$K$1:$M$15,2,FALSE))</f>
        <v/>
      </c>
      <c r="H914" s="76"/>
      <c r="I914" s="61"/>
      <c r="J914" s="76"/>
      <c r="K914" s="146"/>
      <c r="L914" s="77"/>
      <c r="M914" s="78"/>
      <c r="N914" s="71"/>
      <c r="O914" s="432" t="str">
        <f t="shared" si="44"/>
        <v/>
      </c>
    </row>
    <row r="915" spans="2:15" x14ac:dyDescent="0.4">
      <c r="B915" s="74"/>
      <c r="C915" s="60"/>
      <c r="D915" s="426" t="str">
        <f>IF(C915="","",VLOOKUP(C915,団体基本情報!$B$13:$D$22,3,FALSE))</f>
        <v/>
      </c>
      <c r="E915" s="427" t="str">
        <f t="shared" si="42"/>
        <v/>
      </c>
      <c r="F915" s="428" t="str">
        <f t="shared" si="43"/>
        <v/>
      </c>
      <c r="G915" s="129" t="str">
        <f>IF(H915="","",VLOOKUP(H915,プルダウン用リスト!$K$1:$M$15,2,FALSE))</f>
        <v/>
      </c>
      <c r="H915" s="76"/>
      <c r="I915" s="76"/>
      <c r="J915" s="76"/>
      <c r="K915" s="146"/>
      <c r="L915" s="77"/>
      <c r="M915" s="78"/>
      <c r="N915" s="71"/>
      <c r="O915" s="432" t="str">
        <f t="shared" si="44"/>
        <v/>
      </c>
    </row>
    <row r="916" spans="2:15" x14ac:dyDescent="0.4">
      <c r="B916" s="74"/>
      <c r="C916" s="60"/>
      <c r="D916" s="426" t="str">
        <f>IF(C916="","",VLOOKUP(C916,団体基本情報!$B$13:$D$22,3,FALSE))</f>
        <v/>
      </c>
      <c r="E916" s="427" t="str">
        <f t="shared" si="42"/>
        <v/>
      </c>
      <c r="F916" s="428" t="str">
        <f t="shared" si="43"/>
        <v/>
      </c>
      <c r="G916" s="129" t="str">
        <f>IF(H916="","",VLOOKUP(H916,プルダウン用リスト!$K$1:$M$15,2,FALSE))</f>
        <v/>
      </c>
      <c r="H916" s="76"/>
      <c r="I916" s="61"/>
      <c r="J916" s="76"/>
      <c r="K916" s="146"/>
      <c r="L916" s="77"/>
      <c r="M916" s="78"/>
      <c r="N916" s="71"/>
      <c r="O916" s="432" t="str">
        <f t="shared" si="44"/>
        <v/>
      </c>
    </row>
    <row r="917" spans="2:15" x14ac:dyDescent="0.4">
      <c r="B917" s="74"/>
      <c r="C917" s="60"/>
      <c r="D917" s="426" t="str">
        <f>IF(C917="","",VLOOKUP(C917,団体基本情報!$B$13:$D$22,3,FALSE))</f>
        <v/>
      </c>
      <c r="E917" s="427" t="str">
        <f t="shared" si="42"/>
        <v/>
      </c>
      <c r="F917" s="428" t="str">
        <f t="shared" si="43"/>
        <v/>
      </c>
      <c r="G917" s="129" t="str">
        <f>IF(H917="","",VLOOKUP(H917,プルダウン用リスト!$K$1:$M$15,2,FALSE))</f>
        <v/>
      </c>
      <c r="H917" s="76"/>
      <c r="I917" s="61"/>
      <c r="J917" s="76"/>
      <c r="K917" s="146"/>
      <c r="L917" s="77"/>
      <c r="M917" s="78"/>
      <c r="N917" s="71"/>
      <c r="O917" s="432" t="str">
        <f t="shared" si="44"/>
        <v/>
      </c>
    </row>
    <row r="918" spans="2:15" x14ac:dyDescent="0.4">
      <c r="B918" s="74"/>
      <c r="C918" s="75"/>
      <c r="D918" s="426" t="str">
        <f>IF(C918="","",VLOOKUP(C918,団体基本情報!$B$13:$D$22,3,FALSE))</f>
        <v/>
      </c>
      <c r="E918" s="427" t="str">
        <f t="shared" si="42"/>
        <v/>
      </c>
      <c r="F918" s="428" t="str">
        <f t="shared" si="43"/>
        <v/>
      </c>
      <c r="G918" s="129" t="str">
        <f>IF(H918="","",VLOOKUP(H918,プルダウン用リスト!$K$1:$M$15,2,FALSE))</f>
        <v/>
      </c>
      <c r="H918" s="76"/>
      <c r="I918" s="76"/>
      <c r="J918" s="76"/>
      <c r="K918" s="146"/>
      <c r="L918" s="77"/>
      <c r="M918" s="78"/>
      <c r="N918" s="71"/>
      <c r="O918" s="432" t="str">
        <f t="shared" si="44"/>
        <v/>
      </c>
    </row>
    <row r="919" spans="2:15" x14ac:dyDescent="0.4">
      <c r="B919" s="74"/>
      <c r="C919" s="60"/>
      <c r="D919" s="426" t="str">
        <f>IF(C919="","",VLOOKUP(C919,団体基本情報!$B$13:$D$22,3,FALSE))</f>
        <v/>
      </c>
      <c r="E919" s="427" t="str">
        <f t="shared" si="42"/>
        <v/>
      </c>
      <c r="F919" s="428" t="str">
        <f t="shared" si="43"/>
        <v/>
      </c>
      <c r="G919" s="129" t="str">
        <f>IF(H919="","",VLOOKUP(H919,プルダウン用リスト!$K$1:$M$15,2,FALSE))</f>
        <v/>
      </c>
      <c r="H919" s="76"/>
      <c r="I919" s="61"/>
      <c r="J919" s="76"/>
      <c r="K919" s="146"/>
      <c r="L919" s="77"/>
      <c r="M919" s="78"/>
      <c r="N919" s="71"/>
      <c r="O919" s="432" t="str">
        <f t="shared" si="44"/>
        <v/>
      </c>
    </row>
    <row r="920" spans="2:15" x14ac:dyDescent="0.4">
      <c r="B920" s="74"/>
      <c r="C920" s="60"/>
      <c r="D920" s="426" t="str">
        <f>IF(C920="","",VLOOKUP(C920,団体基本情報!$B$13:$D$22,3,FALSE))</f>
        <v/>
      </c>
      <c r="E920" s="427" t="str">
        <f t="shared" si="42"/>
        <v/>
      </c>
      <c r="F920" s="428" t="str">
        <f t="shared" si="43"/>
        <v/>
      </c>
      <c r="G920" s="129" t="str">
        <f>IF(H920="","",VLOOKUP(H920,プルダウン用リスト!$K$1:$M$15,2,FALSE))</f>
        <v/>
      </c>
      <c r="H920" s="76"/>
      <c r="I920" s="61"/>
      <c r="J920" s="76"/>
      <c r="K920" s="146"/>
      <c r="L920" s="77"/>
      <c r="M920" s="78"/>
      <c r="N920" s="71"/>
      <c r="O920" s="432" t="str">
        <f t="shared" si="44"/>
        <v/>
      </c>
    </row>
    <row r="921" spans="2:15" x14ac:dyDescent="0.4">
      <c r="B921" s="74"/>
      <c r="C921" s="60"/>
      <c r="D921" s="426" t="str">
        <f>IF(C921="","",VLOOKUP(C921,団体基本情報!$B$13:$D$22,3,FALSE))</f>
        <v/>
      </c>
      <c r="E921" s="427" t="str">
        <f t="shared" si="42"/>
        <v/>
      </c>
      <c r="F921" s="428" t="str">
        <f t="shared" si="43"/>
        <v/>
      </c>
      <c r="G921" s="129" t="str">
        <f>IF(H921="","",VLOOKUP(H921,プルダウン用リスト!$K$1:$M$15,2,FALSE))</f>
        <v/>
      </c>
      <c r="H921" s="76"/>
      <c r="I921" s="76"/>
      <c r="J921" s="76"/>
      <c r="K921" s="146"/>
      <c r="L921" s="77"/>
      <c r="M921" s="78"/>
      <c r="N921" s="71"/>
      <c r="O921" s="432" t="str">
        <f t="shared" si="44"/>
        <v/>
      </c>
    </row>
    <row r="922" spans="2:15" x14ac:dyDescent="0.4">
      <c r="B922" s="74"/>
      <c r="C922" s="60"/>
      <c r="D922" s="426" t="str">
        <f>IF(C922="","",VLOOKUP(C922,団体基本情報!$B$13:$D$22,3,FALSE))</f>
        <v/>
      </c>
      <c r="E922" s="427" t="str">
        <f t="shared" si="42"/>
        <v/>
      </c>
      <c r="F922" s="428" t="str">
        <f t="shared" si="43"/>
        <v/>
      </c>
      <c r="G922" s="129" t="str">
        <f>IF(H922="","",VLOOKUP(H922,プルダウン用リスト!$K$1:$M$15,2,FALSE))</f>
        <v/>
      </c>
      <c r="H922" s="76"/>
      <c r="I922" s="61"/>
      <c r="J922" s="76"/>
      <c r="K922" s="146"/>
      <c r="L922" s="77"/>
      <c r="M922" s="78"/>
      <c r="N922" s="71"/>
      <c r="O922" s="432" t="str">
        <f t="shared" si="44"/>
        <v/>
      </c>
    </row>
    <row r="923" spans="2:15" x14ac:dyDescent="0.4">
      <c r="B923" s="74"/>
      <c r="C923" s="60"/>
      <c r="D923" s="426" t="str">
        <f>IF(C923="","",VLOOKUP(C923,団体基本情報!$B$13:$D$22,3,FALSE))</f>
        <v/>
      </c>
      <c r="E923" s="427" t="str">
        <f t="shared" si="42"/>
        <v/>
      </c>
      <c r="F923" s="428" t="str">
        <f t="shared" si="43"/>
        <v/>
      </c>
      <c r="G923" s="129" t="str">
        <f>IF(H923="","",VLOOKUP(H923,プルダウン用リスト!$K$1:$M$15,2,FALSE))</f>
        <v/>
      </c>
      <c r="H923" s="76"/>
      <c r="I923" s="61"/>
      <c r="J923" s="76"/>
      <c r="K923" s="146"/>
      <c r="L923" s="77"/>
      <c r="M923" s="78"/>
      <c r="N923" s="71"/>
      <c r="O923" s="432" t="str">
        <f t="shared" si="44"/>
        <v/>
      </c>
    </row>
    <row r="924" spans="2:15" x14ac:dyDescent="0.4">
      <c r="B924" s="74"/>
      <c r="C924" s="60"/>
      <c r="D924" s="426" t="str">
        <f>IF(C924="","",VLOOKUP(C924,団体基本情報!$B$13:$D$22,3,FALSE))</f>
        <v/>
      </c>
      <c r="E924" s="427" t="str">
        <f t="shared" si="42"/>
        <v/>
      </c>
      <c r="F924" s="428" t="str">
        <f t="shared" si="43"/>
        <v/>
      </c>
      <c r="G924" s="129" t="str">
        <f>IF(H924="","",VLOOKUP(H924,プルダウン用リスト!$K$1:$M$15,2,FALSE))</f>
        <v/>
      </c>
      <c r="H924" s="76"/>
      <c r="I924" s="76"/>
      <c r="J924" s="76"/>
      <c r="K924" s="146"/>
      <c r="L924" s="77"/>
      <c r="M924" s="78"/>
      <c r="N924" s="71"/>
      <c r="O924" s="432" t="str">
        <f t="shared" si="44"/>
        <v/>
      </c>
    </row>
    <row r="925" spans="2:15" x14ac:dyDescent="0.4">
      <c r="B925" s="74"/>
      <c r="C925" s="60"/>
      <c r="D925" s="426" t="str">
        <f>IF(C925="","",VLOOKUP(C925,団体基本情報!$B$13:$D$22,3,FALSE))</f>
        <v/>
      </c>
      <c r="E925" s="427" t="str">
        <f t="shared" si="42"/>
        <v/>
      </c>
      <c r="F925" s="428" t="str">
        <f t="shared" si="43"/>
        <v/>
      </c>
      <c r="G925" s="129" t="str">
        <f>IF(H925="","",VLOOKUP(H925,プルダウン用リスト!$K$1:$M$15,2,FALSE))</f>
        <v/>
      </c>
      <c r="H925" s="76"/>
      <c r="I925" s="61"/>
      <c r="J925" s="76"/>
      <c r="K925" s="146"/>
      <c r="L925" s="77"/>
      <c r="M925" s="78"/>
      <c r="N925" s="71"/>
      <c r="O925" s="432" t="str">
        <f t="shared" si="44"/>
        <v/>
      </c>
    </row>
    <row r="926" spans="2:15" x14ac:dyDescent="0.4">
      <c r="B926" s="74"/>
      <c r="C926" s="60"/>
      <c r="D926" s="426" t="str">
        <f>IF(C926="","",VLOOKUP(C926,団体基本情報!$B$13:$D$22,3,FALSE))</f>
        <v/>
      </c>
      <c r="E926" s="427" t="str">
        <f t="shared" si="42"/>
        <v/>
      </c>
      <c r="F926" s="428" t="str">
        <f t="shared" si="43"/>
        <v/>
      </c>
      <c r="G926" s="129" t="str">
        <f>IF(H926="","",VLOOKUP(H926,プルダウン用リスト!$K$1:$M$15,2,FALSE))</f>
        <v/>
      </c>
      <c r="H926" s="76"/>
      <c r="I926" s="61"/>
      <c r="J926" s="76"/>
      <c r="K926" s="146"/>
      <c r="L926" s="77"/>
      <c r="M926" s="78"/>
      <c r="N926" s="71"/>
      <c r="O926" s="432" t="str">
        <f t="shared" si="44"/>
        <v/>
      </c>
    </row>
    <row r="927" spans="2:15" x14ac:dyDescent="0.4">
      <c r="B927" s="74"/>
      <c r="C927" s="60"/>
      <c r="D927" s="426" t="str">
        <f>IF(C927="","",VLOOKUP(C927,団体基本情報!$B$13:$D$22,3,FALSE))</f>
        <v/>
      </c>
      <c r="E927" s="427" t="str">
        <f t="shared" si="42"/>
        <v/>
      </c>
      <c r="F927" s="428" t="str">
        <f t="shared" si="43"/>
        <v/>
      </c>
      <c r="G927" s="129" t="str">
        <f>IF(H927="","",VLOOKUP(H927,プルダウン用リスト!$K$1:$M$15,2,FALSE))</f>
        <v/>
      </c>
      <c r="H927" s="76"/>
      <c r="I927" s="76"/>
      <c r="J927" s="76"/>
      <c r="K927" s="146"/>
      <c r="L927" s="77"/>
      <c r="M927" s="78"/>
      <c r="N927" s="71"/>
      <c r="O927" s="432" t="str">
        <f t="shared" si="44"/>
        <v/>
      </c>
    </row>
    <row r="928" spans="2:15" x14ac:dyDescent="0.4">
      <c r="B928" s="74"/>
      <c r="C928" s="60"/>
      <c r="D928" s="426" t="str">
        <f>IF(C928="","",VLOOKUP(C928,団体基本情報!$B$13:$D$22,3,FALSE))</f>
        <v/>
      </c>
      <c r="E928" s="427" t="str">
        <f t="shared" si="42"/>
        <v/>
      </c>
      <c r="F928" s="428" t="str">
        <f t="shared" si="43"/>
        <v/>
      </c>
      <c r="G928" s="129" t="str">
        <f>IF(H928="","",VLOOKUP(H928,プルダウン用リスト!$K$1:$M$15,2,FALSE))</f>
        <v/>
      </c>
      <c r="H928" s="76"/>
      <c r="I928" s="61"/>
      <c r="J928" s="76"/>
      <c r="K928" s="146"/>
      <c r="L928" s="77"/>
      <c r="M928" s="78"/>
      <c r="N928" s="71"/>
      <c r="O928" s="432" t="str">
        <f t="shared" si="44"/>
        <v/>
      </c>
    </row>
    <row r="929" spans="2:15" x14ac:dyDescent="0.4">
      <c r="B929" s="74"/>
      <c r="C929" s="60"/>
      <c r="D929" s="426" t="str">
        <f>IF(C929="","",VLOOKUP(C929,団体基本情報!$B$13:$D$22,3,FALSE))</f>
        <v/>
      </c>
      <c r="E929" s="427" t="str">
        <f t="shared" si="42"/>
        <v/>
      </c>
      <c r="F929" s="428" t="str">
        <f t="shared" si="43"/>
        <v/>
      </c>
      <c r="G929" s="129" t="str">
        <f>IF(H929="","",VLOOKUP(H929,プルダウン用リスト!$K$1:$M$15,2,FALSE))</f>
        <v/>
      </c>
      <c r="H929" s="76"/>
      <c r="I929" s="61"/>
      <c r="J929" s="76"/>
      <c r="K929" s="146"/>
      <c r="L929" s="77"/>
      <c r="M929" s="78"/>
      <c r="N929" s="71"/>
      <c r="O929" s="432" t="str">
        <f t="shared" si="44"/>
        <v/>
      </c>
    </row>
    <row r="930" spans="2:15" x14ac:dyDescent="0.4">
      <c r="B930" s="74"/>
      <c r="C930" s="75"/>
      <c r="D930" s="426" t="str">
        <f>IF(C930="","",VLOOKUP(C930,団体基本情報!$B$13:$D$22,3,FALSE))</f>
        <v/>
      </c>
      <c r="E930" s="427" t="str">
        <f t="shared" si="42"/>
        <v/>
      </c>
      <c r="F930" s="428" t="str">
        <f t="shared" si="43"/>
        <v/>
      </c>
      <c r="G930" s="129" t="str">
        <f>IF(H930="","",VLOOKUP(H930,プルダウン用リスト!$K$1:$M$15,2,FALSE))</f>
        <v/>
      </c>
      <c r="H930" s="76"/>
      <c r="I930" s="76"/>
      <c r="J930" s="76"/>
      <c r="K930" s="146"/>
      <c r="L930" s="77"/>
      <c r="M930" s="78"/>
      <c r="N930" s="71"/>
      <c r="O930" s="432" t="str">
        <f t="shared" si="44"/>
        <v/>
      </c>
    </row>
    <row r="931" spans="2:15" x14ac:dyDescent="0.4">
      <c r="B931" s="74"/>
      <c r="C931" s="60"/>
      <c r="D931" s="426" t="str">
        <f>IF(C931="","",VLOOKUP(C931,団体基本情報!$B$13:$D$22,3,FALSE))</f>
        <v/>
      </c>
      <c r="E931" s="427" t="str">
        <f t="shared" si="42"/>
        <v/>
      </c>
      <c r="F931" s="428" t="str">
        <f t="shared" si="43"/>
        <v/>
      </c>
      <c r="G931" s="129" t="str">
        <f>IF(H931="","",VLOOKUP(H931,プルダウン用リスト!$K$1:$M$15,2,FALSE))</f>
        <v/>
      </c>
      <c r="H931" s="76"/>
      <c r="I931" s="61"/>
      <c r="J931" s="76"/>
      <c r="K931" s="146"/>
      <c r="L931" s="77"/>
      <c r="M931" s="78"/>
      <c r="N931" s="71"/>
      <c r="O931" s="432" t="str">
        <f t="shared" si="44"/>
        <v/>
      </c>
    </row>
    <row r="932" spans="2:15" x14ac:dyDescent="0.4">
      <c r="B932" s="74"/>
      <c r="C932" s="60"/>
      <c r="D932" s="426" t="str">
        <f>IF(C932="","",VLOOKUP(C932,団体基本情報!$B$13:$D$22,3,FALSE))</f>
        <v/>
      </c>
      <c r="E932" s="427" t="str">
        <f t="shared" si="42"/>
        <v/>
      </c>
      <c r="F932" s="428" t="str">
        <f t="shared" si="43"/>
        <v/>
      </c>
      <c r="G932" s="129" t="str">
        <f>IF(H932="","",VLOOKUP(H932,プルダウン用リスト!$K$1:$M$15,2,FALSE))</f>
        <v/>
      </c>
      <c r="H932" s="76"/>
      <c r="I932" s="61"/>
      <c r="J932" s="76"/>
      <c r="K932" s="146"/>
      <c r="L932" s="77"/>
      <c r="M932" s="78"/>
      <c r="N932" s="71"/>
      <c r="O932" s="432" t="str">
        <f t="shared" si="44"/>
        <v/>
      </c>
    </row>
    <row r="933" spans="2:15" x14ac:dyDescent="0.4">
      <c r="B933" s="74"/>
      <c r="C933" s="60"/>
      <c r="D933" s="426" t="str">
        <f>IF(C933="","",VLOOKUP(C933,団体基本情報!$B$13:$D$22,3,FALSE))</f>
        <v/>
      </c>
      <c r="E933" s="427" t="str">
        <f t="shared" si="42"/>
        <v/>
      </c>
      <c r="F933" s="428" t="str">
        <f t="shared" si="43"/>
        <v/>
      </c>
      <c r="G933" s="129" t="str">
        <f>IF(H933="","",VLOOKUP(H933,プルダウン用リスト!$K$1:$M$15,2,FALSE))</f>
        <v/>
      </c>
      <c r="H933" s="76"/>
      <c r="I933" s="76"/>
      <c r="J933" s="76"/>
      <c r="K933" s="146"/>
      <c r="L933" s="77"/>
      <c r="M933" s="78"/>
      <c r="N933" s="71"/>
      <c r="O933" s="432" t="str">
        <f t="shared" si="44"/>
        <v/>
      </c>
    </row>
    <row r="934" spans="2:15" x14ac:dyDescent="0.4">
      <c r="B934" s="74"/>
      <c r="C934" s="60"/>
      <c r="D934" s="426" t="str">
        <f>IF(C934="","",VLOOKUP(C934,団体基本情報!$B$13:$D$22,3,FALSE))</f>
        <v/>
      </c>
      <c r="E934" s="427" t="str">
        <f t="shared" si="42"/>
        <v/>
      </c>
      <c r="F934" s="428" t="str">
        <f t="shared" si="43"/>
        <v/>
      </c>
      <c r="G934" s="129" t="str">
        <f>IF(H934="","",VLOOKUP(H934,プルダウン用リスト!$K$1:$M$15,2,FALSE))</f>
        <v/>
      </c>
      <c r="H934" s="76"/>
      <c r="I934" s="61"/>
      <c r="J934" s="76"/>
      <c r="K934" s="146"/>
      <c r="L934" s="77"/>
      <c r="M934" s="78"/>
      <c r="N934" s="71"/>
      <c r="O934" s="432" t="str">
        <f t="shared" si="44"/>
        <v/>
      </c>
    </row>
    <row r="935" spans="2:15" x14ac:dyDescent="0.4">
      <c r="B935" s="74"/>
      <c r="C935" s="60"/>
      <c r="D935" s="426" t="str">
        <f>IF(C935="","",VLOOKUP(C935,団体基本情報!$B$13:$D$22,3,FALSE))</f>
        <v/>
      </c>
      <c r="E935" s="427" t="str">
        <f t="shared" si="42"/>
        <v/>
      </c>
      <c r="F935" s="428" t="str">
        <f t="shared" si="43"/>
        <v/>
      </c>
      <c r="G935" s="129" t="str">
        <f>IF(H935="","",VLOOKUP(H935,プルダウン用リスト!$K$1:$M$15,2,FALSE))</f>
        <v/>
      </c>
      <c r="H935" s="76"/>
      <c r="I935" s="61"/>
      <c r="J935" s="76"/>
      <c r="K935" s="146"/>
      <c r="L935" s="77"/>
      <c r="M935" s="78"/>
      <c r="N935" s="71"/>
      <c r="O935" s="432" t="str">
        <f t="shared" si="44"/>
        <v/>
      </c>
    </row>
    <row r="936" spans="2:15" x14ac:dyDescent="0.4">
      <c r="B936" s="74"/>
      <c r="C936" s="60"/>
      <c r="D936" s="426" t="str">
        <f>IF(C936="","",VLOOKUP(C936,団体基本情報!$B$13:$D$22,3,FALSE))</f>
        <v/>
      </c>
      <c r="E936" s="427" t="str">
        <f t="shared" si="42"/>
        <v/>
      </c>
      <c r="F936" s="428" t="str">
        <f t="shared" si="43"/>
        <v/>
      </c>
      <c r="G936" s="129" t="str">
        <f>IF(H936="","",VLOOKUP(H936,プルダウン用リスト!$K$1:$M$15,2,FALSE))</f>
        <v/>
      </c>
      <c r="H936" s="76"/>
      <c r="I936" s="76"/>
      <c r="J936" s="76"/>
      <c r="K936" s="146"/>
      <c r="L936" s="77"/>
      <c r="M936" s="78"/>
      <c r="N936" s="71"/>
      <c r="O936" s="432" t="str">
        <f t="shared" si="44"/>
        <v/>
      </c>
    </row>
    <row r="937" spans="2:15" x14ac:dyDescent="0.4">
      <c r="B937" s="74"/>
      <c r="C937" s="60"/>
      <c r="D937" s="426" t="str">
        <f>IF(C937="","",VLOOKUP(C937,団体基本情報!$B$13:$D$22,3,FALSE))</f>
        <v/>
      </c>
      <c r="E937" s="427" t="str">
        <f t="shared" si="42"/>
        <v/>
      </c>
      <c r="F937" s="428" t="str">
        <f t="shared" si="43"/>
        <v/>
      </c>
      <c r="G937" s="129" t="str">
        <f>IF(H937="","",VLOOKUP(H937,プルダウン用リスト!$K$1:$M$15,2,FALSE))</f>
        <v/>
      </c>
      <c r="H937" s="76"/>
      <c r="I937" s="61"/>
      <c r="J937" s="76"/>
      <c r="K937" s="146"/>
      <c r="L937" s="77"/>
      <c r="M937" s="78"/>
      <c r="N937" s="71"/>
      <c r="O937" s="432" t="str">
        <f t="shared" si="44"/>
        <v/>
      </c>
    </row>
    <row r="938" spans="2:15" x14ac:dyDescent="0.4">
      <c r="B938" s="74"/>
      <c r="C938" s="60"/>
      <c r="D938" s="426" t="str">
        <f>IF(C938="","",VLOOKUP(C938,団体基本情報!$B$13:$D$22,3,FALSE))</f>
        <v/>
      </c>
      <c r="E938" s="427" t="str">
        <f t="shared" si="42"/>
        <v/>
      </c>
      <c r="F938" s="428" t="str">
        <f t="shared" si="43"/>
        <v/>
      </c>
      <c r="G938" s="129" t="str">
        <f>IF(H938="","",VLOOKUP(H938,プルダウン用リスト!$K$1:$M$15,2,FALSE))</f>
        <v/>
      </c>
      <c r="H938" s="76"/>
      <c r="I938" s="61"/>
      <c r="J938" s="76"/>
      <c r="K938" s="146"/>
      <c r="L938" s="77"/>
      <c r="M938" s="78"/>
      <c r="N938" s="71"/>
      <c r="O938" s="432" t="str">
        <f t="shared" si="44"/>
        <v/>
      </c>
    </row>
    <row r="939" spans="2:15" x14ac:dyDescent="0.4">
      <c r="B939" s="74"/>
      <c r="C939" s="60"/>
      <c r="D939" s="426" t="str">
        <f>IF(C939="","",VLOOKUP(C939,団体基本情報!$B$13:$D$22,3,FALSE))</f>
        <v/>
      </c>
      <c r="E939" s="427" t="str">
        <f t="shared" si="42"/>
        <v/>
      </c>
      <c r="F939" s="428" t="str">
        <f t="shared" si="43"/>
        <v/>
      </c>
      <c r="G939" s="129" t="str">
        <f>IF(H939="","",VLOOKUP(H939,プルダウン用リスト!$K$1:$M$15,2,FALSE))</f>
        <v/>
      </c>
      <c r="H939" s="76"/>
      <c r="I939" s="76"/>
      <c r="J939" s="76"/>
      <c r="K939" s="146"/>
      <c r="L939" s="77"/>
      <c r="M939" s="78"/>
      <c r="N939" s="71"/>
      <c r="O939" s="432" t="str">
        <f t="shared" si="44"/>
        <v/>
      </c>
    </row>
    <row r="940" spans="2:15" x14ac:dyDescent="0.4">
      <c r="B940" s="74"/>
      <c r="C940" s="60"/>
      <c r="D940" s="426" t="str">
        <f>IF(C940="","",VLOOKUP(C940,団体基本情報!$B$13:$D$22,3,FALSE))</f>
        <v/>
      </c>
      <c r="E940" s="427" t="str">
        <f t="shared" si="42"/>
        <v/>
      </c>
      <c r="F940" s="428" t="str">
        <f t="shared" si="43"/>
        <v/>
      </c>
      <c r="G940" s="129" t="str">
        <f>IF(H940="","",VLOOKUP(H940,プルダウン用リスト!$K$1:$M$15,2,FALSE))</f>
        <v/>
      </c>
      <c r="H940" s="76"/>
      <c r="I940" s="61"/>
      <c r="J940" s="76"/>
      <c r="K940" s="146"/>
      <c r="L940" s="77"/>
      <c r="M940" s="78"/>
      <c r="N940" s="71"/>
      <c r="O940" s="432" t="str">
        <f t="shared" si="44"/>
        <v/>
      </c>
    </row>
    <row r="941" spans="2:15" x14ac:dyDescent="0.4">
      <c r="B941" s="74"/>
      <c r="C941" s="60"/>
      <c r="D941" s="426" t="str">
        <f>IF(C941="","",VLOOKUP(C941,団体基本情報!$B$13:$D$22,3,FALSE))</f>
        <v/>
      </c>
      <c r="E941" s="427" t="str">
        <f t="shared" si="42"/>
        <v/>
      </c>
      <c r="F941" s="428" t="str">
        <f t="shared" si="43"/>
        <v/>
      </c>
      <c r="G941" s="129" t="str">
        <f>IF(H941="","",VLOOKUP(H941,プルダウン用リスト!$K$1:$M$15,2,FALSE))</f>
        <v/>
      </c>
      <c r="H941" s="76"/>
      <c r="I941" s="61"/>
      <c r="J941" s="76"/>
      <c r="K941" s="146"/>
      <c r="L941" s="77"/>
      <c r="M941" s="78"/>
      <c r="N941" s="71"/>
      <c r="O941" s="432" t="str">
        <f t="shared" si="44"/>
        <v/>
      </c>
    </row>
    <row r="942" spans="2:15" x14ac:dyDescent="0.4">
      <c r="B942" s="74"/>
      <c r="C942" s="75"/>
      <c r="D942" s="426" t="str">
        <f>IF(C942="","",VLOOKUP(C942,団体基本情報!$B$13:$D$22,3,FALSE))</f>
        <v/>
      </c>
      <c r="E942" s="427" t="str">
        <f t="shared" si="42"/>
        <v/>
      </c>
      <c r="F942" s="428" t="str">
        <f t="shared" si="43"/>
        <v/>
      </c>
      <c r="G942" s="129" t="str">
        <f>IF(H942="","",VLOOKUP(H942,プルダウン用リスト!$K$1:$M$15,2,FALSE))</f>
        <v/>
      </c>
      <c r="H942" s="76"/>
      <c r="I942" s="76"/>
      <c r="J942" s="76"/>
      <c r="K942" s="146"/>
      <c r="L942" s="77"/>
      <c r="M942" s="78"/>
      <c r="N942" s="71"/>
      <c r="O942" s="432" t="str">
        <f t="shared" si="44"/>
        <v/>
      </c>
    </row>
    <row r="943" spans="2:15" x14ac:dyDescent="0.4">
      <c r="B943" s="74"/>
      <c r="C943" s="60"/>
      <c r="D943" s="426" t="str">
        <f>IF(C943="","",VLOOKUP(C943,団体基本情報!$B$13:$D$22,3,FALSE))</f>
        <v/>
      </c>
      <c r="E943" s="427" t="str">
        <f t="shared" si="42"/>
        <v/>
      </c>
      <c r="F943" s="428" t="str">
        <f t="shared" si="43"/>
        <v/>
      </c>
      <c r="G943" s="129" t="str">
        <f>IF(H943="","",VLOOKUP(H943,プルダウン用リスト!$K$1:$M$15,2,FALSE))</f>
        <v/>
      </c>
      <c r="H943" s="76"/>
      <c r="I943" s="61"/>
      <c r="J943" s="76"/>
      <c r="K943" s="146"/>
      <c r="L943" s="77"/>
      <c r="M943" s="78"/>
      <c r="N943" s="71"/>
      <c r="O943" s="432" t="str">
        <f t="shared" si="44"/>
        <v/>
      </c>
    </row>
    <row r="944" spans="2:15" x14ac:dyDescent="0.4">
      <c r="B944" s="74"/>
      <c r="C944" s="60"/>
      <c r="D944" s="426" t="str">
        <f>IF(C944="","",VLOOKUP(C944,団体基本情報!$B$13:$D$22,3,FALSE))</f>
        <v/>
      </c>
      <c r="E944" s="427" t="str">
        <f t="shared" si="42"/>
        <v/>
      </c>
      <c r="F944" s="428" t="str">
        <f t="shared" si="43"/>
        <v/>
      </c>
      <c r="G944" s="129" t="str">
        <f>IF(H944="","",VLOOKUP(H944,プルダウン用リスト!$K$1:$M$15,2,FALSE))</f>
        <v/>
      </c>
      <c r="H944" s="76"/>
      <c r="I944" s="61"/>
      <c r="J944" s="76"/>
      <c r="K944" s="146"/>
      <c r="L944" s="77"/>
      <c r="M944" s="78"/>
      <c r="N944" s="71"/>
      <c r="O944" s="432" t="str">
        <f t="shared" si="44"/>
        <v/>
      </c>
    </row>
    <row r="945" spans="2:15" x14ac:dyDescent="0.4">
      <c r="B945" s="74"/>
      <c r="C945" s="60"/>
      <c r="D945" s="426" t="str">
        <f>IF(C945="","",VLOOKUP(C945,団体基本情報!$B$13:$D$22,3,FALSE))</f>
        <v/>
      </c>
      <c r="E945" s="427" t="str">
        <f t="shared" si="42"/>
        <v/>
      </c>
      <c r="F945" s="428" t="str">
        <f t="shared" si="43"/>
        <v/>
      </c>
      <c r="G945" s="129" t="str">
        <f>IF(H945="","",VLOOKUP(H945,プルダウン用リスト!$K$1:$M$15,2,FALSE))</f>
        <v/>
      </c>
      <c r="H945" s="76"/>
      <c r="I945" s="76"/>
      <c r="J945" s="76"/>
      <c r="K945" s="146"/>
      <c r="L945" s="77"/>
      <c r="M945" s="78"/>
      <c r="N945" s="71"/>
      <c r="O945" s="432" t="str">
        <f t="shared" si="44"/>
        <v/>
      </c>
    </row>
    <row r="946" spans="2:15" x14ac:dyDescent="0.4">
      <c r="B946" s="74"/>
      <c r="C946" s="60"/>
      <c r="D946" s="426" t="str">
        <f>IF(C946="","",VLOOKUP(C946,団体基本情報!$B$13:$D$22,3,FALSE))</f>
        <v/>
      </c>
      <c r="E946" s="427" t="str">
        <f t="shared" si="42"/>
        <v/>
      </c>
      <c r="F946" s="428" t="str">
        <f t="shared" si="43"/>
        <v/>
      </c>
      <c r="G946" s="129" t="str">
        <f>IF(H946="","",VLOOKUP(H946,プルダウン用リスト!$K$1:$M$15,2,FALSE))</f>
        <v/>
      </c>
      <c r="H946" s="76"/>
      <c r="I946" s="61"/>
      <c r="J946" s="76"/>
      <c r="K946" s="146"/>
      <c r="L946" s="77"/>
      <c r="M946" s="78"/>
      <c r="N946" s="71"/>
      <c r="O946" s="432" t="str">
        <f t="shared" si="44"/>
        <v/>
      </c>
    </row>
    <row r="947" spans="2:15" x14ac:dyDescent="0.4">
      <c r="B947" s="74"/>
      <c r="C947" s="60"/>
      <c r="D947" s="426" t="str">
        <f>IF(C947="","",VLOOKUP(C947,団体基本情報!$B$13:$D$22,3,FALSE))</f>
        <v/>
      </c>
      <c r="E947" s="427" t="str">
        <f t="shared" si="42"/>
        <v/>
      </c>
      <c r="F947" s="428" t="str">
        <f t="shared" si="43"/>
        <v/>
      </c>
      <c r="G947" s="129" t="str">
        <f>IF(H947="","",VLOOKUP(H947,プルダウン用リスト!$K$1:$M$15,2,FALSE))</f>
        <v/>
      </c>
      <c r="H947" s="76"/>
      <c r="I947" s="61"/>
      <c r="J947" s="76"/>
      <c r="K947" s="146"/>
      <c r="L947" s="77"/>
      <c r="M947" s="78"/>
      <c r="N947" s="71"/>
      <c r="O947" s="432" t="str">
        <f t="shared" si="44"/>
        <v/>
      </c>
    </row>
    <row r="948" spans="2:15" x14ac:dyDescent="0.4">
      <c r="B948" s="74"/>
      <c r="C948" s="60"/>
      <c r="D948" s="426" t="str">
        <f>IF(C948="","",VLOOKUP(C948,団体基本情報!$B$13:$D$22,3,FALSE))</f>
        <v/>
      </c>
      <c r="E948" s="427" t="str">
        <f t="shared" si="42"/>
        <v/>
      </c>
      <c r="F948" s="428" t="str">
        <f t="shared" si="43"/>
        <v/>
      </c>
      <c r="G948" s="129" t="str">
        <f>IF(H948="","",VLOOKUP(H948,プルダウン用リスト!$K$1:$M$15,2,FALSE))</f>
        <v/>
      </c>
      <c r="H948" s="76"/>
      <c r="I948" s="76"/>
      <c r="J948" s="76"/>
      <c r="K948" s="146"/>
      <c r="L948" s="77"/>
      <c r="M948" s="78"/>
      <c r="N948" s="71"/>
      <c r="O948" s="432" t="str">
        <f t="shared" si="44"/>
        <v/>
      </c>
    </row>
    <row r="949" spans="2:15" x14ac:dyDescent="0.4">
      <c r="B949" s="74"/>
      <c r="C949" s="60"/>
      <c r="D949" s="426" t="str">
        <f>IF(C949="","",VLOOKUP(C949,団体基本情報!$B$13:$D$22,3,FALSE))</f>
        <v/>
      </c>
      <c r="E949" s="427" t="str">
        <f t="shared" si="42"/>
        <v/>
      </c>
      <c r="F949" s="428" t="str">
        <f t="shared" si="43"/>
        <v/>
      </c>
      <c r="G949" s="129" t="str">
        <f>IF(H949="","",VLOOKUP(H949,プルダウン用リスト!$K$1:$M$15,2,FALSE))</f>
        <v/>
      </c>
      <c r="H949" s="76"/>
      <c r="I949" s="61"/>
      <c r="J949" s="76"/>
      <c r="K949" s="146"/>
      <c r="L949" s="77"/>
      <c r="M949" s="78"/>
      <c r="N949" s="71"/>
      <c r="O949" s="432" t="str">
        <f t="shared" si="44"/>
        <v/>
      </c>
    </row>
    <row r="950" spans="2:15" x14ac:dyDescent="0.4">
      <c r="B950" s="74"/>
      <c r="C950" s="60"/>
      <c r="D950" s="426" t="str">
        <f>IF(C950="","",VLOOKUP(C950,団体基本情報!$B$13:$D$22,3,FALSE))</f>
        <v/>
      </c>
      <c r="E950" s="427" t="str">
        <f t="shared" si="42"/>
        <v/>
      </c>
      <c r="F950" s="428" t="str">
        <f t="shared" si="43"/>
        <v/>
      </c>
      <c r="G950" s="129" t="str">
        <f>IF(H950="","",VLOOKUP(H950,プルダウン用リスト!$K$1:$M$15,2,FALSE))</f>
        <v/>
      </c>
      <c r="H950" s="76"/>
      <c r="I950" s="61"/>
      <c r="J950" s="76"/>
      <c r="K950" s="146"/>
      <c r="L950" s="77"/>
      <c r="M950" s="78"/>
      <c r="N950" s="71"/>
      <c r="O950" s="432" t="str">
        <f t="shared" si="44"/>
        <v/>
      </c>
    </row>
    <row r="951" spans="2:15" x14ac:dyDescent="0.4">
      <c r="B951" s="74"/>
      <c r="C951" s="60"/>
      <c r="D951" s="426" t="str">
        <f>IF(C951="","",VLOOKUP(C951,団体基本情報!$B$13:$D$22,3,FALSE))</f>
        <v/>
      </c>
      <c r="E951" s="427" t="str">
        <f t="shared" si="42"/>
        <v/>
      </c>
      <c r="F951" s="428" t="str">
        <f t="shared" si="43"/>
        <v/>
      </c>
      <c r="G951" s="129" t="str">
        <f>IF(H951="","",VLOOKUP(H951,プルダウン用リスト!$K$1:$M$15,2,FALSE))</f>
        <v/>
      </c>
      <c r="H951" s="76"/>
      <c r="I951" s="76"/>
      <c r="J951" s="76"/>
      <c r="K951" s="146"/>
      <c r="L951" s="77"/>
      <c r="M951" s="78"/>
      <c r="N951" s="71"/>
      <c r="O951" s="432" t="str">
        <f t="shared" si="44"/>
        <v/>
      </c>
    </row>
    <row r="952" spans="2:15" x14ac:dyDescent="0.4">
      <c r="B952" s="74"/>
      <c r="C952" s="60"/>
      <c r="D952" s="426" t="str">
        <f>IF(C952="","",VLOOKUP(C952,団体基本情報!$B$13:$D$22,3,FALSE))</f>
        <v/>
      </c>
      <c r="E952" s="427" t="str">
        <f t="shared" si="42"/>
        <v/>
      </c>
      <c r="F952" s="428" t="str">
        <f t="shared" si="43"/>
        <v/>
      </c>
      <c r="G952" s="129" t="str">
        <f>IF(H952="","",VLOOKUP(H952,プルダウン用リスト!$K$1:$M$15,2,FALSE))</f>
        <v/>
      </c>
      <c r="H952" s="76"/>
      <c r="I952" s="61"/>
      <c r="J952" s="76"/>
      <c r="K952" s="146"/>
      <c r="L952" s="77"/>
      <c r="M952" s="78"/>
      <c r="N952" s="71"/>
      <c r="O952" s="432" t="str">
        <f t="shared" si="44"/>
        <v/>
      </c>
    </row>
    <row r="953" spans="2:15" x14ac:dyDescent="0.4">
      <c r="B953" s="74"/>
      <c r="C953" s="60"/>
      <c r="D953" s="426" t="str">
        <f>IF(C953="","",VLOOKUP(C953,団体基本情報!$B$13:$D$22,3,FALSE))</f>
        <v/>
      </c>
      <c r="E953" s="427" t="str">
        <f t="shared" si="42"/>
        <v/>
      </c>
      <c r="F953" s="428" t="str">
        <f t="shared" si="43"/>
        <v/>
      </c>
      <c r="G953" s="129" t="str">
        <f>IF(H953="","",VLOOKUP(H953,プルダウン用リスト!$K$1:$M$15,2,FALSE))</f>
        <v/>
      </c>
      <c r="H953" s="76"/>
      <c r="I953" s="61"/>
      <c r="J953" s="76"/>
      <c r="K953" s="146"/>
      <c r="L953" s="77"/>
      <c r="M953" s="78"/>
      <c r="N953" s="71"/>
      <c r="O953" s="432" t="str">
        <f t="shared" si="44"/>
        <v/>
      </c>
    </row>
    <row r="954" spans="2:15" x14ac:dyDescent="0.4">
      <c r="B954" s="74"/>
      <c r="C954" s="75"/>
      <c r="D954" s="426" t="str">
        <f>IF(C954="","",VLOOKUP(C954,団体基本情報!$B$13:$D$22,3,FALSE))</f>
        <v/>
      </c>
      <c r="E954" s="427" t="str">
        <f t="shared" si="42"/>
        <v/>
      </c>
      <c r="F954" s="428" t="str">
        <f t="shared" si="43"/>
        <v/>
      </c>
      <c r="G954" s="129" t="str">
        <f>IF(H954="","",VLOOKUP(H954,プルダウン用リスト!$K$1:$M$15,2,FALSE))</f>
        <v/>
      </c>
      <c r="H954" s="76"/>
      <c r="I954" s="76"/>
      <c r="J954" s="76"/>
      <c r="K954" s="146"/>
      <c r="L954" s="77"/>
      <c r="M954" s="78"/>
      <c r="N954" s="71"/>
      <c r="O954" s="432" t="str">
        <f t="shared" si="44"/>
        <v/>
      </c>
    </row>
    <row r="955" spans="2:15" x14ac:dyDescent="0.4">
      <c r="B955" s="74"/>
      <c r="C955" s="60"/>
      <c r="D955" s="426" t="str">
        <f>IF(C955="","",VLOOKUP(C955,団体基本情報!$B$13:$D$22,3,FALSE))</f>
        <v/>
      </c>
      <c r="E955" s="427" t="str">
        <f t="shared" si="42"/>
        <v/>
      </c>
      <c r="F955" s="428" t="str">
        <f t="shared" si="43"/>
        <v/>
      </c>
      <c r="G955" s="129" t="str">
        <f>IF(H955="","",VLOOKUP(H955,プルダウン用リスト!$K$1:$M$15,2,FALSE))</f>
        <v/>
      </c>
      <c r="H955" s="76"/>
      <c r="I955" s="61"/>
      <c r="J955" s="76"/>
      <c r="K955" s="146"/>
      <c r="L955" s="77"/>
      <c r="M955" s="78"/>
      <c r="N955" s="71"/>
      <c r="O955" s="432" t="str">
        <f t="shared" si="44"/>
        <v/>
      </c>
    </row>
    <row r="956" spans="2:15" x14ac:dyDescent="0.4">
      <c r="B956" s="74"/>
      <c r="C956" s="60"/>
      <c r="D956" s="426" t="str">
        <f>IF(C956="","",VLOOKUP(C956,団体基本情報!$B$13:$D$22,3,FALSE))</f>
        <v/>
      </c>
      <c r="E956" s="427" t="str">
        <f t="shared" si="42"/>
        <v/>
      </c>
      <c r="F956" s="428" t="str">
        <f t="shared" si="43"/>
        <v/>
      </c>
      <c r="G956" s="129" t="str">
        <f>IF(H956="","",VLOOKUP(H956,プルダウン用リスト!$K$1:$M$15,2,FALSE))</f>
        <v/>
      </c>
      <c r="H956" s="76"/>
      <c r="I956" s="61"/>
      <c r="J956" s="76"/>
      <c r="K956" s="146"/>
      <c r="L956" s="77"/>
      <c r="M956" s="78"/>
      <c r="N956" s="71"/>
      <c r="O956" s="432" t="str">
        <f t="shared" si="44"/>
        <v/>
      </c>
    </row>
    <row r="957" spans="2:15" x14ac:dyDescent="0.4">
      <c r="B957" s="74"/>
      <c r="C957" s="60"/>
      <c r="D957" s="426" t="str">
        <f>IF(C957="","",VLOOKUP(C957,団体基本情報!$B$13:$D$22,3,FALSE))</f>
        <v/>
      </c>
      <c r="E957" s="427" t="str">
        <f t="shared" si="42"/>
        <v/>
      </c>
      <c r="F957" s="428" t="str">
        <f t="shared" si="43"/>
        <v/>
      </c>
      <c r="G957" s="129" t="str">
        <f>IF(H957="","",VLOOKUP(H957,プルダウン用リスト!$K$1:$M$15,2,FALSE))</f>
        <v/>
      </c>
      <c r="H957" s="76"/>
      <c r="I957" s="76"/>
      <c r="J957" s="76"/>
      <c r="K957" s="146"/>
      <c r="L957" s="77"/>
      <c r="M957" s="78"/>
      <c r="N957" s="71"/>
      <c r="O957" s="432" t="str">
        <f t="shared" si="44"/>
        <v/>
      </c>
    </row>
    <row r="958" spans="2:15" x14ac:dyDescent="0.4">
      <c r="B958" s="74"/>
      <c r="C958" s="60"/>
      <c r="D958" s="426" t="str">
        <f>IF(C958="","",VLOOKUP(C958,団体基本情報!$B$13:$D$22,3,FALSE))</f>
        <v/>
      </c>
      <c r="E958" s="427" t="str">
        <f t="shared" si="42"/>
        <v/>
      </c>
      <c r="F958" s="428" t="str">
        <f t="shared" si="43"/>
        <v/>
      </c>
      <c r="G958" s="129" t="str">
        <f>IF(H958="","",VLOOKUP(H958,プルダウン用リスト!$K$1:$M$15,2,FALSE))</f>
        <v/>
      </c>
      <c r="H958" s="76"/>
      <c r="I958" s="61"/>
      <c r="J958" s="76"/>
      <c r="K958" s="146"/>
      <c r="L958" s="77"/>
      <c r="M958" s="78"/>
      <c r="N958" s="71"/>
      <c r="O958" s="432" t="str">
        <f t="shared" si="44"/>
        <v/>
      </c>
    </row>
    <row r="959" spans="2:15" x14ac:dyDescent="0.4">
      <c r="B959" s="74"/>
      <c r="C959" s="60"/>
      <c r="D959" s="426" t="str">
        <f>IF(C959="","",VLOOKUP(C959,団体基本情報!$B$13:$D$22,3,FALSE))</f>
        <v/>
      </c>
      <c r="E959" s="427" t="str">
        <f t="shared" si="42"/>
        <v/>
      </c>
      <c r="F959" s="428" t="str">
        <f t="shared" si="43"/>
        <v/>
      </c>
      <c r="G959" s="129" t="str">
        <f>IF(H959="","",VLOOKUP(H959,プルダウン用リスト!$K$1:$M$15,2,FALSE))</f>
        <v/>
      </c>
      <c r="H959" s="76"/>
      <c r="I959" s="61"/>
      <c r="J959" s="76"/>
      <c r="K959" s="146"/>
      <c r="L959" s="77"/>
      <c r="M959" s="78"/>
      <c r="N959" s="71"/>
      <c r="O959" s="432" t="str">
        <f t="shared" si="44"/>
        <v/>
      </c>
    </row>
    <row r="960" spans="2:15" x14ac:dyDescent="0.4">
      <c r="B960" s="74"/>
      <c r="C960" s="60"/>
      <c r="D960" s="426" t="str">
        <f>IF(C960="","",VLOOKUP(C960,団体基本情報!$B$13:$D$22,3,FALSE))</f>
        <v/>
      </c>
      <c r="E960" s="427" t="str">
        <f t="shared" si="42"/>
        <v/>
      </c>
      <c r="F960" s="428" t="str">
        <f t="shared" si="43"/>
        <v/>
      </c>
      <c r="G960" s="129" t="str">
        <f>IF(H960="","",VLOOKUP(H960,プルダウン用リスト!$K$1:$M$15,2,FALSE))</f>
        <v/>
      </c>
      <c r="H960" s="76"/>
      <c r="I960" s="76"/>
      <c r="J960" s="76"/>
      <c r="K960" s="146"/>
      <c r="L960" s="77"/>
      <c r="M960" s="78"/>
      <c r="N960" s="71"/>
      <c r="O960" s="432" t="str">
        <f t="shared" si="44"/>
        <v/>
      </c>
    </row>
    <row r="961" spans="2:15" x14ac:dyDescent="0.4">
      <c r="B961" s="74"/>
      <c r="C961" s="60"/>
      <c r="D961" s="426" t="str">
        <f>IF(C961="","",VLOOKUP(C961,団体基本情報!$B$13:$D$22,3,FALSE))</f>
        <v/>
      </c>
      <c r="E961" s="427" t="str">
        <f t="shared" si="42"/>
        <v/>
      </c>
      <c r="F961" s="428" t="str">
        <f t="shared" si="43"/>
        <v/>
      </c>
      <c r="G961" s="129" t="str">
        <f>IF(H961="","",VLOOKUP(H961,プルダウン用リスト!$K$1:$M$15,2,FALSE))</f>
        <v/>
      </c>
      <c r="H961" s="76"/>
      <c r="I961" s="61"/>
      <c r="J961" s="76"/>
      <c r="K961" s="146"/>
      <c r="L961" s="77"/>
      <c r="M961" s="78"/>
      <c r="N961" s="71"/>
      <c r="O961" s="432" t="str">
        <f t="shared" si="44"/>
        <v/>
      </c>
    </row>
    <row r="962" spans="2:15" x14ac:dyDescent="0.4">
      <c r="B962" s="74"/>
      <c r="C962" s="60"/>
      <c r="D962" s="426" t="str">
        <f>IF(C962="","",VLOOKUP(C962,団体基本情報!$B$13:$D$22,3,FALSE))</f>
        <v/>
      </c>
      <c r="E962" s="427" t="str">
        <f t="shared" si="42"/>
        <v/>
      </c>
      <c r="F962" s="428" t="str">
        <f t="shared" si="43"/>
        <v/>
      </c>
      <c r="G962" s="129" t="str">
        <f>IF(H962="","",VLOOKUP(H962,プルダウン用リスト!$K$1:$M$15,2,FALSE))</f>
        <v/>
      </c>
      <c r="H962" s="76"/>
      <c r="I962" s="61"/>
      <c r="J962" s="76"/>
      <c r="K962" s="146"/>
      <c r="L962" s="77"/>
      <c r="M962" s="78"/>
      <c r="N962" s="71"/>
      <c r="O962" s="432" t="str">
        <f t="shared" si="44"/>
        <v/>
      </c>
    </row>
    <row r="963" spans="2:15" x14ac:dyDescent="0.4">
      <c r="B963" s="74"/>
      <c r="C963" s="60"/>
      <c r="D963" s="426" t="str">
        <f>IF(C963="","",VLOOKUP(C963,団体基本情報!$B$13:$D$22,3,FALSE))</f>
        <v/>
      </c>
      <c r="E963" s="427" t="str">
        <f t="shared" si="42"/>
        <v/>
      </c>
      <c r="F963" s="428" t="str">
        <f t="shared" si="43"/>
        <v/>
      </c>
      <c r="G963" s="129" t="str">
        <f>IF(H963="","",VLOOKUP(H963,プルダウン用リスト!$K$1:$M$15,2,FALSE))</f>
        <v/>
      </c>
      <c r="H963" s="76"/>
      <c r="I963" s="76"/>
      <c r="J963" s="76"/>
      <c r="K963" s="146"/>
      <c r="L963" s="77"/>
      <c r="M963" s="78"/>
      <c r="N963" s="71"/>
      <c r="O963" s="432" t="str">
        <f t="shared" si="44"/>
        <v/>
      </c>
    </row>
    <row r="964" spans="2:15" x14ac:dyDescent="0.4">
      <c r="B964" s="74"/>
      <c r="C964" s="60"/>
      <c r="D964" s="426" t="str">
        <f>IF(C964="","",VLOOKUP(C964,団体基本情報!$B$13:$D$22,3,FALSE))</f>
        <v/>
      </c>
      <c r="E964" s="427" t="str">
        <f t="shared" si="42"/>
        <v/>
      </c>
      <c r="F964" s="428" t="str">
        <f t="shared" si="43"/>
        <v/>
      </c>
      <c r="G964" s="129" t="str">
        <f>IF(H964="","",VLOOKUP(H964,プルダウン用リスト!$K$1:$M$15,2,FALSE))</f>
        <v/>
      </c>
      <c r="H964" s="76"/>
      <c r="I964" s="61"/>
      <c r="J964" s="76"/>
      <c r="K964" s="146"/>
      <c r="L964" s="77"/>
      <c r="M964" s="78"/>
      <c r="N964" s="71"/>
      <c r="O964" s="432" t="str">
        <f t="shared" si="44"/>
        <v/>
      </c>
    </row>
    <row r="965" spans="2:15" x14ac:dyDescent="0.4">
      <c r="B965" s="74"/>
      <c r="C965" s="60"/>
      <c r="D965" s="426" t="str">
        <f>IF(C965="","",VLOOKUP(C965,団体基本情報!$B$13:$D$22,3,FALSE))</f>
        <v/>
      </c>
      <c r="E965" s="427" t="str">
        <f t="shared" si="42"/>
        <v/>
      </c>
      <c r="F965" s="428" t="str">
        <f t="shared" si="43"/>
        <v/>
      </c>
      <c r="G965" s="129" t="str">
        <f>IF(H965="","",VLOOKUP(H965,プルダウン用リスト!$K$1:$M$15,2,FALSE))</f>
        <v/>
      </c>
      <c r="H965" s="76"/>
      <c r="I965" s="61"/>
      <c r="J965" s="76"/>
      <c r="K965" s="146"/>
      <c r="L965" s="77"/>
      <c r="M965" s="78"/>
      <c r="N965" s="71"/>
      <c r="O965" s="432" t="str">
        <f t="shared" si="44"/>
        <v/>
      </c>
    </row>
    <row r="966" spans="2:15" x14ac:dyDescent="0.4">
      <c r="B966" s="74"/>
      <c r="C966" s="75"/>
      <c r="D966" s="426" t="str">
        <f>IF(C966="","",VLOOKUP(C966,団体基本情報!$B$13:$D$22,3,FALSE))</f>
        <v/>
      </c>
      <c r="E966" s="427" t="str">
        <f t="shared" si="42"/>
        <v/>
      </c>
      <c r="F966" s="428" t="str">
        <f t="shared" si="43"/>
        <v/>
      </c>
      <c r="G966" s="129" t="str">
        <f>IF(H966="","",VLOOKUP(H966,プルダウン用リスト!$K$1:$M$15,2,FALSE))</f>
        <v/>
      </c>
      <c r="H966" s="76"/>
      <c r="I966" s="76"/>
      <c r="J966" s="76"/>
      <c r="K966" s="146"/>
      <c r="L966" s="77"/>
      <c r="M966" s="78"/>
      <c r="N966" s="71"/>
      <c r="O966" s="432" t="str">
        <f t="shared" si="44"/>
        <v/>
      </c>
    </row>
    <row r="967" spans="2:15" x14ac:dyDescent="0.4">
      <c r="B967" s="74"/>
      <c r="C967" s="60"/>
      <c r="D967" s="426" t="str">
        <f>IF(C967="","",VLOOKUP(C967,団体基本情報!$B$13:$D$22,3,FALSE))</f>
        <v/>
      </c>
      <c r="E967" s="427" t="str">
        <f t="shared" ref="E967:E1000" si="45">IF(F967="","",IF(F967="謝金","01.",IF(F967="旅費","02.",IF(F967="その他","04.","03."))))</f>
        <v/>
      </c>
      <c r="F967" s="428" t="str">
        <f t="shared" ref="F967:F1000" si="46">IF(H967="","",IF(H967="謝金","謝金",IF(H967="旅費","旅費",IF(H967="対象外経費","その他","所費"))))</f>
        <v/>
      </c>
      <c r="G967" s="129" t="str">
        <f>IF(H967="","",VLOOKUP(H967,プルダウン用リスト!$K$1:$M$15,2,FALSE))</f>
        <v/>
      </c>
      <c r="H967" s="76"/>
      <c r="I967" s="61"/>
      <c r="J967" s="76"/>
      <c r="K967" s="146"/>
      <c r="L967" s="77"/>
      <c r="M967" s="78"/>
      <c r="N967" s="71"/>
      <c r="O967" s="432" t="str">
        <f t="shared" ref="O967:O1000" si="47">IF(H967="対象外経費",M967,IF(N967="","",M967-N967))</f>
        <v/>
      </c>
    </row>
    <row r="968" spans="2:15" x14ac:dyDescent="0.4">
      <c r="B968" s="74"/>
      <c r="C968" s="60"/>
      <c r="D968" s="426" t="str">
        <f>IF(C968="","",VLOOKUP(C968,団体基本情報!$B$13:$D$22,3,FALSE))</f>
        <v/>
      </c>
      <c r="E968" s="427" t="str">
        <f t="shared" si="45"/>
        <v/>
      </c>
      <c r="F968" s="428" t="str">
        <f t="shared" si="46"/>
        <v/>
      </c>
      <c r="G968" s="129" t="str">
        <f>IF(H968="","",VLOOKUP(H968,プルダウン用リスト!$K$1:$M$15,2,FALSE))</f>
        <v/>
      </c>
      <c r="H968" s="76"/>
      <c r="I968" s="61"/>
      <c r="J968" s="76"/>
      <c r="K968" s="146"/>
      <c r="L968" s="77"/>
      <c r="M968" s="78"/>
      <c r="N968" s="71"/>
      <c r="O968" s="432" t="str">
        <f t="shared" si="47"/>
        <v/>
      </c>
    </row>
    <row r="969" spans="2:15" x14ac:dyDescent="0.4">
      <c r="B969" s="74"/>
      <c r="C969" s="60"/>
      <c r="D969" s="426" t="str">
        <f>IF(C969="","",VLOOKUP(C969,団体基本情報!$B$13:$D$22,3,FALSE))</f>
        <v/>
      </c>
      <c r="E969" s="427" t="str">
        <f t="shared" si="45"/>
        <v/>
      </c>
      <c r="F969" s="428" t="str">
        <f t="shared" si="46"/>
        <v/>
      </c>
      <c r="G969" s="129" t="str">
        <f>IF(H969="","",VLOOKUP(H969,プルダウン用リスト!$K$1:$M$15,2,FALSE))</f>
        <v/>
      </c>
      <c r="H969" s="76"/>
      <c r="I969" s="76"/>
      <c r="J969" s="76"/>
      <c r="K969" s="146"/>
      <c r="L969" s="77"/>
      <c r="M969" s="78"/>
      <c r="N969" s="71"/>
      <c r="O969" s="432" t="str">
        <f t="shared" si="47"/>
        <v/>
      </c>
    </row>
    <row r="970" spans="2:15" x14ac:dyDescent="0.4">
      <c r="B970" s="74"/>
      <c r="C970" s="60"/>
      <c r="D970" s="426" t="str">
        <f>IF(C970="","",VLOOKUP(C970,団体基本情報!$B$13:$D$22,3,FALSE))</f>
        <v/>
      </c>
      <c r="E970" s="427" t="str">
        <f t="shared" si="45"/>
        <v/>
      </c>
      <c r="F970" s="428" t="str">
        <f t="shared" si="46"/>
        <v/>
      </c>
      <c r="G970" s="129" t="str">
        <f>IF(H970="","",VLOOKUP(H970,プルダウン用リスト!$K$1:$M$15,2,FALSE))</f>
        <v/>
      </c>
      <c r="H970" s="76"/>
      <c r="I970" s="61"/>
      <c r="J970" s="76"/>
      <c r="K970" s="146"/>
      <c r="L970" s="77"/>
      <c r="M970" s="78"/>
      <c r="N970" s="71"/>
      <c r="O970" s="432" t="str">
        <f t="shared" si="47"/>
        <v/>
      </c>
    </row>
    <row r="971" spans="2:15" x14ac:dyDescent="0.4">
      <c r="B971" s="74"/>
      <c r="C971" s="60"/>
      <c r="D971" s="426" t="str">
        <f>IF(C971="","",VLOOKUP(C971,団体基本情報!$B$13:$D$22,3,FALSE))</f>
        <v/>
      </c>
      <c r="E971" s="427" t="str">
        <f t="shared" si="45"/>
        <v/>
      </c>
      <c r="F971" s="428" t="str">
        <f t="shared" si="46"/>
        <v/>
      </c>
      <c r="G971" s="129" t="str">
        <f>IF(H971="","",VLOOKUP(H971,プルダウン用リスト!$K$1:$M$15,2,FALSE))</f>
        <v/>
      </c>
      <c r="H971" s="76"/>
      <c r="I971" s="61"/>
      <c r="J971" s="76"/>
      <c r="K971" s="146"/>
      <c r="L971" s="77"/>
      <c r="M971" s="78"/>
      <c r="N971" s="71"/>
      <c r="O971" s="432" t="str">
        <f t="shared" si="47"/>
        <v/>
      </c>
    </row>
    <row r="972" spans="2:15" x14ac:dyDescent="0.4">
      <c r="B972" s="74"/>
      <c r="C972" s="60"/>
      <c r="D972" s="426" t="str">
        <f>IF(C972="","",VLOOKUP(C972,団体基本情報!$B$13:$D$22,3,FALSE))</f>
        <v/>
      </c>
      <c r="E972" s="427" t="str">
        <f t="shared" si="45"/>
        <v/>
      </c>
      <c r="F972" s="428" t="str">
        <f t="shared" si="46"/>
        <v/>
      </c>
      <c r="G972" s="129" t="str">
        <f>IF(H972="","",VLOOKUP(H972,プルダウン用リスト!$K$1:$M$15,2,FALSE))</f>
        <v/>
      </c>
      <c r="H972" s="76"/>
      <c r="I972" s="76"/>
      <c r="J972" s="76"/>
      <c r="K972" s="146"/>
      <c r="L972" s="77"/>
      <c r="M972" s="78"/>
      <c r="N972" s="71"/>
      <c r="O972" s="432" t="str">
        <f t="shared" si="47"/>
        <v/>
      </c>
    </row>
    <row r="973" spans="2:15" x14ac:dyDescent="0.4">
      <c r="B973" s="74"/>
      <c r="C973" s="60"/>
      <c r="D973" s="426" t="str">
        <f>IF(C973="","",VLOOKUP(C973,団体基本情報!$B$13:$D$22,3,FALSE))</f>
        <v/>
      </c>
      <c r="E973" s="427" t="str">
        <f t="shared" si="45"/>
        <v/>
      </c>
      <c r="F973" s="428" t="str">
        <f t="shared" si="46"/>
        <v/>
      </c>
      <c r="G973" s="129" t="str">
        <f>IF(H973="","",VLOOKUP(H973,プルダウン用リスト!$K$1:$M$15,2,FALSE))</f>
        <v/>
      </c>
      <c r="H973" s="76"/>
      <c r="I973" s="61"/>
      <c r="J973" s="76"/>
      <c r="K973" s="146"/>
      <c r="L973" s="77"/>
      <c r="M973" s="78"/>
      <c r="N973" s="71"/>
      <c r="O973" s="432" t="str">
        <f t="shared" si="47"/>
        <v/>
      </c>
    </row>
    <row r="974" spans="2:15" x14ac:dyDescent="0.4">
      <c r="B974" s="74"/>
      <c r="C974" s="60"/>
      <c r="D974" s="426" t="str">
        <f>IF(C974="","",VLOOKUP(C974,団体基本情報!$B$13:$D$22,3,FALSE))</f>
        <v/>
      </c>
      <c r="E974" s="427" t="str">
        <f t="shared" si="45"/>
        <v/>
      </c>
      <c r="F974" s="428" t="str">
        <f t="shared" si="46"/>
        <v/>
      </c>
      <c r="G974" s="129" t="str">
        <f>IF(H974="","",VLOOKUP(H974,プルダウン用リスト!$K$1:$M$15,2,FALSE))</f>
        <v/>
      </c>
      <c r="H974" s="76"/>
      <c r="I974" s="61"/>
      <c r="J974" s="76"/>
      <c r="K974" s="146"/>
      <c r="L974" s="77"/>
      <c r="M974" s="78"/>
      <c r="N974" s="71"/>
      <c r="O974" s="432" t="str">
        <f t="shared" si="47"/>
        <v/>
      </c>
    </row>
    <row r="975" spans="2:15" x14ac:dyDescent="0.4">
      <c r="B975" s="74"/>
      <c r="C975" s="60"/>
      <c r="D975" s="426" t="str">
        <f>IF(C975="","",VLOOKUP(C975,団体基本情報!$B$13:$D$22,3,FALSE))</f>
        <v/>
      </c>
      <c r="E975" s="427" t="str">
        <f t="shared" si="45"/>
        <v/>
      </c>
      <c r="F975" s="428" t="str">
        <f t="shared" si="46"/>
        <v/>
      </c>
      <c r="G975" s="129" t="str">
        <f>IF(H975="","",VLOOKUP(H975,プルダウン用リスト!$K$1:$M$15,2,FALSE))</f>
        <v/>
      </c>
      <c r="H975" s="76"/>
      <c r="I975" s="76"/>
      <c r="J975" s="76"/>
      <c r="K975" s="146"/>
      <c r="L975" s="77"/>
      <c r="M975" s="78"/>
      <c r="N975" s="71"/>
      <c r="O975" s="432" t="str">
        <f t="shared" si="47"/>
        <v/>
      </c>
    </row>
    <row r="976" spans="2:15" x14ac:dyDescent="0.4">
      <c r="B976" s="74"/>
      <c r="C976" s="60"/>
      <c r="D976" s="426" t="str">
        <f>IF(C976="","",VLOOKUP(C976,団体基本情報!$B$13:$D$22,3,FALSE))</f>
        <v/>
      </c>
      <c r="E976" s="427" t="str">
        <f t="shared" si="45"/>
        <v/>
      </c>
      <c r="F976" s="428" t="str">
        <f t="shared" si="46"/>
        <v/>
      </c>
      <c r="G976" s="129" t="str">
        <f>IF(H976="","",VLOOKUP(H976,プルダウン用リスト!$K$1:$M$15,2,FALSE))</f>
        <v/>
      </c>
      <c r="H976" s="76"/>
      <c r="I976" s="61"/>
      <c r="J976" s="76"/>
      <c r="K976" s="146"/>
      <c r="L976" s="77"/>
      <c r="M976" s="78"/>
      <c r="N976" s="71"/>
      <c r="O976" s="432" t="str">
        <f t="shared" si="47"/>
        <v/>
      </c>
    </row>
    <row r="977" spans="2:15" x14ac:dyDescent="0.4">
      <c r="B977" s="74"/>
      <c r="C977" s="60"/>
      <c r="D977" s="426" t="str">
        <f>IF(C977="","",VLOOKUP(C977,団体基本情報!$B$13:$D$22,3,FALSE))</f>
        <v/>
      </c>
      <c r="E977" s="427" t="str">
        <f t="shared" si="45"/>
        <v/>
      </c>
      <c r="F977" s="428" t="str">
        <f t="shared" si="46"/>
        <v/>
      </c>
      <c r="G977" s="129" t="str">
        <f>IF(H977="","",VLOOKUP(H977,プルダウン用リスト!$K$1:$M$15,2,FALSE))</f>
        <v/>
      </c>
      <c r="H977" s="76"/>
      <c r="I977" s="61"/>
      <c r="J977" s="76"/>
      <c r="K977" s="146"/>
      <c r="L977" s="77"/>
      <c r="M977" s="78"/>
      <c r="N977" s="71"/>
      <c r="O977" s="432" t="str">
        <f t="shared" si="47"/>
        <v/>
      </c>
    </row>
    <row r="978" spans="2:15" x14ac:dyDescent="0.4">
      <c r="B978" s="74"/>
      <c r="C978" s="75"/>
      <c r="D978" s="426" t="str">
        <f>IF(C978="","",VLOOKUP(C978,団体基本情報!$B$13:$D$22,3,FALSE))</f>
        <v/>
      </c>
      <c r="E978" s="427" t="str">
        <f t="shared" si="45"/>
        <v/>
      </c>
      <c r="F978" s="428" t="str">
        <f t="shared" si="46"/>
        <v/>
      </c>
      <c r="G978" s="129" t="str">
        <f>IF(H978="","",VLOOKUP(H978,プルダウン用リスト!$K$1:$M$15,2,FALSE))</f>
        <v/>
      </c>
      <c r="H978" s="76"/>
      <c r="I978" s="76"/>
      <c r="J978" s="76"/>
      <c r="K978" s="146"/>
      <c r="L978" s="77"/>
      <c r="M978" s="78"/>
      <c r="N978" s="71"/>
      <c r="O978" s="432" t="str">
        <f t="shared" si="47"/>
        <v/>
      </c>
    </row>
    <row r="979" spans="2:15" x14ac:dyDescent="0.4">
      <c r="B979" s="74"/>
      <c r="C979" s="60"/>
      <c r="D979" s="426" t="str">
        <f>IF(C979="","",VLOOKUP(C979,団体基本情報!$B$13:$D$22,3,FALSE))</f>
        <v/>
      </c>
      <c r="E979" s="427" t="str">
        <f t="shared" si="45"/>
        <v/>
      </c>
      <c r="F979" s="428" t="str">
        <f t="shared" si="46"/>
        <v/>
      </c>
      <c r="G979" s="129" t="str">
        <f>IF(H979="","",VLOOKUP(H979,プルダウン用リスト!$K$1:$M$15,2,FALSE))</f>
        <v/>
      </c>
      <c r="H979" s="76"/>
      <c r="I979" s="61"/>
      <c r="J979" s="76"/>
      <c r="K979" s="146"/>
      <c r="L979" s="77"/>
      <c r="M979" s="78"/>
      <c r="N979" s="71"/>
      <c r="O979" s="432" t="str">
        <f t="shared" si="47"/>
        <v/>
      </c>
    </row>
    <row r="980" spans="2:15" x14ac:dyDescent="0.4">
      <c r="B980" s="74"/>
      <c r="C980" s="60"/>
      <c r="D980" s="426" t="str">
        <f>IF(C980="","",VLOOKUP(C980,団体基本情報!$B$13:$D$22,3,FALSE))</f>
        <v/>
      </c>
      <c r="E980" s="427" t="str">
        <f t="shared" si="45"/>
        <v/>
      </c>
      <c r="F980" s="428" t="str">
        <f t="shared" si="46"/>
        <v/>
      </c>
      <c r="G980" s="129" t="str">
        <f>IF(H980="","",VLOOKUP(H980,プルダウン用リスト!$K$1:$M$15,2,FALSE))</f>
        <v/>
      </c>
      <c r="H980" s="76"/>
      <c r="I980" s="61"/>
      <c r="J980" s="76"/>
      <c r="K980" s="146"/>
      <c r="L980" s="77"/>
      <c r="M980" s="78"/>
      <c r="N980" s="71"/>
      <c r="O980" s="432" t="str">
        <f t="shared" si="47"/>
        <v/>
      </c>
    </row>
    <row r="981" spans="2:15" x14ac:dyDescent="0.4">
      <c r="B981" s="74"/>
      <c r="C981" s="60"/>
      <c r="D981" s="426" t="str">
        <f>IF(C981="","",VLOOKUP(C981,団体基本情報!$B$13:$D$22,3,FALSE))</f>
        <v/>
      </c>
      <c r="E981" s="427" t="str">
        <f t="shared" si="45"/>
        <v/>
      </c>
      <c r="F981" s="428" t="str">
        <f t="shared" si="46"/>
        <v/>
      </c>
      <c r="G981" s="129" t="str">
        <f>IF(H981="","",VLOOKUP(H981,プルダウン用リスト!$K$1:$M$15,2,FALSE))</f>
        <v/>
      </c>
      <c r="H981" s="76"/>
      <c r="I981" s="76"/>
      <c r="J981" s="76"/>
      <c r="K981" s="146"/>
      <c r="L981" s="77"/>
      <c r="M981" s="78"/>
      <c r="N981" s="71"/>
      <c r="O981" s="432" t="str">
        <f t="shared" si="47"/>
        <v/>
      </c>
    </row>
    <row r="982" spans="2:15" x14ac:dyDescent="0.4">
      <c r="B982" s="74"/>
      <c r="C982" s="60"/>
      <c r="D982" s="426" t="str">
        <f>IF(C982="","",VLOOKUP(C982,団体基本情報!$B$13:$D$22,3,FALSE))</f>
        <v/>
      </c>
      <c r="E982" s="427" t="str">
        <f t="shared" si="45"/>
        <v/>
      </c>
      <c r="F982" s="428" t="str">
        <f t="shared" si="46"/>
        <v/>
      </c>
      <c r="G982" s="129" t="str">
        <f>IF(H982="","",VLOOKUP(H982,プルダウン用リスト!$K$1:$M$15,2,FALSE))</f>
        <v/>
      </c>
      <c r="H982" s="76"/>
      <c r="I982" s="61"/>
      <c r="J982" s="76"/>
      <c r="K982" s="146"/>
      <c r="L982" s="77"/>
      <c r="M982" s="78"/>
      <c r="N982" s="71"/>
      <c r="O982" s="432" t="str">
        <f t="shared" si="47"/>
        <v/>
      </c>
    </row>
    <row r="983" spans="2:15" x14ac:dyDescent="0.4">
      <c r="B983" s="74"/>
      <c r="C983" s="60"/>
      <c r="D983" s="426" t="str">
        <f>IF(C983="","",VLOOKUP(C983,団体基本情報!$B$13:$D$22,3,FALSE))</f>
        <v/>
      </c>
      <c r="E983" s="427" t="str">
        <f t="shared" si="45"/>
        <v/>
      </c>
      <c r="F983" s="428" t="str">
        <f t="shared" si="46"/>
        <v/>
      </c>
      <c r="G983" s="129" t="str">
        <f>IF(H983="","",VLOOKUP(H983,プルダウン用リスト!$K$1:$M$15,2,FALSE))</f>
        <v/>
      </c>
      <c r="H983" s="76"/>
      <c r="I983" s="61"/>
      <c r="J983" s="76"/>
      <c r="K983" s="146"/>
      <c r="L983" s="77"/>
      <c r="M983" s="78"/>
      <c r="N983" s="71"/>
      <c r="O983" s="432" t="str">
        <f t="shared" si="47"/>
        <v/>
      </c>
    </row>
    <row r="984" spans="2:15" x14ac:dyDescent="0.4">
      <c r="B984" s="74"/>
      <c r="C984" s="60"/>
      <c r="D984" s="426" t="str">
        <f>IF(C984="","",VLOOKUP(C984,団体基本情報!$B$13:$D$22,3,FALSE))</f>
        <v/>
      </c>
      <c r="E984" s="427" t="str">
        <f t="shared" si="45"/>
        <v/>
      </c>
      <c r="F984" s="428" t="str">
        <f t="shared" si="46"/>
        <v/>
      </c>
      <c r="G984" s="129" t="str">
        <f>IF(H984="","",VLOOKUP(H984,プルダウン用リスト!$K$1:$M$15,2,FALSE))</f>
        <v/>
      </c>
      <c r="H984" s="76"/>
      <c r="I984" s="76"/>
      <c r="J984" s="76"/>
      <c r="K984" s="146"/>
      <c r="L984" s="77"/>
      <c r="M984" s="78"/>
      <c r="N984" s="71"/>
      <c r="O984" s="432" t="str">
        <f t="shared" si="47"/>
        <v/>
      </c>
    </row>
    <row r="985" spans="2:15" x14ac:dyDescent="0.4">
      <c r="B985" s="74"/>
      <c r="C985" s="60"/>
      <c r="D985" s="426" t="str">
        <f>IF(C985="","",VLOOKUP(C985,団体基本情報!$B$13:$D$22,3,FALSE))</f>
        <v/>
      </c>
      <c r="E985" s="427" t="str">
        <f t="shared" si="45"/>
        <v/>
      </c>
      <c r="F985" s="428" t="str">
        <f t="shared" si="46"/>
        <v/>
      </c>
      <c r="G985" s="129" t="str">
        <f>IF(H985="","",VLOOKUP(H985,プルダウン用リスト!$K$1:$M$15,2,FALSE))</f>
        <v/>
      </c>
      <c r="H985" s="76"/>
      <c r="I985" s="61"/>
      <c r="J985" s="76"/>
      <c r="K985" s="146"/>
      <c r="L985" s="77"/>
      <c r="M985" s="78"/>
      <c r="N985" s="71"/>
      <c r="O985" s="432" t="str">
        <f t="shared" si="47"/>
        <v/>
      </c>
    </row>
    <row r="986" spans="2:15" x14ac:dyDescent="0.4">
      <c r="B986" s="74"/>
      <c r="C986" s="60"/>
      <c r="D986" s="426" t="str">
        <f>IF(C986="","",VLOOKUP(C986,団体基本情報!$B$13:$D$22,3,FALSE))</f>
        <v/>
      </c>
      <c r="E986" s="427" t="str">
        <f t="shared" si="45"/>
        <v/>
      </c>
      <c r="F986" s="428" t="str">
        <f t="shared" si="46"/>
        <v/>
      </c>
      <c r="G986" s="129" t="str">
        <f>IF(H986="","",VLOOKUP(H986,プルダウン用リスト!$K$1:$M$15,2,FALSE))</f>
        <v/>
      </c>
      <c r="H986" s="76"/>
      <c r="I986" s="61"/>
      <c r="J986" s="76"/>
      <c r="K986" s="146"/>
      <c r="L986" s="77"/>
      <c r="M986" s="78"/>
      <c r="N986" s="71"/>
      <c r="O986" s="432" t="str">
        <f t="shared" si="47"/>
        <v/>
      </c>
    </row>
    <row r="987" spans="2:15" x14ac:dyDescent="0.4">
      <c r="B987" s="74"/>
      <c r="C987" s="60"/>
      <c r="D987" s="426" t="str">
        <f>IF(C987="","",VLOOKUP(C987,団体基本情報!$B$13:$D$22,3,FALSE))</f>
        <v/>
      </c>
      <c r="E987" s="427" t="str">
        <f t="shared" si="45"/>
        <v/>
      </c>
      <c r="F987" s="428" t="str">
        <f t="shared" si="46"/>
        <v/>
      </c>
      <c r="G987" s="129" t="str">
        <f>IF(H987="","",VLOOKUP(H987,プルダウン用リスト!$K$1:$M$15,2,FALSE))</f>
        <v/>
      </c>
      <c r="H987" s="76"/>
      <c r="I987" s="76"/>
      <c r="J987" s="76"/>
      <c r="K987" s="146"/>
      <c r="L987" s="77"/>
      <c r="M987" s="78"/>
      <c r="N987" s="71"/>
      <c r="O987" s="432" t="str">
        <f t="shared" si="47"/>
        <v/>
      </c>
    </row>
    <row r="988" spans="2:15" x14ac:dyDescent="0.4">
      <c r="B988" s="74"/>
      <c r="C988" s="60"/>
      <c r="D988" s="426" t="str">
        <f>IF(C988="","",VLOOKUP(C988,団体基本情報!$B$13:$D$22,3,FALSE))</f>
        <v/>
      </c>
      <c r="E988" s="427" t="str">
        <f t="shared" si="45"/>
        <v/>
      </c>
      <c r="F988" s="428" t="str">
        <f t="shared" si="46"/>
        <v/>
      </c>
      <c r="G988" s="129" t="str">
        <f>IF(H988="","",VLOOKUP(H988,プルダウン用リスト!$K$1:$M$15,2,FALSE))</f>
        <v/>
      </c>
      <c r="H988" s="76"/>
      <c r="I988" s="61"/>
      <c r="J988" s="76"/>
      <c r="K988" s="146"/>
      <c r="L988" s="77"/>
      <c r="M988" s="78"/>
      <c r="N988" s="71"/>
      <c r="O988" s="432" t="str">
        <f t="shared" si="47"/>
        <v/>
      </c>
    </row>
    <row r="989" spans="2:15" x14ac:dyDescent="0.4">
      <c r="B989" s="74"/>
      <c r="C989" s="60"/>
      <c r="D989" s="426" t="str">
        <f>IF(C989="","",VLOOKUP(C989,団体基本情報!$B$13:$D$22,3,FALSE))</f>
        <v/>
      </c>
      <c r="E989" s="427" t="str">
        <f t="shared" si="45"/>
        <v/>
      </c>
      <c r="F989" s="428" t="str">
        <f t="shared" si="46"/>
        <v/>
      </c>
      <c r="G989" s="129" t="str">
        <f>IF(H989="","",VLOOKUP(H989,プルダウン用リスト!$K$1:$M$15,2,FALSE))</f>
        <v/>
      </c>
      <c r="H989" s="76"/>
      <c r="I989" s="61"/>
      <c r="J989" s="76"/>
      <c r="K989" s="146"/>
      <c r="L989" s="77"/>
      <c r="M989" s="78"/>
      <c r="N989" s="71"/>
      <c r="O989" s="432" t="str">
        <f t="shared" si="47"/>
        <v/>
      </c>
    </row>
    <row r="990" spans="2:15" x14ac:dyDescent="0.4">
      <c r="B990" s="74"/>
      <c r="C990" s="75"/>
      <c r="D990" s="426" t="str">
        <f>IF(C990="","",VLOOKUP(C990,団体基本情報!$B$13:$D$22,3,FALSE))</f>
        <v/>
      </c>
      <c r="E990" s="427" t="str">
        <f t="shared" si="45"/>
        <v/>
      </c>
      <c r="F990" s="428" t="str">
        <f t="shared" si="46"/>
        <v/>
      </c>
      <c r="G990" s="129" t="str">
        <f>IF(H990="","",VLOOKUP(H990,プルダウン用リスト!$K$1:$M$15,2,FALSE))</f>
        <v/>
      </c>
      <c r="H990" s="76"/>
      <c r="I990" s="76"/>
      <c r="J990" s="76"/>
      <c r="K990" s="146"/>
      <c r="L990" s="77"/>
      <c r="M990" s="78"/>
      <c r="N990" s="71"/>
      <c r="O990" s="432" t="str">
        <f t="shared" si="47"/>
        <v/>
      </c>
    </row>
    <row r="991" spans="2:15" x14ac:dyDescent="0.4">
      <c r="B991" s="74"/>
      <c r="C991" s="60"/>
      <c r="D991" s="426" t="str">
        <f>IF(C991="","",VLOOKUP(C991,団体基本情報!$B$13:$D$22,3,FALSE))</f>
        <v/>
      </c>
      <c r="E991" s="427" t="str">
        <f t="shared" si="45"/>
        <v/>
      </c>
      <c r="F991" s="428" t="str">
        <f t="shared" si="46"/>
        <v/>
      </c>
      <c r="G991" s="129" t="str">
        <f>IF(H991="","",VLOOKUP(H991,プルダウン用リスト!$K$1:$M$15,2,FALSE))</f>
        <v/>
      </c>
      <c r="H991" s="76"/>
      <c r="I991" s="61"/>
      <c r="J991" s="76"/>
      <c r="K991" s="146"/>
      <c r="L991" s="77"/>
      <c r="M991" s="78"/>
      <c r="N991" s="71"/>
      <c r="O991" s="432" t="str">
        <f t="shared" si="47"/>
        <v/>
      </c>
    </row>
    <row r="992" spans="2:15" x14ac:dyDescent="0.4">
      <c r="B992" s="74"/>
      <c r="C992" s="60"/>
      <c r="D992" s="426" t="str">
        <f>IF(C992="","",VLOOKUP(C992,団体基本情報!$B$13:$D$22,3,FALSE))</f>
        <v/>
      </c>
      <c r="E992" s="427" t="str">
        <f t="shared" si="45"/>
        <v/>
      </c>
      <c r="F992" s="428" t="str">
        <f t="shared" si="46"/>
        <v/>
      </c>
      <c r="G992" s="129" t="str">
        <f>IF(H992="","",VLOOKUP(H992,プルダウン用リスト!$K$1:$M$15,2,FALSE))</f>
        <v/>
      </c>
      <c r="H992" s="76"/>
      <c r="I992" s="61"/>
      <c r="J992" s="76"/>
      <c r="K992" s="146"/>
      <c r="L992" s="77"/>
      <c r="M992" s="78"/>
      <c r="N992" s="71"/>
      <c r="O992" s="432" t="str">
        <f t="shared" si="47"/>
        <v/>
      </c>
    </row>
    <row r="993" spans="2:15" x14ac:dyDescent="0.4">
      <c r="B993" s="74"/>
      <c r="C993" s="60"/>
      <c r="D993" s="426" t="str">
        <f>IF(C993="","",VLOOKUP(C993,団体基本情報!$B$13:$D$22,3,FALSE))</f>
        <v/>
      </c>
      <c r="E993" s="427" t="str">
        <f t="shared" si="45"/>
        <v/>
      </c>
      <c r="F993" s="428" t="str">
        <f t="shared" si="46"/>
        <v/>
      </c>
      <c r="G993" s="129" t="str">
        <f>IF(H993="","",VLOOKUP(H993,プルダウン用リスト!$K$1:$M$15,2,FALSE))</f>
        <v/>
      </c>
      <c r="H993" s="76"/>
      <c r="I993" s="76"/>
      <c r="J993" s="76"/>
      <c r="K993" s="146"/>
      <c r="L993" s="77"/>
      <c r="M993" s="78"/>
      <c r="N993" s="71"/>
      <c r="O993" s="432" t="str">
        <f t="shared" si="47"/>
        <v/>
      </c>
    </row>
    <row r="994" spans="2:15" x14ac:dyDescent="0.4">
      <c r="B994" s="74"/>
      <c r="C994" s="60"/>
      <c r="D994" s="426" t="str">
        <f>IF(C994="","",VLOOKUP(C994,団体基本情報!$B$13:$D$22,3,FALSE))</f>
        <v/>
      </c>
      <c r="E994" s="427" t="str">
        <f t="shared" si="45"/>
        <v/>
      </c>
      <c r="F994" s="428" t="str">
        <f t="shared" si="46"/>
        <v/>
      </c>
      <c r="G994" s="129" t="str">
        <f>IF(H994="","",VLOOKUP(H994,プルダウン用リスト!$K$1:$M$15,2,FALSE))</f>
        <v/>
      </c>
      <c r="H994" s="76"/>
      <c r="I994" s="61"/>
      <c r="J994" s="76"/>
      <c r="K994" s="146"/>
      <c r="L994" s="77"/>
      <c r="M994" s="78"/>
      <c r="N994" s="71"/>
      <c r="O994" s="432" t="str">
        <f t="shared" si="47"/>
        <v/>
      </c>
    </row>
    <row r="995" spans="2:15" x14ac:dyDescent="0.4">
      <c r="B995" s="74"/>
      <c r="C995" s="60"/>
      <c r="D995" s="426" t="str">
        <f>IF(C995="","",VLOOKUP(C995,団体基本情報!$B$13:$D$22,3,FALSE))</f>
        <v/>
      </c>
      <c r="E995" s="427" t="str">
        <f t="shared" si="45"/>
        <v/>
      </c>
      <c r="F995" s="428" t="str">
        <f t="shared" si="46"/>
        <v/>
      </c>
      <c r="G995" s="129" t="str">
        <f>IF(H995="","",VLOOKUP(H995,プルダウン用リスト!$K$1:$M$15,2,FALSE))</f>
        <v/>
      </c>
      <c r="H995" s="76"/>
      <c r="I995" s="61"/>
      <c r="J995" s="76"/>
      <c r="K995" s="146"/>
      <c r="L995" s="77"/>
      <c r="M995" s="78"/>
      <c r="N995" s="71"/>
      <c r="O995" s="432" t="str">
        <f t="shared" si="47"/>
        <v/>
      </c>
    </row>
    <row r="996" spans="2:15" x14ac:dyDescent="0.4">
      <c r="B996" s="74"/>
      <c r="C996" s="60"/>
      <c r="D996" s="426" t="str">
        <f>IF(C996="","",VLOOKUP(C996,団体基本情報!$B$13:$D$22,3,FALSE))</f>
        <v/>
      </c>
      <c r="E996" s="427" t="str">
        <f t="shared" si="45"/>
        <v/>
      </c>
      <c r="F996" s="428" t="str">
        <f t="shared" si="46"/>
        <v/>
      </c>
      <c r="G996" s="129" t="str">
        <f>IF(H996="","",VLOOKUP(H996,プルダウン用リスト!$K$1:$M$15,2,FALSE))</f>
        <v/>
      </c>
      <c r="H996" s="76"/>
      <c r="I996" s="76"/>
      <c r="J996" s="76"/>
      <c r="K996" s="146"/>
      <c r="L996" s="77"/>
      <c r="M996" s="78"/>
      <c r="N996" s="71"/>
      <c r="O996" s="432" t="str">
        <f t="shared" si="47"/>
        <v/>
      </c>
    </row>
    <row r="997" spans="2:15" x14ac:dyDescent="0.4">
      <c r="B997" s="74"/>
      <c r="C997" s="60"/>
      <c r="D997" s="426" t="str">
        <f>IF(C997="","",VLOOKUP(C997,団体基本情報!$B$13:$D$22,3,FALSE))</f>
        <v/>
      </c>
      <c r="E997" s="427" t="str">
        <f t="shared" si="45"/>
        <v/>
      </c>
      <c r="F997" s="428" t="str">
        <f t="shared" si="46"/>
        <v/>
      </c>
      <c r="G997" s="129" t="str">
        <f>IF(H997="","",VLOOKUP(H997,プルダウン用リスト!$K$1:$M$15,2,FALSE))</f>
        <v/>
      </c>
      <c r="H997" s="76"/>
      <c r="I997" s="61"/>
      <c r="J997" s="76"/>
      <c r="K997" s="146"/>
      <c r="L997" s="77"/>
      <c r="M997" s="78"/>
      <c r="N997" s="71"/>
      <c r="O997" s="432" t="str">
        <f t="shared" si="47"/>
        <v/>
      </c>
    </row>
    <row r="998" spans="2:15" x14ac:dyDescent="0.4">
      <c r="B998" s="74"/>
      <c r="C998" s="60"/>
      <c r="D998" s="426" t="str">
        <f>IF(C998="","",VLOOKUP(C998,団体基本情報!$B$13:$D$22,3,FALSE))</f>
        <v/>
      </c>
      <c r="E998" s="427" t="str">
        <f t="shared" si="45"/>
        <v/>
      </c>
      <c r="F998" s="428" t="str">
        <f t="shared" si="46"/>
        <v/>
      </c>
      <c r="G998" s="129" t="str">
        <f>IF(H998="","",VLOOKUP(H998,プルダウン用リスト!$K$1:$M$15,2,FALSE))</f>
        <v/>
      </c>
      <c r="H998" s="76"/>
      <c r="I998" s="61"/>
      <c r="J998" s="76"/>
      <c r="K998" s="146"/>
      <c r="L998" s="77"/>
      <c r="M998" s="78"/>
      <c r="N998" s="71"/>
      <c r="O998" s="432" t="str">
        <f t="shared" si="47"/>
        <v/>
      </c>
    </row>
    <row r="999" spans="2:15" x14ac:dyDescent="0.4">
      <c r="B999" s="74"/>
      <c r="C999" s="60"/>
      <c r="D999" s="426" t="str">
        <f>IF(C999="","",VLOOKUP(C999,団体基本情報!$B$13:$D$22,3,FALSE))</f>
        <v/>
      </c>
      <c r="E999" s="427" t="str">
        <f t="shared" si="45"/>
        <v/>
      </c>
      <c r="F999" s="428" t="str">
        <f t="shared" si="46"/>
        <v/>
      </c>
      <c r="G999" s="129" t="str">
        <f>IF(H999="","",VLOOKUP(H999,プルダウン用リスト!$K$1:$M$15,2,FALSE))</f>
        <v/>
      </c>
      <c r="H999" s="76"/>
      <c r="I999" s="76"/>
      <c r="J999" s="76"/>
      <c r="K999" s="146"/>
      <c r="L999" s="77"/>
      <c r="M999" s="78"/>
      <c r="N999" s="71"/>
      <c r="O999" s="432" t="str">
        <f t="shared" si="47"/>
        <v/>
      </c>
    </row>
    <row r="1000" spans="2:15" ht="19.5" thickBot="1" x14ac:dyDescent="0.45">
      <c r="B1000" s="192"/>
      <c r="C1000" s="193"/>
      <c r="D1000" s="429" t="str">
        <f>IF(C1000="","",VLOOKUP(C1000,団体基本情報!$B$13:$D$22,3,FALSE))</f>
        <v/>
      </c>
      <c r="E1000" s="430" t="str">
        <f t="shared" si="45"/>
        <v/>
      </c>
      <c r="F1000" s="431" t="str">
        <f t="shared" si="46"/>
        <v/>
      </c>
      <c r="G1000" s="213" t="str">
        <f>IF(H1000="","",VLOOKUP(H1000,プルダウン用リスト!$K$1:$M$15,2,FALSE))</f>
        <v/>
      </c>
      <c r="H1000" s="194"/>
      <c r="I1000" s="194"/>
      <c r="J1000" s="194"/>
      <c r="K1000" s="195"/>
      <c r="L1000" s="196"/>
      <c r="M1000" s="197"/>
      <c r="N1000" s="198"/>
      <c r="O1000" s="433" t="str">
        <f t="shared" si="47"/>
        <v/>
      </c>
    </row>
    <row r="1001" spans="2:15" ht="28.5" customHeight="1" x14ac:dyDescent="0.4">
      <c r="D1001" s="211"/>
      <c r="E1001" s="140" t="s">
        <v>175</v>
      </c>
      <c r="F1001" s="57" t="s">
        <v>172</v>
      </c>
      <c r="G1001" s="212"/>
      <c r="H1001" s="57" t="s">
        <v>254</v>
      </c>
      <c r="I1001" s="175"/>
      <c r="J1001" s="175"/>
      <c r="K1001" s="139"/>
      <c r="L1001" s="206" t="s">
        <v>180</v>
      </c>
      <c r="M1001" s="207">
        <f>SUMIFS($M$6:$M$1000,$E$6:$E$1000,"01.")</f>
        <v>0</v>
      </c>
      <c r="N1001" s="207">
        <f>SUMIFS($N$6:$N$1000,$E$6:$E$1000,"01")</f>
        <v>0</v>
      </c>
      <c r="O1001" s="208">
        <f>SUMIFS($O$6:$O$1000,$E$6:$E$1000,"01")</f>
        <v>0</v>
      </c>
    </row>
    <row r="1002" spans="2:15" ht="28.5" customHeight="1" x14ac:dyDescent="0.4">
      <c r="D1002" s="211"/>
      <c r="E1002" s="140" t="s">
        <v>176</v>
      </c>
      <c r="F1002" s="57" t="s">
        <v>173</v>
      </c>
      <c r="G1002" s="212"/>
      <c r="H1002" s="57" t="s">
        <v>255</v>
      </c>
      <c r="I1002" s="175"/>
      <c r="J1002" s="175"/>
      <c r="K1002" s="139"/>
      <c r="L1002" s="206" t="s">
        <v>181</v>
      </c>
      <c r="M1002" s="209">
        <f>SUMIFS($M$6:$M$1000,$E$6:$E$1000,"02.")</f>
        <v>0</v>
      </c>
      <c r="N1002" s="209">
        <f>SUMIFS($N$6:$N$1000,$E$6:$E$1000,"02.")</f>
        <v>0</v>
      </c>
      <c r="O1002" s="210">
        <f>SUMIFS($O$6:$O$1000,$E$6:$E$1000,"02")</f>
        <v>0</v>
      </c>
    </row>
    <row r="1003" spans="2:15" ht="28.5" customHeight="1" x14ac:dyDescent="0.4">
      <c r="D1003" s="211"/>
      <c r="E1003" s="140" t="s">
        <v>177</v>
      </c>
      <c r="F1003" s="57" t="s">
        <v>174</v>
      </c>
      <c r="G1003" s="212"/>
      <c r="H1003" s="57" t="s">
        <v>256</v>
      </c>
      <c r="I1003" s="175"/>
      <c r="J1003" s="175"/>
      <c r="K1003" s="139"/>
      <c r="L1003" s="206" t="s">
        <v>182</v>
      </c>
      <c r="M1003" s="209">
        <f>SUMIFS($M$6:$M$1000,$E$6:$E$1000,"03.")</f>
        <v>0</v>
      </c>
      <c r="N1003" s="209">
        <f>SUMIFS($N$6:$N$1000,$E$6:$E$1000,"03.")</f>
        <v>0</v>
      </c>
      <c r="O1003" s="210">
        <f>SUMIFS($O$6:$O$1000,$E$6:$E$1000,"03")</f>
        <v>0</v>
      </c>
    </row>
    <row r="1004" spans="2:15" ht="28.5" customHeight="1" x14ac:dyDescent="0.4">
      <c r="D1004" s="211"/>
      <c r="E1004" s="140" t="s">
        <v>178</v>
      </c>
      <c r="F1004" s="37" t="s">
        <v>179</v>
      </c>
      <c r="G1004" s="212"/>
      <c r="H1004" s="37" t="s">
        <v>258</v>
      </c>
      <c r="I1004" s="175"/>
      <c r="J1004" s="175"/>
      <c r="K1004" s="139"/>
      <c r="L1004" s="206" t="s">
        <v>183</v>
      </c>
      <c r="M1004" s="209">
        <f>SUMIFS($M$6:$M$1000,$E$6:$E$1000,"04.")</f>
        <v>0</v>
      </c>
      <c r="N1004" s="209">
        <f>SUMIFS($N$6:$N$1000,$E$6:$E$1000,"04.")</f>
        <v>0</v>
      </c>
      <c r="O1004" s="210">
        <f>SUMIFS($O$6:$O$1000,$E$6:$E$1000,"04")</f>
        <v>0</v>
      </c>
    </row>
    <row r="1005" spans="2:15" ht="28.5" customHeight="1" x14ac:dyDescent="0.4">
      <c r="E1005" s="140"/>
      <c r="F1005" s="37"/>
      <c r="I1005" s="175"/>
      <c r="J1005" s="175"/>
      <c r="K1005" s="139" t="s">
        <v>257</v>
      </c>
      <c r="L1005" s="206" t="s">
        <v>253</v>
      </c>
      <c r="M1005" s="209">
        <f>SUM($M$1001:$M$1004)</f>
        <v>0</v>
      </c>
      <c r="N1005" s="209">
        <f>SUM($N$1001:$N$1004)</f>
        <v>0</v>
      </c>
      <c r="O1005" s="209">
        <f>SUM($O$1001:$O$1004)</f>
        <v>0</v>
      </c>
    </row>
  </sheetData>
  <sheetProtection algorithmName="SHA-512" hashValue="n9dJTKJUf4uc4oKxkOXkS317Ch0QhGgcQojFmgk5MhainqjO7tMlvzYaI02zglRK9mS/W3ZBrRJ5mF5+tdDxWQ==" saltValue="WiY9FWQN8CHjQoj8eRiqtw==" spinCount="100000" sheet="1" formatCells="0" formatColumns="0" formatRows="0" autoFilter="0"/>
  <protectedRanges>
    <protectedRange sqref="M6:N1000" name="範囲1"/>
  </protectedRanges>
  <autoFilter ref="B5:O1005" xr:uid="{5CC1EA66-E578-481D-9F65-B497098D491E}">
    <filterColumn colId="3" showButton="0"/>
  </autoFilter>
  <dataConsolidate/>
  <mergeCells count="2">
    <mergeCell ref="E5:F5"/>
    <mergeCell ref="M3:O3"/>
  </mergeCells>
  <phoneticPr fontId="4"/>
  <conditionalFormatting sqref="M6:N1000">
    <cfRule type="cellIs" dxfId="197" priority="199" operator="notEqual">
      <formula>""</formula>
    </cfRule>
  </conditionalFormatting>
  <conditionalFormatting sqref="M6:M1000">
    <cfRule type="expression" dxfId="196" priority="201">
      <formula>OR($F6="04.その他")</formula>
    </cfRule>
  </conditionalFormatting>
  <conditionalFormatting sqref="B6:C17 B1000:C1000 B18:B999">
    <cfRule type="cellIs" dxfId="195" priority="175" operator="equal">
      <formula>""</formula>
    </cfRule>
  </conditionalFormatting>
  <conditionalFormatting sqref="I6:J1000">
    <cfRule type="cellIs" dxfId="194" priority="190" operator="equal">
      <formula>""</formula>
    </cfRule>
  </conditionalFormatting>
  <conditionalFormatting sqref="N6:N1000">
    <cfRule type="expression" dxfId="193" priority="172">
      <formula>H6="対象外経費"</formula>
    </cfRule>
    <cfRule type="cellIs" dxfId="192" priority="189" operator="equal">
      <formula>""</formula>
    </cfRule>
  </conditionalFormatting>
  <conditionalFormatting sqref="H6:H1000">
    <cfRule type="cellIs" dxfId="191" priority="176" operator="equal">
      <formula>""</formula>
    </cfRule>
  </conditionalFormatting>
  <conditionalFormatting sqref="L6:M1000">
    <cfRule type="cellIs" dxfId="190" priority="171" operator="equal">
      <formula>""</formula>
    </cfRule>
  </conditionalFormatting>
  <conditionalFormatting sqref="K6:K1000">
    <cfRule type="expression" dxfId="189" priority="165">
      <formula>AND(H6="旅費",K6&lt;&gt;"")</formula>
    </cfRule>
    <cfRule type="expression" dxfId="188" priority="170">
      <formula>H6="旅費"</formula>
    </cfRule>
  </conditionalFormatting>
  <conditionalFormatting sqref="C18:C23">
    <cfRule type="cellIs" dxfId="187" priority="164" operator="equal">
      <formula>""</formula>
    </cfRule>
  </conditionalFormatting>
  <conditionalFormatting sqref="C24:C29">
    <cfRule type="cellIs" dxfId="186" priority="163" operator="equal">
      <formula>""</formula>
    </cfRule>
  </conditionalFormatting>
  <conditionalFormatting sqref="C30:C35">
    <cfRule type="cellIs" dxfId="185" priority="162" operator="equal">
      <formula>""</formula>
    </cfRule>
  </conditionalFormatting>
  <conditionalFormatting sqref="C36:C41">
    <cfRule type="cellIs" dxfId="184" priority="161" operator="equal">
      <formula>""</formula>
    </cfRule>
  </conditionalFormatting>
  <conditionalFormatting sqref="C42:C47">
    <cfRule type="cellIs" dxfId="183" priority="160" operator="equal">
      <formula>""</formula>
    </cfRule>
  </conditionalFormatting>
  <conditionalFormatting sqref="C48:C53">
    <cfRule type="cellIs" dxfId="182" priority="159" operator="equal">
      <formula>""</formula>
    </cfRule>
  </conditionalFormatting>
  <conditionalFormatting sqref="C54:C59">
    <cfRule type="cellIs" dxfId="181" priority="158" operator="equal">
      <formula>""</formula>
    </cfRule>
  </conditionalFormatting>
  <conditionalFormatting sqref="C60:C65">
    <cfRule type="cellIs" dxfId="180" priority="157" operator="equal">
      <formula>""</formula>
    </cfRule>
  </conditionalFormatting>
  <conditionalFormatting sqref="C66:C71">
    <cfRule type="cellIs" dxfId="179" priority="156" operator="equal">
      <formula>""</formula>
    </cfRule>
  </conditionalFormatting>
  <conditionalFormatting sqref="C72:C77">
    <cfRule type="cellIs" dxfId="178" priority="155" operator="equal">
      <formula>""</formula>
    </cfRule>
  </conditionalFormatting>
  <conditionalFormatting sqref="C78:C83">
    <cfRule type="cellIs" dxfId="177" priority="154" operator="equal">
      <formula>""</formula>
    </cfRule>
  </conditionalFormatting>
  <conditionalFormatting sqref="C84:C89">
    <cfRule type="cellIs" dxfId="176" priority="153" operator="equal">
      <formula>""</formula>
    </cfRule>
  </conditionalFormatting>
  <conditionalFormatting sqref="C90:C95">
    <cfRule type="cellIs" dxfId="175" priority="152" operator="equal">
      <formula>""</formula>
    </cfRule>
  </conditionalFormatting>
  <conditionalFormatting sqref="C96:C101">
    <cfRule type="cellIs" dxfId="174" priority="151" operator="equal">
      <formula>""</formula>
    </cfRule>
  </conditionalFormatting>
  <conditionalFormatting sqref="C102:C107">
    <cfRule type="cellIs" dxfId="173" priority="150" operator="equal">
      <formula>""</formula>
    </cfRule>
  </conditionalFormatting>
  <conditionalFormatting sqref="C108:C113">
    <cfRule type="cellIs" dxfId="172" priority="149" operator="equal">
      <formula>""</formula>
    </cfRule>
  </conditionalFormatting>
  <conditionalFormatting sqref="C114:C119">
    <cfRule type="cellIs" dxfId="171" priority="148" operator="equal">
      <formula>""</formula>
    </cfRule>
  </conditionalFormatting>
  <conditionalFormatting sqref="C120:C125">
    <cfRule type="cellIs" dxfId="170" priority="147" operator="equal">
      <formula>""</formula>
    </cfRule>
  </conditionalFormatting>
  <conditionalFormatting sqref="C126:C131">
    <cfRule type="cellIs" dxfId="169" priority="146" operator="equal">
      <formula>""</formula>
    </cfRule>
  </conditionalFormatting>
  <conditionalFormatting sqref="C132:C137">
    <cfRule type="cellIs" dxfId="168" priority="145" operator="equal">
      <formula>""</formula>
    </cfRule>
  </conditionalFormatting>
  <conditionalFormatting sqref="C138:C143">
    <cfRule type="cellIs" dxfId="167" priority="144" operator="equal">
      <formula>""</formula>
    </cfRule>
  </conditionalFormatting>
  <conditionalFormatting sqref="C144:C149">
    <cfRule type="cellIs" dxfId="166" priority="143" operator="equal">
      <formula>""</formula>
    </cfRule>
  </conditionalFormatting>
  <conditionalFormatting sqref="C150:C155">
    <cfRule type="cellIs" dxfId="165" priority="142" operator="equal">
      <formula>""</formula>
    </cfRule>
  </conditionalFormatting>
  <conditionalFormatting sqref="C156:C161">
    <cfRule type="cellIs" dxfId="164" priority="141" operator="equal">
      <formula>""</formula>
    </cfRule>
  </conditionalFormatting>
  <conditionalFormatting sqref="C162:C167">
    <cfRule type="cellIs" dxfId="163" priority="140" operator="equal">
      <formula>""</formula>
    </cfRule>
  </conditionalFormatting>
  <conditionalFormatting sqref="C168:C173">
    <cfRule type="cellIs" dxfId="162" priority="139" operator="equal">
      <formula>""</formula>
    </cfRule>
  </conditionalFormatting>
  <conditionalFormatting sqref="C174:C179">
    <cfRule type="cellIs" dxfId="161" priority="138" operator="equal">
      <formula>""</formula>
    </cfRule>
  </conditionalFormatting>
  <conditionalFormatting sqref="C180:C185">
    <cfRule type="cellIs" dxfId="160" priority="137" operator="equal">
      <formula>""</formula>
    </cfRule>
  </conditionalFormatting>
  <conditionalFormatting sqref="C186:C191">
    <cfRule type="cellIs" dxfId="159" priority="136" operator="equal">
      <formula>""</formula>
    </cfRule>
  </conditionalFormatting>
  <conditionalFormatting sqref="C192:C197">
    <cfRule type="cellIs" dxfId="158" priority="135" operator="equal">
      <formula>""</formula>
    </cfRule>
  </conditionalFormatting>
  <conditionalFormatting sqref="C198:C203">
    <cfRule type="cellIs" dxfId="157" priority="134" operator="equal">
      <formula>""</formula>
    </cfRule>
  </conditionalFormatting>
  <conditionalFormatting sqref="C204:C209">
    <cfRule type="cellIs" dxfId="156" priority="133" operator="equal">
      <formula>""</formula>
    </cfRule>
  </conditionalFormatting>
  <conditionalFormatting sqref="C210:C215">
    <cfRule type="cellIs" dxfId="155" priority="132" operator="equal">
      <formula>""</formula>
    </cfRule>
  </conditionalFormatting>
  <conditionalFormatting sqref="C216:C221">
    <cfRule type="cellIs" dxfId="154" priority="131" operator="equal">
      <formula>""</formula>
    </cfRule>
  </conditionalFormatting>
  <conditionalFormatting sqref="C222:C227">
    <cfRule type="cellIs" dxfId="153" priority="130" operator="equal">
      <formula>""</formula>
    </cfRule>
  </conditionalFormatting>
  <conditionalFormatting sqref="C228:C233">
    <cfRule type="cellIs" dxfId="152" priority="129" operator="equal">
      <formula>""</formula>
    </cfRule>
  </conditionalFormatting>
  <conditionalFormatting sqref="C234:C239">
    <cfRule type="cellIs" dxfId="151" priority="128" operator="equal">
      <formula>""</formula>
    </cfRule>
  </conditionalFormatting>
  <conditionalFormatting sqref="C240:C245">
    <cfRule type="cellIs" dxfId="150" priority="127" operator="equal">
      <formula>""</formula>
    </cfRule>
  </conditionalFormatting>
  <conditionalFormatting sqref="C246:C251">
    <cfRule type="cellIs" dxfId="149" priority="126" operator="equal">
      <formula>""</formula>
    </cfRule>
  </conditionalFormatting>
  <conditionalFormatting sqref="C252:C257">
    <cfRule type="cellIs" dxfId="148" priority="125" operator="equal">
      <formula>""</formula>
    </cfRule>
  </conditionalFormatting>
  <conditionalFormatting sqref="C258:C263">
    <cfRule type="cellIs" dxfId="147" priority="124" operator="equal">
      <formula>""</formula>
    </cfRule>
  </conditionalFormatting>
  <conditionalFormatting sqref="C264:C269">
    <cfRule type="cellIs" dxfId="146" priority="123" operator="equal">
      <formula>""</formula>
    </cfRule>
  </conditionalFormatting>
  <conditionalFormatting sqref="C270:C275">
    <cfRule type="cellIs" dxfId="145" priority="122" operator="equal">
      <formula>""</formula>
    </cfRule>
  </conditionalFormatting>
  <conditionalFormatting sqref="C276:C281">
    <cfRule type="cellIs" dxfId="144" priority="121" operator="equal">
      <formula>""</formula>
    </cfRule>
  </conditionalFormatting>
  <conditionalFormatting sqref="C282:C287">
    <cfRule type="cellIs" dxfId="143" priority="120" operator="equal">
      <formula>""</formula>
    </cfRule>
  </conditionalFormatting>
  <conditionalFormatting sqref="C288:C293">
    <cfRule type="cellIs" dxfId="142" priority="119" operator="equal">
      <formula>""</formula>
    </cfRule>
  </conditionalFormatting>
  <conditionalFormatting sqref="C294:C299">
    <cfRule type="cellIs" dxfId="141" priority="118" operator="equal">
      <formula>""</formula>
    </cfRule>
  </conditionalFormatting>
  <conditionalFormatting sqref="C300:C305">
    <cfRule type="cellIs" dxfId="140" priority="117" operator="equal">
      <formula>""</formula>
    </cfRule>
  </conditionalFormatting>
  <conditionalFormatting sqref="C306:C311">
    <cfRule type="cellIs" dxfId="139" priority="116" operator="equal">
      <formula>""</formula>
    </cfRule>
  </conditionalFormatting>
  <conditionalFormatting sqref="C312:C317">
    <cfRule type="cellIs" dxfId="138" priority="115" operator="equal">
      <formula>""</formula>
    </cfRule>
  </conditionalFormatting>
  <conditionalFormatting sqref="C318:C323">
    <cfRule type="cellIs" dxfId="137" priority="114" operator="equal">
      <formula>""</formula>
    </cfRule>
  </conditionalFormatting>
  <conditionalFormatting sqref="C324:C329">
    <cfRule type="cellIs" dxfId="136" priority="113" operator="equal">
      <formula>""</formula>
    </cfRule>
  </conditionalFormatting>
  <conditionalFormatting sqref="C330:C335">
    <cfRule type="cellIs" dxfId="135" priority="112" operator="equal">
      <formula>""</formula>
    </cfRule>
  </conditionalFormatting>
  <conditionalFormatting sqref="C336:C341">
    <cfRule type="cellIs" dxfId="134" priority="111" operator="equal">
      <formula>""</formula>
    </cfRule>
  </conditionalFormatting>
  <conditionalFormatting sqref="C342:C347">
    <cfRule type="cellIs" dxfId="133" priority="110" operator="equal">
      <formula>""</formula>
    </cfRule>
  </conditionalFormatting>
  <conditionalFormatting sqref="C348:C353">
    <cfRule type="cellIs" dxfId="132" priority="109" operator="equal">
      <formula>""</formula>
    </cfRule>
  </conditionalFormatting>
  <conditionalFormatting sqref="C354:C359">
    <cfRule type="cellIs" dxfId="131" priority="108" operator="equal">
      <formula>""</formula>
    </cfRule>
  </conditionalFormatting>
  <conditionalFormatting sqref="C372:C377 C360:C365">
    <cfRule type="cellIs" dxfId="130" priority="105" operator="equal">
      <formula>""</formula>
    </cfRule>
  </conditionalFormatting>
  <conditionalFormatting sqref="C378:C383 C366:C371">
    <cfRule type="cellIs" dxfId="129" priority="104" operator="equal">
      <formula>""</formula>
    </cfRule>
  </conditionalFormatting>
  <conditionalFormatting sqref="C384:C389">
    <cfRule type="cellIs" dxfId="128" priority="103" operator="equal">
      <formula>""</formula>
    </cfRule>
  </conditionalFormatting>
  <conditionalFormatting sqref="C390:C395">
    <cfRule type="cellIs" dxfId="127" priority="102" operator="equal">
      <formula>""</formula>
    </cfRule>
  </conditionalFormatting>
  <conditionalFormatting sqref="C396:C401">
    <cfRule type="cellIs" dxfId="126" priority="101" operator="equal">
      <formula>""</formula>
    </cfRule>
  </conditionalFormatting>
  <conditionalFormatting sqref="C402:C407">
    <cfRule type="cellIs" dxfId="125" priority="100" operator="equal">
      <formula>""</formula>
    </cfRule>
  </conditionalFormatting>
  <conditionalFormatting sqref="C408:C413">
    <cfRule type="cellIs" dxfId="124" priority="99" operator="equal">
      <formula>""</formula>
    </cfRule>
  </conditionalFormatting>
  <conditionalFormatting sqref="C414:C419">
    <cfRule type="cellIs" dxfId="123" priority="98" operator="equal">
      <formula>""</formula>
    </cfRule>
  </conditionalFormatting>
  <conditionalFormatting sqref="C420:C425">
    <cfRule type="cellIs" dxfId="122" priority="97" operator="equal">
      <formula>""</formula>
    </cfRule>
  </conditionalFormatting>
  <conditionalFormatting sqref="C426:C431">
    <cfRule type="cellIs" dxfId="121" priority="96" operator="equal">
      <formula>""</formula>
    </cfRule>
  </conditionalFormatting>
  <conditionalFormatting sqref="C432:C437">
    <cfRule type="cellIs" dxfId="120" priority="95" operator="equal">
      <formula>""</formula>
    </cfRule>
  </conditionalFormatting>
  <conditionalFormatting sqref="C438:C443">
    <cfRule type="cellIs" dxfId="119" priority="94" operator="equal">
      <formula>""</formula>
    </cfRule>
  </conditionalFormatting>
  <conditionalFormatting sqref="C444:C449">
    <cfRule type="cellIs" dxfId="118" priority="93" operator="equal">
      <formula>""</formula>
    </cfRule>
  </conditionalFormatting>
  <conditionalFormatting sqref="C450:C455">
    <cfRule type="cellIs" dxfId="117" priority="92" operator="equal">
      <formula>""</formula>
    </cfRule>
  </conditionalFormatting>
  <conditionalFormatting sqref="C456:C461">
    <cfRule type="cellIs" dxfId="116" priority="91" operator="equal">
      <formula>""</formula>
    </cfRule>
  </conditionalFormatting>
  <conditionalFormatting sqref="C462:C467">
    <cfRule type="cellIs" dxfId="115" priority="90" operator="equal">
      <formula>""</formula>
    </cfRule>
  </conditionalFormatting>
  <conditionalFormatting sqref="C468:C473">
    <cfRule type="cellIs" dxfId="114" priority="89" operator="equal">
      <formula>""</formula>
    </cfRule>
  </conditionalFormatting>
  <conditionalFormatting sqref="C474:C479">
    <cfRule type="cellIs" dxfId="113" priority="88" operator="equal">
      <formula>""</formula>
    </cfRule>
  </conditionalFormatting>
  <conditionalFormatting sqref="C480:C485">
    <cfRule type="cellIs" dxfId="112" priority="87" operator="equal">
      <formula>""</formula>
    </cfRule>
  </conditionalFormatting>
  <conditionalFormatting sqref="C486:C491">
    <cfRule type="cellIs" dxfId="111" priority="86" operator="equal">
      <formula>""</formula>
    </cfRule>
  </conditionalFormatting>
  <conditionalFormatting sqref="C492:C497">
    <cfRule type="cellIs" dxfId="110" priority="85" operator="equal">
      <formula>""</formula>
    </cfRule>
  </conditionalFormatting>
  <conditionalFormatting sqref="C498:C503">
    <cfRule type="cellIs" dxfId="109" priority="84" operator="equal">
      <formula>""</formula>
    </cfRule>
  </conditionalFormatting>
  <conditionalFormatting sqref="C504:C509">
    <cfRule type="cellIs" dxfId="108" priority="83" operator="equal">
      <formula>""</formula>
    </cfRule>
  </conditionalFormatting>
  <conditionalFormatting sqref="C510:C515">
    <cfRule type="cellIs" dxfId="107" priority="82" operator="equal">
      <formula>""</formula>
    </cfRule>
  </conditionalFormatting>
  <conditionalFormatting sqref="C516:C521">
    <cfRule type="cellIs" dxfId="106" priority="81" operator="equal">
      <formula>""</formula>
    </cfRule>
  </conditionalFormatting>
  <conditionalFormatting sqref="C522:C527">
    <cfRule type="cellIs" dxfId="105" priority="80" operator="equal">
      <formula>""</formula>
    </cfRule>
  </conditionalFormatting>
  <conditionalFormatting sqref="C528:C533">
    <cfRule type="cellIs" dxfId="104" priority="79" operator="equal">
      <formula>""</formula>
    </cfRule>
  </conditionalFormatting>
  <conditionalFormatting sqref="C534:C539">
    <cfRule type="cellIs" dxfId="103" priority="78" operator="equal">
      <formula>""</formula>
    </cfRule>
  </conditionalFormatting>
  <conditionalFormatting sqref="C540:C545">
    <cfRule type="cellIs" dxfId="102" priority="77" operator="equal">
      <formula>""</formula>
    </cfRule>
  </conditionalFormatting>
  <conditionalFormatting sqref="C546:C551">
    <cfRule type="cellIs" dxfId="101" priority="76" operator="equal">
      <formula>""</formula>
    </cfRule>
  </conditionalFormatting>
  <conditionalFormatting sqref="C552:C557">
    <cfRule type="cellIs" dxfId="100" priority="75" operator="equal">
      <formula>""</formula>
    </cfRule>
  </conditionalFormatting>
  <conditionalFormatting sqref="C558:C563">
    <cfRule type="cellIs" dxfId="99" priority="74" operator="equal">
      <formula>""</formula>
    </cfRule>
  </conditionalFormatting>
  <conditionalFormatting sqref="C564:C569">
    <cfRule type="cellIs" dxfId="98" priority="73" operator="equal">
      <formula>""</formula>
    </cfRule>
  </conditionalFormatting>
  <conditionalFormatting sqref="C570:C575">
    <cfRule type="cellIs" dxfId="97" priority="72" operator="equal">
      <formula>""</formula>
    </cfRule>
  </conditionalFormatting>
  <conditionalFormatting sqref="C576:C581">
    <cfRule type="cellIs" dxfId="96" priority="71" operator="equal">
      <formula>""</formula>
    </cfRule>
  </conditionalFormatting>
  <conditionalFormatting sqref="C582:C587">
    <cfRule type="cellIs" dxfId="95" priority="70" operator="equal">
      <formula>""</formula>
    </cfRule>
  </conditionalFormatting>
  <conditionalFormatting sqref="C588:C593">
    <cfRule type="cellIs" dxfId="94" priority="69" operator="equal">
      <formula>""</formula>
    </cfRule>
  </conditionalFormatting>
  <conditionalFormatting sqref="C594:C599">
    <cfRule type="cellIs" dxfId="93" priority="68" operator="equal">
      <formula>""</formula>
    </cfRule>
  </conditionalFormatting>
  <conditionalFormatting sqref="C600:C605">
    <cfRule type="cellIs" dxfId="92" priority="67" operator="equal">
      <formula>""</formula>
    </cfRule>
  </conditionalFormatting>
  <conditionalFormatting sqref="C606:C611">
    <cfRule type="cellIs" dxfId="91" priority="66" operator="equal">
      <formula>""</formula>
    </cfRule>
  </conditionalFormatting>
  <conditionalFormatting sqref="C612:C617">
    <cfRule type="cellIs" dxfId="90" priority="65" operator="equal">
      <formula>""</formula>
    </cfRule>
  </conditionalFormatting>
  <conditionalFormatting sqref="C618:C623">
    <cfRule type="cellIs" dxfId="89" priority="64" operator="equal">
      <formula>""</formula>
    </cfRule>
  </conditionalFormatting>
  <conditionalFormatting sqref="C624:C629">
    <cfRule type="cellIs" dxfId="88" priority="63" operator="equal">
      <formula>""</formula>
    </cfRule>
  </conditionalFormatting>
  <conditionalFormatting sqref="C630:C635">
    <cfRule type="cellIs" dxfId="87" priority="62" operator="equal">
      <formula>""</formula>
    </cfRule>
  </conditionalFormatting>
  <conditionalFormatting sqref="C636:C641">
    <cfRule type="cellIs" dxfId="86" priority="61" operator="equal">
      <formula>""</formula>
    </cfRule>
  </conditionalFormatting>
  <conditionalFormatting sqref="C642:C647">
    <cfRule type="cellIs" dxfId="85" priority="60" operator="equal">
      <formula>""</formula>
    </cfRule>
  </conditionalFormatting>
  <conditionalFormatting sqref="C648:C653">
    <cfRule type="cellIs" dxfId="84" priority="59" operator="equal">
      <formula>""</formula>
    </cfRule>
  </conditionalFormatting>
  <conditionalFormatting sqref="C654:C659">
    <cfRule type="cellIs" dxfId="83" priority="58" operator="equal">
      <formula>""</formula>
    </cfRule>
  </conditionalFormatting>
  <conditionalFormatting sqref="C660:C665">
    <cfRule type="cellIs" dxfId="82" priority="57" operator="equal">
      <formula>""</formula>
    </cfRule>
  </conditionalFormatting>
  <conditionalFormatting sqref="C666:C671">
    <cfRule type="cellIs" dxfId="81" priority="56" operator="equal">
      <formula>""</formula>
    </cfRule>
  </conditionalFormatting>
  <conditionalFormatting sqref="C672:C677">
    <cfRule type="cellIs" dxfId="80" priority="55" operator="equal">
      <formula>""</formula>
    </cfRule>
  </conditionalFormatting>
  <conditionalFormatting sqref="C678:C683">
    <cfRule type="cellIs" dxfId="79" priority="54" operator="equal">
      <formula>""</formula>
    </cfRule>
  </conditionalFormatting>
  <conditionalFormatting sqref="C684:C689">
    <cfRule type="cellIs" dxfId="78" priority="53" operator="equal">
      <formula>""</formula>
    </cfRule>
  </conditionalFormatting>
  <conditionalFormatting sqref="C690:C695">
    <cfRule type="cellIs" dxfId="77" priority="52" operator="equal">
      <formula>""</formula>
    </cfRule>
  </conditionalFormatting>
  <conditionalFormatting sqref="C696:C701">
    <cfRule type="cellIs" dxfId="76" priority="51" operator="equal">
      <formula>""</formula>
    </cfRule>
  </conditionalFormatting>
  <conditionalFormatting sqref="C702:C707">
    <cfRule type="cellIs" dxfId="75" priority="50" operator="equal">
      <formula>""</formula>
    </cfRule>
  </conditionalFormatting>
  <conditionalFormatting sqref="C708:C713">
    <cfRule type="cellIs" dxfId="74" priority="49" operator="equal">
      <formula>""</formula>
    </cfRule>
  </conditionalFormatting>
  <conditionalFormatting sqref="C714:C719">
    <cfRule type="cellIs" dxfId="73" priority="48" operator="equal">
      <formula>""</formula>
    </cfRule>
  </conditionalFormatting>
  <conditionalFormatting sqref="C720:C725">
    <cfRule type="cellIs" dxfId="72" priority="47" operator="equal">
      <formula>""</formula>
    </cfRule>
  </conditionalFormatting>
  <conditionalFormatting sqref="C726:C731">
    <cfRule type="cellIs" dxfId="71" priority="46" operator="equal">
      <formula>""</formula>
    </cfRule>
  </conditionalFormatting>
  <conditionalFormatting sqref="C732:C737">
    <cfRule type="cellIs" dxfId="70" priority="45" operator="equal">
      <formula>""</formula>
    </cfRule>
  </conditionalFormatting>
  <conditionalFormatting sqref="C738:C743">
    <cfRule type="cellIs" dxfId="69" priority="44" operator="equal">
      <formula>""</formula>
    </cfRule>
  </conditionalFormatting>
  <conditionalFormatting sqref="C744:C749">
    <cfRule type="cellIs" dxfId="68" priority="43" operator="equal">
      <formula>""</formula>
    </cfRule>
  </conditionalFormatting>
  <conditionalFormatting sqref="C750:C755">
    <cfRule type="cellIs" dxfId="67" priority="42" operator="equal">
      <formula>""</formula>
    </cfRule>
  </conditionalFormatting>
  <conditionalFormatting sqref="C756:C761">
    <cfRule type="cellIs" dxfId="66" priority="41" operator="equal">
      <formula>""</formula>
    </cfRule>
  </conditionalFormatting>
  <conditionalFormatting sqref="C762:C767">
    <cfRule type="cellIs" dxfId="65" priority="40" operator="equal">
      <formula>""</formula>
    </cfRule>
  </conditionalFormatting>
  <conditionalFormatting sqref="C768:C773">
    <cfRule type="cellIs" dxfId="64" priority="39" operator="equal">
      <formula>""</formula>
    </cfRule>
  </conditionalFormatting>
  <conditionalFormatting sqref="C774:C779">
    <cfRule type="cellIs" dxfId="63" priority="38" operator="equal">
      <formula>""</formula>
    </cfRule>
  </conditionalFormatting>
  <conditionalFormatting sqref="C780:C785">
    <cfRule type="cellIs" dxfId="62" priority="37" operator="equal">
      <formula>""</formula>
    </cfRule>
  </conditionalFormatting>
  <conditionalFormatting sqref="C786:C791">
    <cfRule type="cellIs" dxfId="61" priority="36" operator="equal">
      <formula>""</formula>
    </cfRule>
  </conditionalFormatting>
  <conditionalFormatting sqref="C792:C797">
    <cfRule type="cellIs" dxfId="60" priority="35" operator="equal">
      <formula>""</formula>
    </cfRule>
  </conditionalFormatting>
  <conditionalFormatting sqref="C798:C803">
    <cfRule type="cellIs" dxfId="59" priority="34" operator="equal">
      <formula>""</formula>
    </cfRule>
  </conditionalFormatting>
  <conditionalFormatting sqref="C804:C809">
    <cfRule type="cellIs" dxfId="58" priority="33" operator="equal">
      <formula>""</formula>
    </cfRule>
  </conditionalFormatting>
  <conditionalFormatting sqref="C810:C815">
    <cfRule type="cellIs" dxfId="57" priority="32" operator="equal">
      <formula>""</formula>
    </cfRule>
  </conditionalFormatting>
  <conditionalFormatting sqref="C816:C821">
    <cfRule type="cellIs" dxfId="56" priority="31" operator="equal">
      <formula>""</formula>
    </cfRule>
  </conditionalFormatting>
  <conditionalFormatting sqref="C822:C827">
    <cfRule type="cellIs" dxfId="55" priority="30" operator="equal">
      <formula>""</formula>
    </cfRule>
  </conditionalFormatting>
  <conditionalFormatting sqref="C828:C833">
    <cfRule type="cellIs" dxfId="54" priority="29" operator="equal">
      <formula>""</formula>
    </cfRule>
  </conditionalFormatting>
  <conditionalFormatting sqref="C834:C839">
    <cfRule type="cellIs" dxfId="53" priority="28" operator="equal">
      <formula>""</formula>
    </cfRule>
  </conditionalFormatting>
  <conditionalFormatting sqref="C840:C845">
    <cfRule type="cellIs" dxfId="52" priority="27" operator="equal">
      <formula>""</formula>
    </cfRule>
  </conditionalFormatting>
  <conditionalFormatting sqref="C846:C851">
    <cfRule type="cellIs" dxfId="51" priority="26" operator="equal">
      <formula>""</formula>
    </cfRule>
  </conditionalFormatting>
  <conditionalFormatting sqref="C852:C857">
    <cfRule type="cellIs" dxfId="50" priority="25" operator="equal">
      <formula>""</formula>
    </cfRule>
  </conditionalFormatting>
  <conditionalFormatting sqref="C858:C863">
    <cfRule type="cellIs" dxfId="49" priority="24" operator="equal">
      <formula>""</formula>
    </cfRule>
  </conditionalFormatting>
  <conditionalFormatting sqref="C864:C869">
    <cfRule type="cellIs" dxfId="48" priority="23" operator="equal">
      <formula>""</formula>
    </cfRule>
  </conditionalFormatting>
  <conditionalFormatting sqref="C870:C875">
    <cfRule type="cellIs" dxfId="47" priority="22" operator="equal">
      <formula>""</formula>
    </cfRule>
  </conditionalFormatting>
  <conditionalFormatting sqref="C876:C881">
    <cfRule type="cellIs" dxfId="46" priority="21" operator="equal">
      <formula>""</formula>
    </cfRule>
  </conditionalFormatting>
  <conditionalFormatting sqref="C882:C887">
    <cfRule type="cellIs" dxfId="45" priority="20" operator="equal">
      <formula>""</formula>
    </cfRule>
  </conditionalFormatting>
  <conditionalFormatting sqref="C888:C893">
    <cfRule type="cellIs" dxfId="44" priority="19" operator="equal">
      <formula>""</formula>
    </cfRule>
  </conditionalFormatting>
  <conditionalFormatting sqref="C894:C899">
    <cfRule type="cellIs" dxfId="43" priority="18" operator="equal">
      <formula>""</formula>
    </cfRule>
  </conditionalFormatting>
  <conditionalFormatting sqref="C900:C905">
    <cfRule type="cellIs" dxfId="42" priority="17" operator="equal">
      <formula>""</formula>
    </cfRule>
  </conditionalFormatting>
  <conditionalFormatting sqref="C906:C911">
    <cfRule type="cellIs" dxfId="41" priority="16" operator="equal">
      <formula>""</formula>
    </cfRule>
  </conditionalFormatting>
  <conditionalFormatting sqref="C912:C917">
    <cfRule type="cellIs" dxfId="40" priority="15" operator="equal">
      <formula>""</formula>
    </cfRule>
  </conditionalFormatting>
  <conditionalFormatting sqref="C918:C923">
    <cfRule type="cellIs" dxfId="39" priority="14" operator="equal">
      <formula>""</formula>
    </cfRule>
  </conditionalFormatting>
  <conditionalFormatting sqref="C924:C929">
    <cfRule type="cellIs" dxfId="38" priority="13" operator="equal">
      <formula>""</formula>
    </cfRule>
  </conditionalFormatting>
  <conditionalFormatting sqref="C930:C935">
    <cfRule type="cellIs" dxfId="37" priority="12" operator="equal">
      <formula>""</formula>
    </cfRule>
  </conditionalFormatting>
  <conditionalFormatting sqref="C936:C941">
    <cfRule type="cellIs" dxfId="36" priority="11" operator="equal">
      <formula>""</formula>
    </cfRule>
  </conditionalFormatting>
  <conditionalFormatting sqref="C942:C947">
    <cfRule type="cellIs" dxfId="35" priority="10" operator="equal">
      <formula>""</formula>
    </cfRule>
  </conditionalFormatting>
  <conditionalFormatting sqref="C948:C953">
    <cfRule type="cellIs" dxfId="34" priority="9" operator="equal">
      <formula>""</formula>
    </cfRule>
  </conditionalFormatting>
  <conditionalFormatting sqref="C954:C959">
    <cfRule type="cellIs" dxfId="33" priority="8" operator="equal">
      <formula>""</formula>
    </cfRule>
  </conditionalFormatting>
  <conditionalFormatting sqref="C960:C965">
    <cfRule type="cellIs" dxfId="32" priority="7" operator="equal">
      <formula>""</formula>
    </cfRule>
  </conditionalFormatting>
  <conditionalFormatting sqref="C966:C971">
    <cfRule type="cellIs" dxfId="31" priority="6" operator="equal">
      <formula>""</formula>
    </cfRule>
  </conditionalFormatting>
  <conditionalFormatting sqref="C972:C977">
    <cfRule type="cellIs" dxfId="30" priority="5" operator="equal">
      <formula>""</formula>
    </cfRule>
  </conditionalFormatting>
  <conditionalFormatting sqref="C978:C983">
    <cfRule type="cellIs" dxfId="29" priority="4" operator="equal">
      <formula>""</formula>
    </cfRule>
  </conditionalFormatting>
  <conditionalFormatting sqref="C984:C989">
    <cfRule type="cellIs" dxfId="28" priority="3" operator="equal">
      <formula>""</formula>
    </cfRule>
  </conditionalFormatting>
  <conditionalFormatting sqref="C990:C995">
    <cfRule type="cellIs" dxfId="27" priority="2" operator="equal">
      <formula>""</formula>
    </cfRule>
  </conditionalFormatting>
  <conditionalFormatting sqref="C996:C999">
    <cfRule type="cellIs" dxfId="26" priority="1" operator="equal">
      <formula>""</formula>
    </cfRule>
  </conditionalFormatting>
  <dataValidations xWindow="1191" yWindow="499" count="5">
    <dataValidation type="custom" allowBlank="1" showInputMessage="1" showErrorMessage="1" error="対象外経費を選択した場合、M列にはご入力できません。" sqref="N6:N32 N33 N34:N51 N53:N1000 N52" xr:uid="{5F7A7DF4-01A9-425A-BF9C-48E99C998CC0}">
      <formula1>G6&lt;&gt;15</formula1>
    </dataValidation>
    <dataValidation allowBlank="1" showErrorMessage="1" sqref="F6:F1000" xr:uid="{A9B40F13-BA5C-4B69-9FBC-47632D3584E4}"/>
    <dataValidation allowBlank="1" showInputMessage="1" showErrorMessage="1" prompt="入力する金額は支援事業に使用した金額です。必ずしも領収書の金額と同額ではありません。" sqref="M6 M10 M15 M20 M25 M30 M35 M40 M45 M50 M55 M65 M60 M70 M75 M80 M85 M90 M95 M100 M105 M110 M115 M120 M125 M130 M135 M140 M145 M150 M155 M160 M165 M170 M175 M180 M185 M190 M195 M200 M205 M210 M215 M220 M225 M230 M235 M240 M245 M250 M255 M265 M260 M270 M275 M280 M285 M290 M295 M300 M305 M310 M315 M320 M325 M330 M335 M340 M345 M350 M355 M360 M370 M365 M375 M380 M390 M385 M395 M400 M405 M410 M415 M420 M425 M430 M435 M440 M445 M450 M455 M460 M465 M470 M475 M480 M485 M490 M495 M500 M505 M510 M515 M520 M525 M530 M535 M540 M545 M550 M555 M560 M565 M570 M575 M580 M585 M590 M595 M600 M605 M610 M615 M620 M625 M630 M635 M640 M645 M650 M655 M660 M665 M670 M675 M680 M685 M690 M695 M700 M705 M710 M715 M725 M720 M730 M735 M740 M745 M750 M755 M760 M765 M770 M775 M780 M785 M790 M795 M800 M805 M810 M820 M815 M825 M830 M835 M840 M845 M850 M855 M860 M865 M870 M875 M880 M885 M890 M895 M900 M905 M910 M915 M920 M925 M930 M935 M940 M945 M950 M955 M960 M965 M970 M975 M980 M985 M990 M995 M1000" xr:uid="{C4523A05-81D1-45E0-BFD7-84B1FE27CE5F}"/>
    <dataValidation errorStyle="warning" allowBlank="1" showInputMessage="1" showErrorMessage="1" sqref="J6" xr:uid="{2AF31631-608C-49BE-BC89-95FA8299C709}"/>
    <dataValidation type="custom" allowBlank="1" showInputMessage="1" showErrorMessage="1" sqref="L6:L7 L9:L1000 L8" xr:uid="{25F71A91-8767-4B55-8F82-98A2CDD20080}">
      <formula1>COUNTIF(L:L,L6)&lt;2</formula1>
    </dataValidation>
  </dataValidations>
  <hyperlinks>
    <hyperlink ref="B3" location="メニュー画面!B3" display="メニュー画面へ" xr:uid="{4E7FE12A-1C22-424F-8D40-9C9A1E19FC20}"/>
  </hyperlinks>
  <pageMargins left="0.70866141732283472" right="0.70866141732283472" top="0.74803149606299213" bottom="0.74803149606299213" header="0.31496062992125984" footer="0.31496062992125984"/>
  <pageSetup paperSize="9" scale="43" orientation="landscape"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24" operator="between" id="{2F4CFC31-C2BD-4229-B45A-9F82AC019D32}">
            <xm:f>プルダウン用リスト!$G$7</xm:f>
            <xm:f>プルダウン用リスト!$H$7</xm:f>
            <x14:dxf>
              <fill>
                <patternFill>
                  <bgColor rgb="FFFFFF00"/>
                </patternFill>
              </fill>
            </x14:dxf>
          </x14:cfRule>
          <x14:cfRule type="cellIs" priority="225" operator="between" id="{20DC7EBD-B333-4B71-9483-96ADAA80012F}">
            <xm:f>プルダウン用リスト!$H$8</xm:f>
            <xm:f>プルダウン用リスト!$G$8</xm:f>
            <x14:dxf>
              <fill>
                <patternFill>
                  <bgColor rgb="FFFFFF00"/>
                </patternFill>
              </fill>
            </x14:dxf>
          </x14:cfRule>
          <x14:cfRule type="cellIs" priority="226" operator="notBetween" id="{6240E50A-D6B3-43D2-810E-53AB7D7B6029}">
            <xm:f>プルダウン用リスト!$G$7</xm:f>
            <xm:f>プルダウン用リスト!$G$8</xm:f>
            <x14:dxf>
              <fill>
                <patternFill>
                  <bgColor rgb="FFFF0000"/>
                </patternFill>
              </fill>
            </x14:dxf>
          </x14:cfRule>
          <xm:sqref>B6:B1000</xm:sqref>
        </x14:conditionalFormatting>
      </x14:conditionalFormattings>
    </ext>
    <ext xmlns:x14="http://schemas.microsoft.com/office/spreadsheetml/2009/9/main" uri="{CCE6A557-97BC-4b89-ADB6-D9C93CAAB3DF}">
      <x14:dataValidations xmlns:xm="http://schemas.microsoft.com/office/excel/2006/main" xWindow="1191" yWindow="499" count="3">
        <x14:dataValidation type="list" allowBlank="1" showErrorMessage="1" promptTitle="「旅費」をご選択された場合" prompt="J列に旅費区間、宿泊地をご入力ください。" xr:uid="{8D6ED001-C101-481C-B2E2-E81C5D26A322}">
          <x14:formula1>
            <xm:f>プルダウン用リスト!$A$1:$A$15</xm:f>
          </x14:formula1>
          <xm:sqref>H10:H1000</xm:sqref>
        </x14:dataValidation>
        <x14:dataValidation type="list" allowBlank="1" showErrorMessage="1" xr:uid="{178D0A5E-A31E-49E4-8897-50ABBB5E5C8B}">
          <x14:formula1>
            <xm:f>プルダウン用リスト!$A$1:$A$15</xm:f>
          </x14:formula1>
          <xm:sqref>H7:H9</xm:sqref>
        </x14:dataValidation>
        <x14:dataValidation type="list" allowBlank="1" showInputMessage="1" showErrorMessage="1" xr:uid="{31ACC47E-BB58-4D21-9DC5-FCF2DBDC09F5}">
          <x14:formula1>
            <xm:f>プルダウン用リスト!$A$1:$A$15</xm:f>
          </x14:formula1>
          <xm:sqref>H6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J202"/>
  <sheetViews>
    <sheetView showGridLines="0" view="pageBreakPreview" zoomScale="70" zoomScaleNormal="80" zoomScaleSheetLayoutView="70" workbookViewId="0">
      <selection activeCell="B6" sqref="B6"/>
    </sheetView>
  </sheetViews>
  <sheetFormatPr defaultColWidth="9" defaultRowHeight="18.75" x14ac:dyDescent="0.4"/>
  <cols>
    <col min="1" max="1" width="2.125" style="9" customWidth="1"/>
    <col min="2" max="2" width="14.75" style="9" customWidth="1"/>
    <col min="3" max="3" width="47" style="9" customWidth="1"/>
    <col min="4" max="4" width="22.625" style="9" customWidth="1"/>
    <col min="5" max="5" width="24.125" style="9" customWidth="1"/>
    <col min="6" max="6" width="20.875" style="9" customWidth="1"/>
    <col min="7" max="7" width="2.75" style="9" customWidth="1"/>
    <col min="8" max="16384" width="9" style="9"/>
  </cols>
  <sheetData>
    <row r="1" spans="1:10" ht="27.75" customHeight="1" x14ac:dyDescent="0.4">
      <c r="A1" s="72" t="s">
        <v>218</v>
      </c>
      <c r="B1" s="72"/>
      <c r="C1" s="72"/>
      <c r="D1" s="13"/>
      <c r="E1" s="13"/>
      <c r="F1" s="13"/>
    </row>
    <row r="2" spans="1:10" ht="129" customHeight="1" x14ac:dyDescent="0.4">
      <c r="B2" s="13"/>
      <c r="C2" s="13"/>
      <c r="D2" s="50"/>
      <c r="E2" s="50"/>
    </row>
    <row r="3" spans="1:10" ht="35.85" customHeight="1" x14ac:dyDescent="0.4">
      <c r="B3" s="124" t="s">
        <v>118</v>
      </c>
      <c r="C3" s="233"/>
      <c r="D3" s="233"/>
      <c r="E3" s="234"/>
      <c r="F3" s="205"/>
      <c r="G3" s="27"/>
    </row>
    <row r="4" spans="1:10" ht="3.6" customHeight="1" thickBot="1" x14ac:dyDescent="0.45">
      <c r="B4" s="13"/>
      <c r="C4" s="31"/>
      <c r="D4" s="13"/>
      <c r="E4" s="31"/>
      <c r="F4" s="204"/>
    </row>
    <row r="5" spans="1:10" ht="137.25" customHeight="1" thickBot="1" x14ac:dyDescent="0.45">
      <c r="B5" s="83" t="s">
        <v>247</v>
      </c>
      <c r="C5" s="191" t="s">
        <v>249</v>
      </c>
      <c r="D5" s="84" t="s">
        <v>221</v>
      </c>
      <c r="E5" s="85" t="s">
        <v>248</v>
      </c>
      <c r="F5" s="86" t="s">
        <v>222</v>
      </c>
    </row>
    <row r="6" spans="1:10" x14ac:dyDescent="0.4">
      <c r="B6" s="81"/>
      <c r="C6" s="76"/>
      <c r="D6" s="76"/>
      <c r="E6" s="76"/>
      <c r="F6" s="82"/>
    </row>
    <row r="7" spans="1:10" x14ac:dyDescent="0.4">
      <c r="B7" s="81"/>
      <c r="C7" s="61"/>
      <c r="D7" s="61"/>
      <c r="E7" s="61"/>
      <c r="F7" s="80"/>
      <c r="I7" s="27"/>
    </row>
    <row r="8" spans="1:10" x14ac:dyDescent="0.4">
      <c r="B8" s="81"/>
      <c r="C8" s="61"/>
      <c r="D8" s="61"/>
      <c r="E8" s="61"/>
      <c r="F8" s="80"/>
    </row>
    <row r="9" spans="1:10" x14ac:dyDescent="0.4">
      <c r="B9" s="81"/>
      <c r="C9" s="61"/>
      <c r="D9" s="61"/>
      <c r="E9" s="61"/>
      <c r="F9" s="80"/>
    </row>
    <row r="10" spans="1:10" x14ac:dyDescent="0.4">
      <c r="B10" s="81"/>
      <c r="C10" s="61"/>
      <c r="D10" s="61"/>
      <c r="E10" s="61"/>
      <c r="F10" s="80"/>
    </row>
    <row r="11" spans="1:10" x14ac:dyDescent="0.4">
      <c r="B11" s="81"/>
      <c r="C11" s="61"/>
      <c r="D11" s="61"/>
      <c r="E11" s="61"/>
      <c r="F11" s="80"/>
    </row>
    <row r="12" spans="1:10" x14ac:dyDescent="0.4">
      <c r="B12" s="81"/>
      <c r="C12" s="61"/>
      <c r="D12" s="61"/>
      <c r="E12" s="61"/>
      <c r="F12" s="80"/>
    </row>
    <row r="13" spans="1:10" x14ac:dyDescent="0.4">
      <c r="B13" s="81"/>
      <c r="C13" s="61"/>
      <c r="D13" s="61"/>
      <c r="E13" s="61"/>
      <c r="F13" s="80"/>
      <c r="J13" s="27"/>
    </row>
    <row r="14" spans="1:10" x14ac:dyDescent="0.4">
      <c r="B14" s="81"/>
      <c r="C14" s="61"/>
      <c r="D14" s="61"/>
      <c r="E14" s="61"/>
      <c r="F14" s="80"/>
    </row>
    <row r="15" spans="1:10" x14ac:dyDescent="0.4">
      <c r="B15" s="81"/>
      <c r="C15" s="61"/>
      <c r="D15" s="61"/>
      <c r="E15" s="61"/>
      <c r="F15" s="80"/>
    </row>
    <row r="16" spans="1:10" x14ac:dyDescent="0.4">
      <c r="B16" s="81"/>
      <c r="C16" s="61"/>
      <c r="D16" s="61"/>
      <c r="E16" s="61"/>
      <c r="F16" s="80"/>
    </row>
    <row r="17" spans="2:10" x14ac:dyDescent="0.4">
      <c r="B17" s="81"/>
      <c r="C17" s="61"/>
      <c r="D17" s="61"/>
      <c r="E17" s="61"/>
      <c r="F17" s="80"/>
    </row>
    <row r="18" spans="2:10" x14ac:dyDescent="0.4">
      <c r="B18" s="81"/>
      <c r="C18" s="61"/>
      <c r="D18" s="61"/>
      <c r="E18" s="61"/>
      <c r="F18" s="80"/>
    </row>
    <row r="19" spans="2:10" x14ac:dyDescent="0.4">
      <c r="B19" s="81"/>
      <c r="C19" s="61"/>
      <c r="D19" s="61"/>
      <c r="E19" s="61"/>
      <c r="F19" s="80"/>
    </row>
    <row r="20" spans="2:10" x14ac:dyDescent="0.4">
      <c r="B20" s="81"/>
      <c r="C20" s="61"/>
      <c r="D20" s="61"/>
      <c r="E20" s="61"/>
      <c r="F20" s="80"/>
      <c r="J20" s="27"/>
    </row>
    <row r="21" spans="2:10" x14ac:dyDescent="0.4">
      <c r="B21" s="81"/>
      <c r="C21" s="61"/>
      <c r="D21" s="61"/>
      <c r="E21" s="61"/>
      <c r="F21" s="80"/>
      <c r="I21" s="27"/>
    </row>
    <row r="22" spans="2:10" x14ac:dyDescent="0.4">
      <c r="B22" s="81"/>
      <c r="C22" s="61"/>
      <c r="D22" s="61"/>
      <c r="E22" s="61"/>
      <c r="F22" s="80"/>
      <c r="H22" s="27"/>
    </row>
    <row r="23" spans="2:10" x14ac:dyDescent="0.4">
      <c r="B23" s="81"/>
      <c r="C23" s="61"/>
      <c r="D23" s="61"/>
      <c r="E23" s="61"/>
      <c r="F23" s="80"/>
    </row>
    <row r="24" spans="2:10" x14ac:dyDescent="0.4">
      <c r="B24" s="81"/>
      <c r="C24" s="61"/>
      <c r="D24" s="61"/>
      <c r="E24" s="61"/>
      <c r="F24" s="80"/>
    </row>
    <row r="25" spans="2:10" x14ac:dyDescent="0.4">
      <c r="B25" s="81"/>
      <c r="C25" s="61"/>
      <c r="D25" s="61"/>
      <c r="E25" s="61"/>
      <c r="F25" s="80"/>
    </row>
    <row r="26" spans="2:10" x14ac:dyDescent="0.4">
      <c r="B26" s="81"/>
      <c r="C26" s="61"/>
      <c r="D26" s="61"/>
      <c r="E26" s="61"/>
      <c r="F26" s="80"/>
    </row>
    <row r="27" spans="2:10" x14ac:dyDescent="0.4">
      <c r="B27" s="81"/>
      <c r="C27" s="61"/>
      <c r="D27" s="61"/>
      <c r="E27" s="61"/>
      <c r="F27" s="80"/>
    </row>
    <row r="28" spans="2:10" x14ac:dyDescent="0.4">
      <c r="B28" s="81"/>
      <c r="C28" s="61"/>
      <c r="D28" s="61"/>
      <c r="E28" s="61"/>
      <c r="F28" s="80"/>
    </row>
    <row r="29" spans="2:10" x14ac:dyDescent="0.4">
      <c r="B29" s="81"/>
      <c r="C29" s="61"/>
      <c r="D29" s="61"/>
      <c r="E29" s="61"/>
      <c r="F29" s="80"/>
    </row>
    <row r="30" spans="2:10" x14ac:dyDescent="0.4">
      <c r="B30" s="81"/>
      <c r="C30" s="61"/>
      <c r="D30" s="61"/>
      <c r="E30" s="61"/>
      <c r="F30" s="80"/>
    </row>
    <row r="31" spans="2:10" x14ac:dyDescent="0.4">
      <c r="B31" s="81"/>
      <c r="C31" s="61"/>
      <c r="D31" s="61"/>
      <c r="E31" s="61"/>
      <c r="F31" s="80"/>
    </row>
    <row r="32" spans="2:10" x14ac:dyDescent="0.4">
      <c r="B32" s="81"/>
      <c r="C32" s="61"/>
      <c r="D32" s="61"/>
      <c r="E32" s="61"/>
      <c r="F32" s="80"/>
    </row>
    <row r="33" spans="2:6" x14ac:dyDescent="0.4">
      <c r="B33" s="81"/>
      <c r="C33" s="61"/>
      <c r="D33" s="61"/>
      <c r="E33" s="61"/>
      <c r="F33" s="80"/>
    </row>
    <row r="34" spans="2:6" x14ac:dyDescent="0.4">
      <c r="B34" s="81"/>
      <c r="C34" s="61"/>
      <c r="D34" s="61"/>
      <c r="E34" s="61"/>
      <c r="F34" s="80"/>
    </row>
    <row r="35" spans="2:6" x14ac:dyDescent="0.4">
      <c r="B35" s="81"/>
      <c r="C35" s="61"/>
      <c r="D35" s="61"/>
      <c r="E35" s="61"/>
      <c r="F35" s="80"/>
    </row>
    <row r="36" spans="2:6" x14ac:dyDescent="0.4">
      <c r="B36" s="81"/>
      <c r="C36" s="61"/>
      <c r="D36" s="61"/>
      <c r="E36" s="61"/>
      <c r="F36" s="80"/>
    </row>
    <row r="37" spans="2:6" x14ac:dyDescent="0.4">
      <c r="B37" s="81"/>
      <c r="C37" s="61"/>
      <c r="D37" s="61"/>
      <c r="E37" s="61"/>
      <c r="F37" s="80"/>
    </row>
    <row r="38" spans="2:6" x14ac:dyDescent="0.4">
      <c r="B38" s="81"/>
      <c r="C38" s="61"/>
      <c r="D38" s="61"/>
      <c r="E38" s="61"/>
      <c r="F38" s="80"/>
    </row>
    <row r="39" spans="2:6" x14ac:dyDescent="0.4">
      <c r="B39" s="81"/>
      <c r="C39" s="61"/>
      <c r="D39" s="61"/>
      <c r="E39" s="61"/>
      <c r="F39" s="80"/>
    </row>
    <row r="40" spans="2:6" x14ac:dyDescent="0.4">
      <c r="B40" s="81"/>
      <c r="C40" s="61"/>
      <c r="D40" s="61"/>
      <c r="E40" s="61"/>
      <c r="F40" s="80"/>
    </row>
    <row r="41" spans="2:6" x14ac:dyDescent="0.4">
      <c r="B41" s="81"/>
      <c r="C41" s="61"/>
      <c r="D41" s="61"/>
      <c r="E41" s="61"/>
      <c r="F41" s="80"/>
    </row>
    <row r="42" spans="2:6" x14ac:dyDescent="0.4">
      <c r="B42" s="81"/>
      <c r="C42" s="61"/>
      <c r="D42" s="61"/>
      <c r="E42" s="61"/>
      <c r="F42" s="80"/>
    </row>
    <row r="43" spans="2:6" x14ac:dyDescent="0.4">
      <c r="B43" s="81"/>
      <c r="C43" s="61"/>
      <c r="D43" s="61"/>
      <c r="E43" s="61"/>
      <c r="F43" s="80"/>
    </row>
    <row r="44" spans="2:6" x14ac:dyDescent="0.4">
      <c r="B44" s="81"/>
      <c r="C44" s="61"/>
      <c r="D44" s="61"/>
      <c r="E44" s="61"/>
      <c r="F44" s="80"/>
    </row>
    <row r="45" spans="2:6" x14ac:dyDescent="0.4">
      <c r="B45" s="81"/>
      <c r="C45" s="61"/>
      <c r="D45" s="61"/>
      <c r="E45" s="61"/>
      <c r="F45" s="80"/>
    </row>
    <row r="46" spans="2:6" x14ac:dyDescent="0.4">
      <c r="B46" s="81"/>
      <c r="C46" s="61"/>
      <c r="D46" s="61"/>
      <c r="E46" s="61"/>
      <c r="F46" s="80"/>
    </row>
    <row r="47" spans="2:6" x14ac:dyDescent="0.4">
      <c r="B47" s="81"/>
      <c r="C47" s="61"/>
      <c r="D47" s="61"/>
      <c r="E47" s="61"/>
      <c r="F47" s="80"/>
    </row>
    <row r="48" spans="2:6" x14ac:dyDescent="0.4">
      <c r="B48" s="81"/>
      <c r="C48" s="61"/>
      <c r="D48" s="61"/>
      <c r="E48" s="61"/>
      <c r="F48" s="80"/>
    </row>
    <row r="49" spans="2:6" x14ac:dyDescent="0.4">
      <c r="B49" s="81"/>
      <c r="C49" s="61"/>
      <c r="D49" s="61"/>
      <c r="E49" s="61"/>
      <c r="F49" s="80"/>
    </row>
    <row r="50" spans="2:6" x14ac:dyDescent="0.4">
      <c r="B50" s="81"/>
      <c r="C50" s="61"/>
      <c r="D50" s="61"/>
      <c r="E50" s="61"/>
      <c r="F50" s="80"/>
    </row>
    <row r="51" spans="2:6" x14ac:dyDescent="0.4">
      <c r="B51" s="81"/>
      <c r="C51" s="61"/>
      <c r="D51" s="61"/>
      <c r="E51" s="61"/>
      <c r="F51" s="80"/>
    </row>
    <row r="52" spans="2:6" x14ac:dyDescent="0.4">
      <c r="B52" s="81"/>
      <c r="C52" s="61"/>
      <c r="D52" s="61"/>
      <c r="E52" s="61"/>
      <c r="F52" s="80"/>
    </row>
    <row r="53" spans="2:6" x14ac:dyDescent="0.4">
      <c r="B53" s="81"/>
      <c r="C53" s="61"/>
      <c r="D53" s="61"/>
      <c r="E53" s="61"/>
      <c r="F53" s="80"/>
    </row>
    <row r="54" spans="2:6" x14ac:dyDescent="0.4">
      <c r="B54" s="81"/>
      <c r="C54" s="61"/>
      <c r="D54" s="61"/>
      <c r="E54" s="61"/>
      <c r="F54" s="80"/>
    </row>
    <row r="55" spans="2:6" x14ac:dyDescent="0.4">
      <c r="B55" s="81"/>
      <c r="C55" s="61"/>
      <c r="D55" s="61"/>
      <c r="E55" s="61"/>
      <c r="F55" s="80"/>
    </row>
    <row r="56" spans="2:6" x14ac:dyDescent="0.4">
      <c r="B56" s="81"/>
      <c r="C56" s="61"/>
      <c r="D56" s="61"/>
      <c r="E56" s="61"/>
      <c r="F56" s="80"/>
    </row>
    <row r="57" spans="2:6" x14ac:dyDescent="0.4">
      <c r="B57" s="81"/>
      <c r="C57" s="61"/>
      <c r="D57" s="61"/>
      <c r="E57" s="61"/>
      <c r="F57" s="80"/>
    </row>
    <row r="58" spans="2:6" x14ac:dyDescent="0.4">
      <c r="B58" s="81"/>
      <c r="C58" s="61"/>
      <c r="D58" s="61"/>
      <c r="E58" s="61"/>
      <c r="F58" s="80"/>
    </row>
    <row r="59" spans="2:6" x14ac:dyDescent="0.4">
      <c r="B59" s="81"/>
      <c r="C59" s="61"/>
      <c r="D59" s="61"/>
      <c r="E59" s="61"/>
      <c r="F59" s="80"/>
    </row>
    <row r="60" spans="2:6" x14ac:dyDescent="0.4">
      <c r="B60" s="81"/>
      <c r="C60" s="61"/>
      <c r="D60" s="61"/>
      <c r="E60" s="61"/>
      <c r="F60" s="80"/>
    </row>
    <row r="61" spans="2:6" x14ac:dyDescent="0.4">
      <c r="B61" s="81"/>
      <c r="C61" s="61"/>
      <c r="D61" s="61"/>
      <c r="E61" s="61"/>
      <c r="F61" s="80"/>
    </row>
    <row r="62" spans="2:6" x14ac:dyDescent="0.4">
      <c r="B62" s="81"/>
      <c r="C62" s="61"/>
      <c r="D62" s="61"/>
      <c r="E62" s="61"/>
      <c r="F62" s="80"/>
    </row>
    <row r="63" spans="2:6" x14ac:dyDescent="0.4">
      <c r="B63" s="81"/>
      <c r="C63" s="61"/>
      <c r="D63" s="61"/>
      <c r="E63" s="61"/>
      <c r="F63" s="80"/>
    </row>
    <row r="64" spans="2:6" x14ac:dyDescent="0.4">
      <c r="B64" s="81"/>
      <c r="C64" s="61"/>
      <c r="D64" s="61"/>
      <c r="E64" s="61"/>
      <c r="F64" s="80"/>
    </row>
    <row r="65" spans="2:6" x14ac:dyDescent="0.4">
      <c r="B65" s="81"/>
      <c r="C65" s="61"/>
      <c r="D65" s="61"/>
      <c r="E65" s="61"/>
      <c r="F65" s="80"/>
    </row>
    <row r="66" spans="2:6" x14ac:dyDescent="0.4">
      <c r="B66" s="81"/>
      <c r="C66" s="61"/>
      <c r="D66" s="61"/>
      <c r="E66" s="61"/>
      <c r="F66" s="80"/>
    </row>
    <row r="67" spans="2:6" x14ac:dyDescent="0.4">
      <c r="B67" s="81"/>
      <c r="C67" s="61"/>
      <c r="D67" s="61"/>
      <c r="E67" s="61"/>
      <c r="F67" s="80"/>
    </row>
    <row r="68" spans="2:6" x14ac:dyDescent="0.4">
      <c r="B68" s="81"/>
      <c r="C68" s="61"/>
      <c r="D68" s="61"/>
      <c r="E68" s="61"/>
      <c r="F68" s="80"/>
    </row>
    <row r="69" spans="2:6" x14ac:dyDescent="0.4">
      <c r="B69" s="81"/>
      <c r="C69" s="61"/>
      <c r="D69" s="61"/>
      <c r="E69" s="61"/>
      <c r="F69" s="80"/>
    </row>
    <row r="70" spans="2:6" x14ac:dyDescent="0.4">
      <c r="B70" s="81"/>
      <c r="C70" s="61"/>
      <c r="D70" s="61"/>
      <c r="E70" s="61"/>
      <c r="F70" s="80"/>
    </row>
    <row r="71" spans="2:6" x14ac:dyDescent="0.4">
      <c r="B71" s="81"/>
      <c r="C71" s="61"/>
      <c r="D71" s="61"/>
      <c r="E71" s="61"/>
      <c r="F71" s="80"/>
    </row>
    <row r="72" spans="2:6" x14ac:dyDescent="0.4">
      <c r="B72" s="81"/>
      <c r="C72" s="61"/>
      <c r="D72" s="61"/>
      <c r="E72" s="61"/>
      <c r="F72" s="80"/>
    </row>
    <row r="73" spans="2:6" x14ac:dyDescent="0.4">
      <c r="B73" s="81"/>
      <c r="C73" s="61"/>
      <c r="D73" s="61"/>
      <c r="E73" s="61"/>
      <c r="F73" s="80"/>
    </row>
    <row r="74" spans="2:6" x14ac:dyDescent="0.4">
      <c r="B74" s="81"/>
      <c r="C74" s="61"/>
      <c r="D74" s="61"/>
      <c r="E74" s="61"/>
      <c r="F74" s="80"/>
    </row>
    <row r="75" spans="2:6" x14ac:dyDescent="0.4">
      <c r="B75" s="81"/>
      <c r="C75" s="61"/>
      <c r="D75" s="61"/>
      <c r="E75" s="61"/>
      <c r="F75" s="80"/>
    </row>
    <row r="76" spans="2:6" x14ac:dyDescent="0.4">
      <c r="B76" s="81"/>
      <c r="C76" s="61"/>
      <c r="D76" s="61"/>
      <c r="E76" s="61"/>
      <c r="F76" s="80"/>
    </row>
    <row r="77" spans="2:6" x14ac:dyDescent="0.4">
      <c r="B77" s="81"/>
      <c r="C77" s="61"/>
      <c r="D77" s="61"/>
      <c r="E77" s="61"/>
      <c r="F77" s="80"/>
    </row>
    <row r="78" spans="2:6" x14ac:dyDescent="0.4">
      <c r="B78" s="81"/>
      <c r="C78" s="61"/>
      <c r="D78" s="61"/>
      <c r="E78" s="61"/>
      <c r="F78" s="80"/>
    </row>
    <row r="79" spans="2:6" x14ac:dyDescent="0.4">
      <c r="B79" s="81"/>
      <c r="C79" s="61"/>
      <c r="D79" s="61"/>
      <c r="E79" s="61"/>
      <c r="F79" s="80"/>
    </row>
    <row r="80" spans="2:6" x14ac:dyDescent="0.4">
      <c r="B80" s="81"/>
      <c r="C80" s="61"/>
      <c r="D80" s="61"/>
      <c r="E80" s="61"/>
      <c r="F80" s="80"/>
    </row>
    <row r="81" spans="2:6" x14ac:dyDescent="0.4">
      <c r="B81" s="81"/>
      <c r="C81" s="61"/>
      <c r="D81" s="61"/>
      <c r="E81" s="61"/>
      <c r="F81" s="80"/>
    </row>
    <row r="82" spans="2:6" x14ac:dyDescent="0.4">
      <c r="B82" s="81"/>
      <c r="C82" s="61"/>
      <c r="D82" s="61"/>
      <c r="E82" s="61"/>
      <c r="F82" s="80"/>
    </row>
    <row r="83" spans="2:6" x14ac:dyDescent="0.4">
      <c r="B83" s="81"/>
      <c r="C83" s="61"/>
      <c r="D83" s="61"/>
      <c r="E83" s="61"/>
      <c r="F83" s="80"/>
    </row>
    <row r="84" spans="2:6" x14ac:dyDescent="0.4">
      <c r="B84" s="81"/>
      <c r="C84" s="61"/>
      <c r="D84" s="61"/>
      <c r="E84" s="61"/>
      <c r="F84" s="80"/>
    </row>
    <row r="85" spans="2:6" x14ac:dyDescent="0.4">
      <c r="B85" s="81"/>
      <c r="C85" s="61"/>
      <c r="D85" s="61"/>
      <c r="E85" s="61"/>
      <c r="F85" s="80"/>
    </row>
    <row r="86" spans="2:6" x14ac:dyDescent="0.4">
      <c r="B86" s="81"/>
      <c r="C86" s="61"/>
      <c r="D86" s="61"/>
      <c r="E86" s="61"/>
      <c r="F86" s="80"/>
    </row>
    <row r="87" spans="2:6" x14ac:dyDescent="0.4">
      <c r="B87" s="81"/>
      <c r="C87" s="61"/>
      <c r="D87" s="61"/>
      <c r="E87" s="61"/>
      <c r="F87" s="80"/>
    </row>
    <row r="88" spans="2:6" x14ac:dyDescent="0.4">
      <c r="B88" s="81"/>
      <c r="C88" s="61"/>
      <c r="D88" s="61"/>
      <c r="E88" s="61"/>
      <c r="F88" s="80"/>
    </row>
    <row r="89" spans="2:6" x14ac:dyDescent="0.4">
      <c r="B89" s="81"/>
      <c r="C89" s="61"/>
      <c r="D89" s="61"/>
      <c r="E89" s="61"/>
      <c r="F89" s="80"/>
    </row>
    <row r="90" spans="2:6" x14ac:dyDescent="0.4">
      <c r="B90" s="81"/>
      <c r="C90" s="61"/>
      <c r="D90" s="61"/>
      <c r="E90" s="61"/>
      <c r="F90" s="80"/>
    </row>
    <row r="91" spans="2:6" x14ac:dyDescent="0.4">
      <c r="B91" s="81"/>
      <c r="C91" s="61"/>
      <c r="D91" s="61"/>
      <c r="E91" s="61"/>
      <c r="F91" s="80"/>
    </row>
    <row r="92" spans="2:6" x14ac:dyDescent="0.4">
      <c r="B92" s="81"/>
      <c r="C92" s="61"/>
      <c r="D92" s="61"/>
      <c r="E92" s="61"/>
      <c r="F92" s="80"/>
    </row>
    <row r="93" spans="2:6" x14ac:dyDescent="0.4">
      <c r="B93" s="81"/>
      <c r="C93" s="61"/>
      <c r="D93" s="61"/>
      <c r="E93" s="61"/>
      <c r="F93" s="80"/>
    </row>
    <row r="94" spans="2:6" x14ac:dyDescent="0.4">
      <c r="B94" s="81"/>
      <c r="C94" s="61"/>
      <c r="D94" s="61"/>
      <c r="E94" s="61"/>
      <c r="F94" s="80"/>
    </row>
    <row r="95" spans="2:6" x14ac:dyDescent="0.4">
      <c r="B95" s="81"/>
      <c r="C95" s="61"/>
      <c r="D95" s="61"/>
      <c r="E95" s="61"/>
      <c r="F95" s="80"/>
    </row>
    <row r="96" spans="2:6" x14ac:dyDescent="0.4">
      <c r="B96" s="81"/>
      <c r="C96" s="61"/>
      <c r="D96" s="61"/>
      <c r="E96" s="61"/>
      <c r="F96" s="80"/>
    </row>
    <row r="97" spans="2:6" x14ac:dyDescent="0.4">
      <c r="B97" s="81"/>
      <c r="C97" s="61"/>
      <c r="D97" s="61"/>
      <c r="E97" s="61"/>
      <c r="F97" s="80"/>
    </row>
    <row r="98" spans="2:6" x14ac:dyDescent="0.4">
      <c r="B98" s="81"/>
      <c r="C98" s="61"/>
      <c r="D98" s="61"/>
      <c r="E98" s="61"/>
      <c r="F98" s="80"/>
    </row>
    <row r="99" spans="2:6" x14ac:dyDescent="0.4">
      <c r="B99" s="81"/>
      <c r="C99" s="61"/>
      <c r="D99" s="61"/>
      <c r="E99" s="61"/>
      <c r="F99" s="80"/>
    </row>
    <row r="100" spans="2:6" ht="16.5" customHeight="1" x14ac:dyDescent="0.4">
      <c r="B100" s="81"/>
      <c r="C100" s="61"/>
      <c r="D100" s="61"/>
      <c r="E100" s="61"/>
      <c r="F100" s="80"/>
    </row>
    <row r="101" spans="2:6" x14ac:dyDescent="0.4">
      <c r="B101" s="81"/>
      <c r="C101" s="61"/>
      <c r="D101" s="61"/>
      <c r="E101" s="61"/>
      <c r="F101" s="80"/>
    </row>
    <row r="102" spans="2:6" x14ac:dyDescent="0.4">
      <c r="B102" s="81"/>
      <c r="C102" s="61"/>
      <c r="D102" s="61"/>
      <c r="E102" s="61"/>
      <c r="F102" s="80"/>
    </row>
    <row r="103" spans="2:6" x14ac:dyDescent="0.4">
      <c r="B103" s="81"/>
      <c r="C103" s="61"/>
      <c r="D103" s="61"/>
      <c r="E103" s="61"/>
      <c r="F103" s="80"/>
    </row>
    <row r="104" spans="2:6" x14ac:dyDescent="0.4">
      <c r="B104" s="81"/>
      <c r="C104" s="61"/>
      <c r="D104" s="61"/>
      <c r="E104" s="61"/>
      <c r="F104" s="80"/>
    </row>
    <row r="105" spans="2:6" x14ac:dyDescent="0.4">
      <c r="B105" s="81"/>
      <c r="C105" s="61"/>
      <c r="D105" s="61"/>
      <c r="E105" s="61"/>
      <c r="F105" s="80"/>
    </row>
    <row r="106" spans="2:6" x14ac:dyDescent="0.4">
      <c r="B106" s="81"/>
      <c r="C106" s="61"/>
      <c r="D106" s="61"/>
      <c r="E106" s="61"/>
      <c r="F106" s="80"/>
    </row>
    <row r="107" spans="2:6" x14ac:dyDescent="0.4">
      <c r="B107" s="81"/>
      <c r="C107" s="61"/>
      <c r="D107" s="61"/>
      <c r="E107" s="61"/>
      <c r="F107" s="80"/>
    </row>
    <row r="108" spans="2:6" x14ac:dyDescent="0.4">
      <c r="B108" s="81"/>
      <c r="C108" s="61"/>
      <c r="D108" s="61"/>
      <c r="E108" s="61"/>
      <c r="F108" s="80"/>
    </row>
    <row r="109" spans="2:6" x14ac:dyDescent="0.4">
      <c r="B109" s="81"/>
      <c r="C109" s="61"/>
      <c r="D109" s="61"/>
      <c r="E109" s="61"/>
      <c r="F109" s="80"/>
    </row>
    <row r="110" spans="2:6" x14ac:dyDescent="0.4">
      <c r="B110" s="81"/>
      <c r="C110" s="61"/>
      <c r="D110" s="61"/>
      <c r="E110" s="61"/>
      <c r="F110" s="80"/>
    </row>
    <row r="111" spans="2:6" x14ac:dyDescent="0.4">
      <c r="B111" s="81"/>
      <c r="C111" s="61"/>
      <c r="D111" s="61"/>
      <c r="E111" s="61"/>
      <c r="F111" s="80"/>
    </row>
    <row r="112" spans="2:6" x14ac:dyDescent="0.4">
      <c r="B112" s="81"/>
      <c r="C112" s="61"/>
      <c r="D112" s="61"/>
      <c r="E112" s="61"/>
      <c r="F112" s="80"/>
    </row>
    <row r="113" spans="2:6" x14ac:dyDescent="0.4">
      <c r="B113" s="81"/>
      <c r="C113" s="61"/>
      <c r="D113" s="61"/>
      <c r="E113" s="61"/>
      <c r="F113" s="80"/>
    </row>
    <row r="114" spans="2:6" x14ac:dyDescent="0.4">
      <c r="B114" s="81"/>
      <c r="C114" s="61"/>
      <c r="D114" s="61"/>
      <c r="E114" s="61"/>
      <c r="F114" s="80"/>
    </row>
    <row r="115" spans="2:6" x14ac:dyDescent="0.4">
      <c r="B115" s="81"/>
      <c r="C115" s="61"/>
      <c r="D115" s="61"/>
      <c r="E115" s="61"/>
      <c r="F115" s="80"/>
    </row>
    <row r="116" spans="2:6" x14ac:dyDescent="0.4">
      <c r="B116" s="81"/>
      <c r="C116" s="61"/>
      <c r="D116" s="61"/>
      <c r="E116" s="61"/>
      <c r="F116" s="80"/>
    </row>
    <row r="117" spans="2:6" x14ac:dyDescent="0.4">
      <c r="B117" s="81"/>
      <c r="C117" s="61"/>
      <c r="D117" s="61"/>
      <c r="E117" s="61"/>
      <c r="F117" s="80"/>
    </row>
    <row r="118" spans="2:6" x14ac:dyDescent="0.4">
      <c r="B118" s="81"/>
      <c r="C118" s="61"/>
      <c r="D118" s="61"/>
      <c r="E118" s="61"/>
      <c r="F118" s="80"/>
    </row>
    <row r="119" spans="2:6" x14ac:dyDescent="0.4">
      <c r="B119" s="81"/>
      <c r="C119" s="61"/>
      <c r="D119" s="61"/>
      <c r="E119" s="61"/>
      <c r="F119" s="80"/>
    </row>
    <row r="120" spans="2:6" x14ac:dyDescent="0.4">
      <c r="B120" s="81"/>
      <c r="C120" s="61"/>
      <c r="D120" s="61"/>
      <c r="E120" s="61"/>
      <c r="F120" s="80"/>
    </row>
    <row r="121" spans="2:6" x14ac:dyDescent="0.4">
      <c r="B121" s="81"/>
      <c r="C121" s="61"/>
      <c r="D121" s="61"/>
      <c r="E121" s="61"/>
      <c r="F121" s="80"/>
    </row>
    <row r="122" spans="2:6" x14ac:dyDescent="0.4">
      <c r="B122" s="81"/>
      <c r="C122" s="61"/>
      <c r="D122" s="61"/>
      <c r="E122" s="61"/>
      <c r="F122" s="80"/>
    </row>
    <row r="123" spans="2:6" x14ac:dyDescent="0.4">
      <c r="B123" s="81"/>
      <c r="C123" s="61"/>
      <c r="D123" s="61"/>
      <c r="E123" s="61"/>
      <c r="F123" s="80"/>
    </row>
    <row r="124" spans="2:6" x14ac:dyDescent="0.4">
      <c r="B124" s="81"/>
      <c r="C124" s="61"/>
      <c r="D124" s="61"/>
      <c r="E124" s="61"/>
      <c r="F124" s="80"/>
    </row>
    <row r="125" spans="2:6" x14ac:dyDescent="0.4">
      <c r="B125" s="81"/>
      <c r="C125" s="61"/>
      <c r="D125" s="61"/>
      <c r="E125" s="61"/>
      <c r="F125" s="80"/>
    </row>
    <row r="126" spans="2:6" x14ac:dyDescent="0.4">
      <c r="B126" s="81"/>
      <c r="C126" s="61"/>
      <c r="D126" s="61"/>
      <c r="E126" s="61"/>
      <c r="F126" s="80"/>
    </row>
    <row r="127" spans="2:6" x14ac:dyDescent="0.4">
      <c r="B127" s="81"/>
      <c r="C127" s="61"/>
      <c r="D127" s="61"/>
      <c r="E127" s="61"/>
      <c r="F127" s="80"/>
    </row>
    <row r="128" spans="2:6" x14ac:dyDescent="0.4">
      <c r="B128" s="81"/>
      <c r="C128" s="61"/>
      <c r="D128" s="61"/>
      <c r="E128" s="61"/>
      <c r="F128" s="80"/>
    </row>
    <row r="129" spans="2:6" x14ac:dyDescent="0.4">
      <c r="B129" s="81"/>
      <c r="C129" s="61"/>
      <c r="D129" s="61"/>
      <c r="E129" s="61"/>
      <c r="F129" s="80"/>
    </row>
    <row r="130" spans="2:6" x14ac:dyDescent="0.4">
      <c r="B130" s="81"/>
      <c r="C130" s="61"/>
      <c r="D130" s="61"/>
      <c r="E130" s="61"/>
      <c r="F130" s="80"/>
    </row>
    <row r="131" spans="2:6" x14ac:dyDescent="0.4">
      <c r="B131" s="81"/>
      <c r="C131" s="61"/>
      <c r="D131" s="61"/>
      <c r="E131" s="61"/>
      <c r="F131" s="80"/>
    </row>
    <row r="132" spans="2:6" x14ac:dyDescent="0.4">
      <c r="B132" s="81"/>
      <c r="C132" s="61"/>
      <c r="D132" s="61"/>
      <c r="E132" s="61"/>
      <c r="F132" s="80"/>
    </row>
    <row r="133" spans="2:6" x14ac:dyDescent="0.4">
      <c r="B133" s="81"/>
      <c r="C133" s="61"/>
      <c r="D133" s="61"/>
      <c r="E133" s="61"/>
      <c r="F133" s="80"/>
    </row>
    <row r="134" spans="2:6" x14ac:dyDescent="0.4">
      <c r="B134" s="81"/>
      <c r="C134" s="61"/>
      <c r="D134" s="61"/>
      <c r="E134" s="61"/>
      <c r="F134" s="80"/>
    </row>
    <row r="135" spans="2:6" x14ac:dyDescent="0.4">
      <c r="B135" s="81"/>
      <c r="C135" s="61"/>
      <c r="D135" s="61"/>
      <c r="E135" s="61"/>
      <c r="F135" s="80"/>
    </row>
    <row r="136" spans="2:6" x14ac:dyDescent="0.4">
      <c r="B136" s="81"/>
      <c r="C136" s="61"/>
      <c r="D136" s="61"/>
      <c r="E136" s="61"/>
      <c r="F136" s="80"/>
    </row>
    <row r="137" spans="2:6" x14ac:dyDescent="0.4">
      <c r="B137" s="81"/>
      <c r="C137" s="61"/>
      <c r="D137" s="61"/>
      <c r="E137" s="61"/>
      <c r="F137" s="80"/>
    </row>
    <row r="138" spans="2:6" x14ac:dyDescent="0.4">
      <c r="B138" s="81"/>
      <c r="C138" s="61"/>
      <c r="D138" s="61"/>
      <c r="E138" s="61"/>
      <c r="F138" s="80"/>
    </row>
    <row r="139" spans="2:6" x14ac:dyDescent="0.4">
      <c r="B139" s="81"/>
      <c r="C139" s="61"/>
      <c r="D139" s="61"/>
      <c r="E139" s="61"/>
      <c r="F139" s="80"/>
    </row>
    <row r="140" spans="2:6" x14ac:dyDescent="0.4">
      <c r="B140" s="81"/>
      <c r="C140" s="61"/>
      <c r="D140" s="61"/>
      <c r="E140" s="61"/>
      <c r="F140" s="80"/>
    </row>
    <row r="141" spans="2:6" x14ac:dyDescent="0.4">
      <c r="B141" s="81"/>
      <c r="C141" s="61"/>
      <c r="D141" s="61"/>
      <c r="E141" s="61"/>
      <c r="F141" s="80"/>
    </row>
    <row r="142" spans="2:6" x14ac:dyDescent="0.4">
      <c r="B142" s="81"/>
      <c r="C142" s="61"/>
      <c r="D142" s="61"/>
      <c r="E142" s="61"/>
      <c r="F142" s="80"/>
    </row>
    <row r="143" spans="2:6" x14ac:dyDescent="0.4">
      <c r="B143" s="81"/>
      <c r="C143" s="61"/>
      <c r="D143" s="61"/>
      <c r="E143" s="61"/>
      <c r="F143" s="80"/>
    </row>
    <row r="144" spans="2:6" x14ac:dyDescent="0.4">
      <c r="B144" s="81"/>
      <c r="C144" s="61"/>
      <c r="D144" s="61"/>
      <c r="E144" s="61"/>
      <c r="F144" s="80"/>
    </row>
    <row r="145" spans="2:6" x14ac:dyDescent="0.4">
      <c r="B145" s="81"/>
      <c r="C145" s="61"/>
      <c r="D145" s="61"/>
      <c r="E145" s="61"/>
      <c r="F145" s="80"/>
    </row>
    <row r="146" spans="2:6" x14ac:dyDescent="0.4">
      <c r="B146" s="81"/>
      <c r="C146" s="61"/>
      <c r="D146" s="61"/>
      <c r="E146" s="61"/>
      <c r="F146" s="80"/>
    </row>
    <row r="147" spans="2:6" x14ac:dyDescent="0.4">
      <c r="B147" s="81"/>
      <c r="C147" s="61"/>
      <c r="D147" s="61"/>
      <c r="E147" s="61"/>
      <c r="F147" s="80"/>
    </row>
    <row r="148" spans="2:6" x14ac:dyDescent="0.4">
      <c r="B148" s="81"/>
      <c r="C148" s="61"/>
      <c r="D148" s="61"/>
      <c r="E148" s="61"/>
      <c r="F148" s="80"/>
    </row>
    <row r="149" spans="2:6" x14ac:dyDescent="0.4">
      <c r="B149" s="81"/>
      <c r="C149" s="61"/>
      <c r="D149" s="61"/>
      <c r="E149" s="61"/>
      <c r="F149" s="80"/>
    </row>
    <row r="150" spans="2:6" x14ac:dyDescent="0.4">
      <c r="B150" s="81"/>
      <c r="C150" s="61"/>
      <c r="D150" s="61"/>
      <c r="E150" s="61"/>
      <c r="F150" s="80"/>
    </row>
    <row r="151" spans="2:6" x14ac:dyDescent="0.4">
      <c r="B151" s="81"/>
      <c r="C151" s="61"/>
      <c r="D151" s="61"/>
      <c r="E151" s="61"/>
      <c r="F151" s="80"/>
    </row>
    <row r="152" spans="2:6" x14ac:dyDescent="0.4">
      <c r="B152" s="81"/>
      <c r="C152" s="61"/>
      <c r="D152" s="61"/>
      <c r="E152" s="61"/>
      <c r="F152" s="80"/>
    </row>
    <row r="153" spans="2:6" x14ac:dyDescent="0.4">
      <c r="B153" s="81"/>
      <c r="C153" s="61"/>
      <c r="D153" s="61"/>
      <c r="E153" s="61"/>
      <c r="F153" s="80"/>
    </row>
    <row r="154" spans="2:6" x14ac:dyDescent="0.4">
      <c r="B154" s="81"/>
      <c r="C154" s="61"/>
      <c r="D154" s="61"/>
      <c r="E154" s="61"/>
      <c r="F154" s="80"/>
    </row>
    <row r="155" spans="2:6" x14ac:dyDescent="0.4">
      <c r="B155" s="81"/>
      <c r="C155" s="61"/>
      <c r="D155" s="61"/>
      <c r="E155" s="61"/>
      <c r="F155" s="80"/>
    </row>
    <row r="156" spans="2:6" x14ac:dyDescent="0.4">
      <c r="B156" s="81"/>
      <c r="C156" s="61"/>
      <c r="D156" s="61"/>
      <c r="E156" s="61"/>
      <c r="F156" s="80"/>
    </row>
    <row r="157" spans="2:6" x14ac:dyDescent="0.4">
      <c r="B157" s="81"/>
      <c r="C157" s="61"/>
      <c r="D157" s="61"/>
      <c r="E157" s="61"/>
      <c r="F157" s="80"/>
    </row>
    <row r="158" spans="2:6" x14ac:dyDescent="0.4">
      <c r="B158" s="81"/>
      <c r="C158" s="61"/>
      <c r="D158" s="61"/>
      <c r="E158" s="61"/>
      <c r="F158" s="80"/>
    </row>
    <row r="159" spans="2:6" x14ac:dyDescent="0.4">
      <c r="B159" s="81"/>
      <c r="C159" s="61"/>
      <c r="D159" s="61"/>
      <c r="E159" s="61"/>
      <c r="F159" s="80"/>
    </row>
    <row r="160" spans="2:6" x14ac:dyDescent="0.4">
      <c r="B160" s="81"/>
      <c r="C160" s="61"/>
      <c r="D160" s="61"/>
      <c r="E160" s="61"/>
      <c r="F160" s="80"/>
    </row>
    <row r="161" spans="2:6" x14ac:dyDescent="0.4">
      <c r="B161" s="81"/>
      <c r="C161" s="61"/>
      <c r="D161" s="61"/>
      <c r="E161" s="61"/>
      <c r="F161" s="80"/>
    </row>
    <row r="162" spans="2:6" x14ac:dyDescent="0.4">
      <c r="B162" s="81"/>
      <c r="C162" s="61"/>
      <c r="D162" s="61"/>
      <c r="E162" s="61"/>
      <c r="F162" s="80"/>
    </row>
    <row r="163" spans="2:6" x14ac:dyDescent="0.4">
      <c r="B163" s="81"/>
      <c r="C163" s="61"/>
      <c r="D163" s="61"/>
      <c r="E163" s="61"/>
      <c r="F163" s="80"/>
    </row>
    <row r="164" spans="2:6" x14ac:dyDescent="0.4">
      <c r="B164" s="81"/>
      <c r="C164" s="61"/>
      <c r="D164" s="61"/>
      <c r="E164" s="61"/>
      <c r="F164" s="80"/>
    </row>
    <row r="165" spans="2:6" x14ac:dyDescent="0.4">
      <c r="B165" s="81"/>
      <c r="C165" s="61"/>
      <c r="D165" s="61"/>
      <c r="E165" s="61"/>
      <c r="F165" s="80"/>
    </row>
    <row r="166" spans="2:6" x14ac:dyDescent="0.4">
      <c r="B166" s="81"/>
      <c r="C166" s="61"/>
      <c r="D166" s="61"/>
      <c r="E166" s="61"/>
      <c r="F166" s="80"/>
    </row>
    <row r="167" spans="2:6" x14ac:dyDescent="0.4">
      <c r="B167" s="81"/>
      <c r="C167" s="61"/>
      <c r="D167" s="61"/>
      <c r="E167" s="61"/>
      <c r="F167" s="80"/>
    </row>
    <row r="168" spans="2:6" x14ac:dyDescent="0.4">
      <c r="B168" s="81"/>
      <c r="C168" s="61"/>
      <c r="D168" s="61"/>
      <c r="E168" s="61"/>
      <c r="F168" s="80"/>
    </row>
    <row r="169" spans="2:6" x14ac:dyDescent="0.4">
      <c r="B169" s="81"/>
      <c r="C169" s="61"/>
      <c r="D169" s="61"/>
      <c r="E169" s="61"/>
      <c r="F169" s="80"/>
    </row>
    <row r="170" spans="2:6" x14ac:dyDescent="0.4">
      <c r="B170" s="81"/>
      <c r="C170" s="61"/>
      <c r="D170" s="61"/>
      <c r="E170" s="61"/>
      <c r="F170" s="80"/>
    </row>
    <row r="171" spans="2:6" x14ac:dyDescent="0.4">
      <c r="B171" s="81"/>
      <c r="C171" s="61"/>
      <c r="D171" s="61"/>
      <c r="E171" s="61"/>
      <c r="F171" s="80"/>
    </row>
    <row r="172" spans="2:6" x14ac:dyDescent="0.4">
      <c r="B172" s="81"/>
      <c r="C172" s="61"/>
      <c r="D172" s="61"/>
      <c r="E172" s="61"/>
      <c r="F172" s="80"/>
    </row>
    <row r="173" spans="2:6" x14ac:dyDescent="0.4">
      <c r="B173" s="81"/>
      <c r="C173" s="61"/>
      <c r="D173" s="61"/>
      <c r="E173" s="61"/>
      <c r="F173" s="80"/>
    </row>
    <row r="174" spans="2:6" x14ac:dyDescent="0.4">
      <c r="B174" s="81"/>
      <c r="C174" s="61"/>
      <c r="D174" s="61"/>
      <c r="E174" s="61"/>
      <c r="F174" s="80"/>
    </row>
    <row r="175" spans="2:6" x14ac:dyDescent="0.4">
      <c r="B175" s="81"/>
      <c r="C175" s="61"/>
      <c r="D175" s="61"/>
      <c r="E175" s="61"/>
      <c r="F175" s="80"/>
    </row>
    <row r="176" spans="2:6" x14ac:dyDescent="0.4">
      <c r="B176" s="81"/>
      <c r="C176" s="61"/>
      <c r="D176" s="61"/>
      <c r="E176" s="61"/>
      <c r="F176" s="80"/>
    </row>
    <row r="177" spans="2:6" x14ac:dyDescent="0.4">
      <c r="B177" s="81"/>
      <c r="C177" s="61"/>
      <c r="D177" s="61"/>
      <c r="E177" s="61"/>
      <c r="F177" s="80"/>
    </row>
    <row r="178" spans="2:6" x14ac:dyDescent="0.4">
      <c r="B178" s="81"/>
      <c r="C178" s="61"/>
      <c r="D178" s="61"/>
      <c r="E178" s="61"/>
      <c r="F178" s="80"/>
    </row>
    <row r="179" spans="2:6" x14ac:dyDescent="0.4">
      <c r="B179" s="81"/>
      <c r="C179" s="61"/>
      <c r="D179" s="61"/>
      <c r="E179" s="61"/>
      <c r="F179" s="80"/>
    </row>
    <row r="180" spans="2:6" x14ac:dyDescent="0.4">
      <c r="B180" s="81"/>
      <c r="C180" s="61"/>
      <c r="D180" s="61"/>
      <c r="E180" s="61"/>
      <c r="F180" s="80"/>
    </row>
    <row r="181" spans="2:6" x14ac:dyDescent="0.4">
      <c r="B181" s="81"/>
      <c r="C181" s="61"/>
      <c r="D181" s="61"/>
      <c r="E181" s="61"/>
      <c r="F181" s="80"/>
    </row>
    <row r="182" spans="2:6" x14ac:dyDescent="0.4">
      <c r="B182" s="81"/>
      <c r="C182" s="61"/>
      <c r="D182" s="61"/>
      <c r="E182" s="61"/>
      <c r="F182" s="80"/>
    </row>
    <row r="183" spans="2:6" x14ac:dyDescent="0.4">
      <c r="B183" s="81"/>
      <c r="C183" s="61"/>
      <c r="D183" s="61"/>
      <c r="E183" s="61"/>
      <c r="F183" s="80"/>
    </row>
    <row r="184" spans="2:6" x14ac:dyDescent="0.4">
      <c r="B184" s="81"/>
      <c r="C184" s="61"/>
      <c r="D184" s="61"/>
      <c r="E184" s="61"/>
      <c r="F184" s="80"/>
    </row>
    <row r="185" spans="2:6" x14ac:dyDescent="0.4">
      <c r="B185" s="81"/>
      <c r="C185" s="61"/>
      <c r="D185" s="61"/>
      <c r="E185" s="61"/>
      <c r="F185" s="80"/>
    </row>
    <row r="186" spans="2:6" x14ac:dyDescent="0.4">
      <c r="B186" s="81"/>
      <c r="C186" s="61"/>
      <c r="D186" s="61"/>
      <c r="E186" s="61"/>
      <c r="F186" s="80"/>
    </row>
    <row r="187" spans="2:6" x14ac:dyDescent="0.4">
      <c r="B187" s="81"/>
      <c r="C187" s="61"/>
      <c r="D187" s="61"/>
      <c r="E187" s="61"/>
      <c r="F187" s="80"/>
    </row>
    <row r="188" spans="2:6" x14ac:dyDescent="0.4">
      <c r="B188" s="81"/>
      <c r="C188" s="61"/>
      <c r="D188" s="61"/>
      <c r="E188" s="61"/>
      <c r="F188" s="80"/>
    </row>
    <row r="189" spans="2:6" x14ac:dyDescent="0.4">
      <c r="B189" s="81"/>
      <c r="C189" s="61"/>
      <c r="D189" s="61"/>
      <c r="E189" s="61"/>
      <c r="F189" s="80"/>
    </row>
    <row r="190" spans="2:6" x14ac:dyDescent="0.4">
      <c r="B190" s="81"/>
      <c r="C190" s="61"/>
      <c r="D190" s="61"/>
      <c r="E190" s="61"/>
      <c r="F190" s="80"/>
    </row>
    <row r="191" spans="2:6" x14ac:dyDescent="0.4">
      <c r="B191" s="81"/>
      <c r="C191" s="61"/>
      <c r="D191" s="61"/>
      <c r="E191" s="61"/>
      <c r="F191" s="80"/>
    </row>
    <row r="192" spans="2:6" x14ac:dyDescent="0.4">
      <c r="B192" s="81"/>
      <c r="C192" s="61"/>
      <c r="D192" s="61"/>
      <c r="E192" s="61"/>
      <c r="F192" s="80"/>
    </row>
    <row r="193" spans="2:6" x14ac:dyDescent="0.4">
      <c r="B193" s="81"/>
      <c r="C193" s="61"/>
      <c r="D193" s="61"/>
      <c r="E193" s="61"/>
      <c r="F193" s="80"/>
    </row>
    <row r="194" spans="2:6" x14ac:dyDescent="0.4">
      <c r="B194" s="81"/>
      <c r="C194" s="61"/>
      <c r="D194" s="61"/>
      <c r="E194" s="61"/>
      <c r="F194" s="80"/>
    </row>
    <row r="195" spans="2:6" x14ac:dyDescent="0.4">
      <c r="B195" s="81"/>
      <c r="C195" s="61"/>
      <c r="D195" s="61"/>
      <c r="E195" s="61"/>
      <c r="F195" s="80"/>
    </row>
    <row r="196" spans="2:6" x14ac:dyDescent="0.4">
      <c r="B196" s="81"/>
      <c r="C196" s="61"/>
      <c r="D196" s="61"/>
      <c r="E196" s="61"/>
      <c r="F196" s="80"/>
    </row>
    <row r="197" spans="2:6" x14ac:dyDescent="0.4">
      <c r="B197" s="81"/>
      <c r="C197" s="61"/>
      <c r="D197" s="61"/>
      <c r="E197" s="61"/>
      <c r="F197" s="80"/>
    </row>
    <row r="198" spans="2:6" x14ac:dyDescent="0.4">
      <c r="B198" s="81"/>
      <c r="C198" s="61"/>
      <c r="D198" s="61"/>
      <c r="E198" s="61"/>
      <c r="F198" s="80"/>
    </row>
    <row r="199" spans="2:6" x14ac:dyDescent="0.4">
      <c r="B199" s="81"/>
      <c r="C199" s="61"/>
      <c r="D199" s="61"/>
      <c r="E199" s="61"/>
      <c r="F199" s="80"/>
    </row>
    <row r="200" spans="2:6" ht="19.5" thickBot="1" x14ac:dyDescent="0.45">
      <c r="B200" s="81"/>
      <c r="C200" s="61"/>
      <c r="D200" s="61"/>
      <c r="E200" s="61"/>
      <c r="F200" s="80"/>
    </row>
    <row r="201" spans="2:6" ht="26.25" thickTop="1" x14ac:dyDescent="0.4">
      <c r="B201" s="232" t="s">
        <v>80</v>
      </c>
      <c r="C201" s="232"/>
      <c r="D201" s="232"/>
      <c r="E201" s="232"/>
      <c r="F201" s="199">
        <f>SUBTOTAL(9,F6:F200)</f>
        <v>0</v>
      </c>
    </row>
    <row r="202" spans="2:6" x14ac:dyDescent="0.4">
      <c r="B202" s="27"/>
      <c r="D202" s="27"/>
      <c r="E202" s="27"/>
      <c r="F202" s="27"/>
    </row>
  </sheetData>
  <sheetProtection algorithmName="SHA-512" hashValue="Dw3+bFrZY/92jxaYpU2Mh7cRuO+wBFtKZt3O0BCCrs1GOgCoDK3TykeNF78DlDqsSy9fGZm1YsKKcGsafYh8Xg==" saltValue="0pvJug7RftLmsJTU3ETg0w==" spinCount="100000" sheet="1" formatCells="0" formatColumns="0" formatRows="0" autoFilter="0"/>
  <autoFilter ref="B5:F200" xr:uid="{00000000-0009-0000-0000-000003000000}"/>
  <mergeCells count="2">
    <mergeCell ref="B201:E201"/>
    <mergeCell ref="C3:E3"/>
  </mergeCells>
  <phoneticPr fontId="4"/>
  <conditionalFormatting sqref="F201 D6:F200">
    <cfRule type="cellIs" dxfId="22" priority="18" operator="equal">
      <formula>""</formula>
    </cfRule>
  </conditionalFormatting>
  <conditionalFormatting sqref="C6:C200">
    <cfRule type="cellIs" dxfId="21" priority="7" operator="equal">
      <formula>""</formula>
    </cfRule>
  </conditionalFormatting>
  <conditionalFormatting sqref="B6:B200">
    <cfRule type="cellIs" dxfId="20" priority="1" operator="equal">
      <formula>""</formula>
    </cfRule>
  </conditionalFormatting>
  <hyperlinks>
    <hyperlink ref="B3" location="メニュー画面!B4" display="メニュー画面へ" xr:uid="{00000000-0004-0000-0300-000000000000}"/>
  </hyperlinks>
  <pageMargins left="0.70866141732283472" right="0.70866141732283472" top="0.74803149606299213" bottom="0.74803149606299213" header="0.31496062992125984" footer="0.31496062992125984"/>
  <pageSetup paperSize="9" scale="58" orientation="portrait"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cellIs" priority="2" operator="between" id="{1484BA1A-79FB-4C0E-B6FF-F4B152EFB1C1}">
            <xm:f>プルダウン用リスト!$G$7</xm:f>
            <xm:f>プルダウン用リスト!$H$7</xm:f>
            <x14:dxf>
              <fill>
                <patternFill>
                  <bgColor rgb="FFFFFF00"/>
                </patternFill>
              </fill>
            </x14:dxf>
          </x14:cfRule>
          <x14:cfRule type="cellIs" priority="3" operator="between" id="{33DF94F0-0D56-4B82-8025-C28E9B5B83F2}">
            <xm:f>プルダウン用リスト!$H$8</xm:f>
            <xm:f>プルダウン用リスト!$G$8</xm:f>
            <x14:dxf>
              <fill>
                <patternFill>
                  <bgColor rgb="FFFFFF00"/>
                </patternFill>
              </fill>
            </x14:dxf>
          </x14:cfRule>
          <x14:cfRule type="cellIs" priority="43" operator="notBetween" id="{86635DE6-8A43-4525-97A0-85028EF901BB}">
            <xm:f>プルダウン用リスト!$G$7</xm:f>
            <xm:f>プルダウン用リスト!$G$8</xm:f>
            <x14:dxf>
              <fill>
                <patternFill>
                  <bgColor rgb="FFFF0000"/>
                </patternFill>
              </fill>
            </x14:dxf>
          </x14:cfRule>
          <xm:sqref>B6:B200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注意！" prompt="C列は、該当する収入の区分をプルダウンで選択してください" xr:uid="{00000000-0002-0000-0300-000000000000}">
          <x14:formula1>
            <xm:f>プルダウン用リスト!$O$1:$O$5</xm:f>
          </x14:formula1>
          <xm:sqref>C6:C200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Z43"/>
  <sheetViews>
    <sheetView showGridLines="0" view="pageBreakPreview" zoomScale="80" zoomScaleNormal="100" zoomScaleSheetLayoutView="80" workbookViewId="0">
      <selection activeCell="D3" sqref="D3:K3"/>
    </sheetView>
  </sheetViews>
  <sheetFormatPr defaultRowHeight="18.75" x14ac:dyDescent="0.4"/>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8.125" style="9" customWidth="1"/>
    <col min="9" max="9" width="2.125" style="9" customWidth="1"/>
    <col min="10" max="10" width="10.625" style="9" customWidth="1"/>
    <col min="11" max="11" width="3.5" style="9" customWidth="1"/>
    <col min="12" max="12" width="7.125" style="9" customWidth="1"/>
    <col min="13" max="13" width="3.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3.625" style="9" customWidth="1"/>
    <col min="21" max="21" width="6.625" style="9" customWidth="1"/>
    <col min="22" max="25" width="8.625" style="9"/>
  </cols>
  <sheetData>
    <row r="1" spans="2:23" ht="28.35" customHeight="1" x14ac:dyDescent="0.4">
      <c r="B1" s="337" t="s">
        <v>79</v>
      </c>
      <c r="C1" s="337"/>
      <c r="D1" s="337"/>
      <c r="E1" s="28"/>
      <c r="F1" s="13"/>
      <c r="G1" s="13"/>
      <c r="H1" s="13"/>
      <c r="I1" s="13"/>
      <c r="J1" s="340" t="s">
        <v>29</v>
      </c>
      <c r="K1" s="340"/>
      <c r="L1" s="340"/>
      <c r="M1" s="340"/>
      <c r="N1" s="340"/>
      <c r="O1" s="13"/>
      <c r="P1" s="13"/>
      <c r="Q1" s="13"/>
      <c r="R1" s="13"/>
      <c r="S1" s="13"/>
      <c r="T1" s="13"/>
      <c r="U1" s="13"/>
    </row>
    <row r="2" spans="2:23" x14ac:dyDescent="0.4">
      <c r="B2" s="337" t="s">
        <v>136</v>
      </c>
      <c r="C2" s="337"/>
      <c r="D2" s="337"/>
      <c r="E2" s="13"/>
      <c r="F2" s="13"/>
      <c r="G2" s="13"/>
      <c r="H2" s="13"/>
      <c r="I2" s="13"/>
      <c r="J2" s="13"/>
      <c r="K2" s="13"/>
      <c r="L2" s="13"/>
      <c r="M2" s="13"/>
      <c r="N2" s="13"/>
      <c r="O2" s="13"/>
      <c r="P2" s="13"/>
      <c r="Q2" s="13"/>
      <c r="R2" s="13"/>
      <c r="S2" s="13"/>
      <c r="T2" s="13"/>
      <c r="U2" s="13"/>
    </row>
    <row r="3" spans="2:23" x14ac:dyDescent="0.4">
      <c r="B3" s="338" t="s">
        <v>30</v>
      </c>
      <c r="C3" s="338"/>
      <c r="D3" s="499">
        <f>団体基本情報!D5</f>
        <v>0</v>
      </c>
      <c r="E3" s="499"/>
      <c r="F3" s="499"/>
      <c r="G3" s="499"/>
      <c r="H3" s="499"/>
      <c r="I3" s="499"/>
      <c r="J3" s="499"/>
      <c r="K3" s="499"/>
      <c r="L3" s="29"/>
      <c r="M3" s="29"/>
      <c r="N3" s="13"/>
      <c r="O3" s="13"/>
      <c r="P3" s="13"/>
      <c r="Q3" s="13"/>
      <c r="R3" s="13"/>
      <c r="S3" s="13"/>
      <c r="T3" s="13"/>
      <c r="U3" s="13"/>
    </row>
    <row r="4" spans="2:23" x14ac:dyDescent="0.4">
      <c r="B4" s="13"/>
      <c r="C4" s="13"/>
      <c r="D4" s="13"/>
      <c r="E4" s="13"/>
      <c r="F4" s="13"/>
      <c r="G4" s="13"/>
      <c r="H4" s="13"/>
      <c r="I4" s="13"/>
      <c r="J4" s="13"/>
      <c r="K4" s="13"/>
      <c r="L4" s="13"/>
      <c r="M4" s="13"/>
      <c r="N4" s="13"/>
      <c r="O4" s="13"/>
      <c r="P4" s="13"/>
      <c r="Q4" s="13"/>
      <c r="R4" s="13"/>
      <c r="S4" s="13"/>
      <c r="T4" s="13"/>
      <c r="U4" s="13"/>
    </row>
    <row r="5" spans="2:23" ht="19.5" thickBot="1" x14ac:dyDescent="0.45">
      <c r="B5" s="160" t="s">
        <v>229</v>
      </c>
      <c r="C5" s="160"/>
      <c r="D5" s="160"/>
      <c r="E5" s="160"/>
      <c r="F5" s="160"/>
      <c r="G5" s="160"/>
      <c r="H5" s="160"/>
      <c r="I5" s="160"/>
      <c r="J5" s="13"/>
      <c r="K5" s="13"/>
      <c r="L5" s="13"/>
      <c r="M5" s="13"/>
      <c r="N5" s="13"/>
      <c r="O5" s="13"/>
      <c r="P5" s="13"/>
      <c r="Q5" s="13"/>
      <c r="R5" s="13"/>
      <c r="S5" s="13"/>
      <c r="T5" s="13"/>
      <c r="U5" s="13"/>
    </row>
    <row r="6" spans="2:23" ht="19.5" thickBot="1" x14ac:dyDescent="0.45">
      <c r="B6" s="261" t="s">
        <v>31</v>
      </c>
      <c r="C6" s="262"/>
      <c r="D6" s="262"/>
      <c r="E6" s="262"/>
      <c r="F6" s="262"/>
      <c r="G6" s="262"/>
      <c r="H6" s="262"/>
      <c r="I6" s="262"/>
      <c r="J6" s="267" t="s">
        <v>32</v>
      </c>
      <c r="K6" s="268"/>
      <c r="L6" s="268"/>
      <c r="M6" s="268"/>
      <c r="N6" s="268"/>
      <c r="O6" s="268"/>
      <c r="P6" s="268"/>
      <c r="Q6" s="269"/>
      <c r="R6" s="270" t="s">
        <v>165</v>
      </c>
      <c r="S6" s="262"/>
      <c r="T6" s="271"/>
      <c r="U6" s="47"/>
    </row>
    <row r="7" spans="2:23" ht="19.5" thickBot="1" x14ac:dyDescent="0.45">
      <c r="B7" s="265"/>
      <c r="C7" s="266"/>
      <c r="D7" s="266"/>
      <c r="E7" s="266"/>
      <c r="F7" s="266"/>
      <c r="G7" s="266"/>
      <c r="H7" s="266"/>
      <c r="I7" s="266"/>
      <c r="J7" s="267" t="s">
        <v>139</v>
      </c>
      <c r="K7" s="268"/>
      <c r="L7" s="269"/>
      <c r="M7" s="315" t="s">
        <v>187</v>
      </c>
      <c r="N7" s="267" t="s">
        <v>140</v>
      </c>
      <c r="O7" s="268"/>
      <c r="P7" s="268"/>
      <c r="Q7" s="269"/>
      <c r="R7" s="265"/>
      <c r="S7" s="266"/>
      <c r="T7" s="273"/>
      <c r="U7" s="47"/>
    </row>
    <row r="8" spans="2:23" ht="21.95" customHeight="1" x14ac:dyDescent="0.4">
      <c r="B8" s="348" t="s">
        <v>38</v>
      </c>
      <c r="C8" s="349"/>
      <c r="D8" s="349"/>
      <c r="E8" s="349"/>
      <c r="F8" s="349"/>
      <c r="G8" s="349"/>
      <c r="H8" s="349"/>
      <c r="I8" s="349"/>
      <c r="J8" s="350"/>
      <c r="K8" s="351"/>
      <c r="L8" s="352"/>
      <c r="M8" s="316"/>
      <c r="N8" s="434">
        <f>SUMIF(支出入力表!$G$6:$G$1000,1,支出入力表!$N$6:$N$1000)</f>
        <v>0</v>
      </c>
      <c r="O8" s="435"/>
      <c r="P8" s="435"/>
      <c r="Q8" s="436"/>
      <c r="R8" s="434">
        <f>N8-J8</f>
        <v>0</v>
      </c>
      <c r="S8" s="435"/>
      <c r="T8" s="436"/>
      <c r="U8" s="52"/>
    </row>
    <row r="9" spans="2:23" ht="21.95" customHeight="1" x14ac:dyDescent="0.4">
      <c r="B9" s="348" t="s">
        <v>33</v>
      </c>
      <c r="C9" s="349"/>
      <c r="D9" s="349"/>
      <c r="E9" s="349"/>
      <c r="F9" s="349"/>
      <c r="G9" s="349"/>
      <c r="H9" s="349"/>
      <c r="I9" s="349"/>
      <c r="J9" s="356"/>
      <c r="K9" s="357"/>
      <c r="L9" s="358"/>
      <c r="M9" s="316"/>
      <c r="N9" s="437">
        <f>SUMIF(支出入力表!$G$6:$G$1000,2,支出入力表!$N$6:$N$1000)</f>
        <v>0</v>
      </c>
      <c r="O9" s="438"/>
      <c r="P9" s="438"/>
      <c r="Q9" s="439"/>
      <c r="R9" s="437">
        <f>N9-J9</f>
        <v>0</v>
      </c>
      <c r="S9" s="438"/>
      <c r="T9" s="439"/>
      <c r="U9" s="52"/>
    </row>
    <row r="10" spans="2:23" ht="21.95" customHeight="1" x14ac:dyDescent="0.4">
      <c r="B10" s="30"/>
      <c r="C10" s="31"/>
      <c r="D10" s="31"/>
      <c r="E10" s="344" t="s">
        <v>34</v>
      </c>
      <c r="F10" s="344"/>
      <c r="G10" s="344"/>
      <c r="H10" s="344"/>
      <c r="I10" s="344"/>
      <c r="J10" s="461">
        <f>SUM(J11:L22)</f>
        <v>0</v>
      </c>
      <c r="K10" s="462"/>
      <c r="L10" s="463"/>
      <c r="M10" s="316"/>
      <c r="N10" s="437">
        <f>SUM(N11:Q22)</f>
        <v>0</v>
      </c>
      <c r="O10" s="438"/>
      <c r="P10" s="438"/>
      <c r="Q10" s="439"/>
      <c r="R10" s="437">
        <f>N10-J10</f>
        <v>0</v>
      </c>
      <c r="S10" s="438"/>
      <c r="T10" s="439"/>
      <c r="U10" s="52"/>
    </row>
    <row r="11" spans="2:23" ht="21.95" customHeight="1" x14ac:dyDescent="0.4">
      <c r="B11" s="30"/>
      <c r="C11" s="31"/>
      <c r="D11" s="31"/>
      <c r="E11" s="329" t="s">
        <v>99</v>
      </c>
      <c r="F11" s="330"/>
      <c r="G11" s="330"/>
      <c r="H11" s="330"/>
      <c r="I11" s="330"/>
      <c r="J11" s="331"/>
      <c r="K11" s="332"/>
      <c r="L11" s="333"/>
      <c r="M11" s="316"/>
      <c r="N11" s="440">
        <f>SUMIF(支出入力表!$G$6:$G$1000,3,支出入力表!$N$6:$N$1000)</f>
        <v>0</v>
      </c>
      <c r="O11" s="441"/>
      <c r="P11" s="441"/>
      <c r="Q11" s="442"/>
      <c r="R11" s="440">
        <f t="shared" ref="R11:R21" si="0">N11-J11</f>
        <v>0</v>
      </c>
      <c r="S11" s="441"/>
      <c r="T11" s="442"/>
      <c r="U11" s="52"/>
      <c r="W11" s="27"/>
    </row>
    <row r="12" spans="2:23" ht="21.95" customHeight="1" x14ac:dyDescent="0.4">
      <c r="B12" s="30"/>
      <c r="C12" s="31"/>
      <c r="D12" s="31"/>
      <c r="E12" s="318" t="s">
        <v>100</v>
      </c>
      <c r="F12" s="246"/>
      <c r="G12" s="246"/>
      <c r="H12" s="246"/>
      <c r="I12" s="246"/>
      <c r="J12" s="303"/>
      <c r="K12" s="304"/>
      <c r="L12" s="305"/>
      <c r="M12" s="316"/>
      <c r="N12" s="443">
        <f>SUMIF(支出入力表!$G$6:$G$1000,4,支出入力表!$N$6:$N$1000)</f>
        <v>0</v>
      </c>
      <c r="O12" s="444"/>
      <c r="P12" s="444"/>
      <c r="Q12" s="445"/>
      <c r="R12" s="443">
        <f t="shared" si="0"/>
        <v>0</v>
      </c>
      <c r="S12" s="444"/>
      <c r="T12" s="445"/>
      <c r="U12" s="52"/>
    </row>
    <row r="13" spans="2:23" ht="21.95" customHeight="1" x14ac:dyDescent="0.4">
      <c r="B13" s="30"/>
      <c r="C13" s="31"/>
      <c r="D13" s="31"/>
      <c r="E13" s="324" t="s">
        <v>101</v>
      </c>
      <c r="F13" s="325"/>
      <c r="G13" s="325"/>
      <c r="H13" s="325"/>
      <c r="I13" s="325"/>
      <c r="J13" s="303"/>
      <c r="K13" s="304"/>
      <c r="L13" s="305"/>
      <c r="M13" s="316"/>
      <c r="N13" s="443">
        <f>SUMIF(支出入力表!$G$6:$G$1000,5,支出入力表!$N$6:$N$1000)</f>
        <v>0</v>
      </c>
      <c r="O13" s="444"/>
      <c r="P13" s="444"/>
      <c r="Q13" s="445"/>
      <c r="R13" s="446">
        <f t="shared" si="0"/>
        <v>0</v>
      </c>
      <c r="S13" s="447"/>
      <c r="T13" s="448"/>
      <c r="U13" s="52"/>
    </row>
    <row r="14" spans="2:23" ht="21.95" customHeight="1" x14ac:dyDescent="0.4">
      <c r="B14" s="30"/>
      <c r="C14" s="31"/>
      <c r="D14" s="31"/>
      <c r="E14" s="318" t="s">
        <v>102</v>
      </c>
      <c r="F14" s="246"/>
      <c r="G14" s="246"/>
      <c r="H14" s="246"/>
      <c r="I14" s="246"/>
      <c r="J14" s="303"/>
      <c r="K14" s="304"/>
      <c r="L14" s="305"/>
      <c r="M14" s="316"/>
      <c r="N14" s="443">
        <f>SUMIF(支出入力表!$G$6:$G$1000,6,支出入力表!$N$6:$N$1000)</f>
        <v>0</v>
      </c>
      <c r="O14" s="444"/>
      <c r="P14" s="444"/>
      <c r="Q14" s="445"/>
      <c r="R14" s="443">
        <f t="shared" si="0"/>
        <v>0</v>
      </c>
      <c r="S14" s="444"/>
      <c r="T14" s="445"/>
      <c r="U14" s="52"/>
    </row>
    <row r="15" spans="2:23" ht="21.95" customHeight="1" x14ac:dyDescent="0.4">
      <c r="B15" s="321"/>
      <c r="C15" s="322"/>
      <c r="D15" s="323"/>
      <c r="E15" s="318" t="s">
        <v>103</v>
      </c>
      <c r="F15" s="246"/>
      <c r="G15" s="246"/>
      <c r="H15" s="246"/>
      <c r="I15" s="246"/>
      <c r="J15" s="303"/>
      <c r="K15" s="304"/>
      <c r="L15" s="305"/>
      <c r="M15" s="316"/>
      <c r="N15" s="443">
        <f>SUMIF(支出入力表!$G$6:$G$1000,7,支出入力表!$N$6:$N$1000)</f>
        <v>0</v>
      </c>
      <c r="O15" s="444"/>
      <c r="P15" s="444"/>
      <c r="Q15" s="445"/>
      <c r="R15" s="443">
        <f t="shared" si="0"/>
        <v>0</v>
      </c>
      <c r="S15" s="444"/>
      <c r="T15" s="445"/>
      <c r="U15" s="52"/>
    </row>
    <row r="16" spans="2:23" ht="21.95" customHeight="1" x14ac:dyDescent="0.4">
      <c r="B16" s="326" t="s">
        <v>127</v>
      </c>
      <c r="C16" s="327"/>
      <c r="D16" s="328"/>
      <c r="E16" s="324" t="s">
        <v>104</v>
      </c>
      <c r="F16" s="325"/>
      <c r="G16" s="325"/>
      <c r="H16" s="325"/>
      <c r="I16" s="325"/>
      <c r="J16" s="303"/>
      <c r="K16" s="304"/>
      <c r="L16" s="305"/>
      <c r="M16" s="316"/>
      <c r="N16" s="443">
        <f>SUMIF(支出入力表!$G$6:$G$1000,8,支出入力表!$N$6:$N$1000)</f>
        <v>0</v>
      </c>
      <c r="O16" s="444"/>
      <c r="P16" s="444"/>
      <c r="Q16" s="445"/>
      <c r="R16" s="446">
        <f t="shared" si="0"/>
        <v>0</v>
      </c>
      <c r="S16" s="447"/>
      <c r="T16" s="448"/>
      <c r="U16" s="52"/>
    </row>
    <row r="17" spans="1:26" ht="21.95" customHeight="1" x14ac:dyDescent="0.4">
      <c r="B17" s="30"/>
      <c r="C17" s="31"/>
      <c r="D17" s="31"/>
      <c r="E17" s="318" t="s">
        <v>105</v>
      </c>
      <c r="F17" s="246"/>
      <c r="G17" s="246"/>
      <c r="H17" s="246"/>
      <c r="I17" s="246"/>
      <c r="J17" s="303"/>
      <c r="K17" s="304"/>
      <c r="L17" s="305"/>
      <c r="M17" s="316"/>
      <c r="N17" s="443">
        <f>SUMIF(支出入力表!$G$6:$G$1000,9,支出入力表!$N$6:$N$1000)</f>
        <v>0</v>
      </c>
      <c r="O17" s="444"/>
      <c r="P17" s="444"/>
      <c r="Q17" s="445"/>
      <c r="R17" s="443">
        <f t="shared" si="0"/>
        <v>0</v>
      </c>
      <c r="S17" s="444"/>
      <c r="T17" s="445"/>
      <c r="U17" s="52"/>
    </row>
    <row r="18" spans="1:26" ht="21.95" customHeight="1" x14ac:dyDescent="0.4">
      <c r="B18" s="30"/>
      <c r="C18" s="31"/>
      <c r="D18" s="32"/>
      <c r="E18" s="318" t="s">
        <v>106</v>
      </c>
      <c r="F18" s="246"/>
      <c r="G18" s="246"/>
      <c r="H18" s="246"/>
      <c r="I18" s="246"/>
      <c r="J18" s="303"/>
      <c r="K18" s="304"/>
      <c r="L18" s="305"/>
      <c r="M18" s="316"/>
      <c r="N18" s="443">
        <f>SUMIF(支出入力表!$G$6:$G$1000,10,支出入力表!$N$6:$N$1000)</f>
        <v>0</v>
      </c>
      <c r="O18" s="444"/>
      <c r="P18" s="444"/>
      <c r="Q18" s="445"/>
      <c r="R18" s="443">
        <f t="shared" si="0"/>
        <v>0</v>
      </c>
      <c r="S18" s="444"/>
      <c r="T18" s="445"/>
      <c r="U18" s="52"/>
    </row>
    <row r="19" spans="1:26" ht="21.95" customHeight="1" x14ac:dyDescent="0.4">
      <c r="B19" s="30"/>
      <c r="C19" s="31"/>
      <c r="D19" s="32"/>
      <c r="E19" s="112" t="s">
        <v>160</v>
      </c>
      <c r="F19" s="147"/>
      <c r="G19" s="319">
        <f>IF(N19+N25=0,0%,ROUNDDOWN(N19/N25,3))</f>
        <v>0</v>
      </c>
      <c r="H19" s="319"/>
      <c r="I19" s="320"/>
      <c r="J19" s="303"/>
      <c r="K19" s="304"/>
      <c r="L19" s="305"/>
      <c r="M19" s="316"/>
      <c r="N19" s="443">
        <f>SUMIF(支出入力表!$G$6:$G$1000,11,支出入力表!$N$6:$N$1000)</f>
        <v>0</v>
      </c>
      <c r="O19" s="444"/>
      <c r="P19" s="444"/>
      <c r="Q19" s="445"/>
      <c r="R19" s="443">
        <f t="shared" si="0"/>
        <v>0</v>
      </c>
      <c r="S19" s="444"/>
      <c r="T19" s="445"/>
      <c r="U19" s="52"/>
      <c r="W19" s="27"/>
    </row>
    <row r="20" spans="1:26" ht="21.95" customHeight="1" x14ac:dyDescent="0.4">
      <c r="B20" s="30"/>
      <c r="C20" s="31"/>
      <c r="D20" s="32"/>
      <c r="E20" s="302" t="s">
        <v>107</v>
      </c>
      <c r="F20" s="240"/>
      <c r="G20" s="240"/>
      <c r="H20" s="240"/>
      <c r="I20" s="240"/>
      <c r="J20" s="303"/>
      <c r="K20" s="304"/>
      <c r="L20" s="305"/>
      <c r="M20" s="316"/>
      <c r="N20" s="443">
        <f>SUMIF(支出入力表!$G$6:$G$1000,12,支出入力表!$N$6:$N$1000)</f>
        <v>0</v>
      </c>
      <c r="O20" s="444"/>
      <c r="P20" s="444"/>
      <c r="Q20" s="445"/>
      <c r="R20" s="443">
        <f t="shared" si="0"/>
        <v>0</v>
      </c>
      <c r="S20" s="444"/>
      <c r="T20" s="445"/>
      <c r="U20" s="52"/>
    </row>
    <row r="21" spans="1:26" ht="21.95" customHeight="1" x14ac:dyDescent="0.4">
      <c r="B21" s="30"/>
      <c r="C21" s="31"/>
      <c r="D21" s="32"/>
      <c r="E21" s="302" t="s">
        <v>108</v>
      </c>
      <c r="F21" s="240"/>
      <c r="G21" s="240"/>
      <c r="H21" s="240"/>
      <c r="I21" s="240"/>
      <c r="J21" s="303"/>
      <c r="K21" s="304"/>
      <c r="L21" s="305"/>
      <c r="M21" s="316"/>
      <c r="N21" s="443">
        <f>SUMIF(支出入力表!$G$6:$G$1000,13,支出入力表!$N$6:$N$1000)</f>
        <v>0</v>
      </c>
      <c r="O21" s="444"/>
      <c r="P21" s="444"/>
      <c r="Q21" s="445"/>
      <c r="R21" s="446">
        <f t="shared" si="0"/>
        <v>0</v>
      </c>
      <c r="S21" s="447"/>
      <c r="T21" s="448"/>
      <c r="U21" s="52"/>
    </row>
    <row r="22" spans="1:26" ht="21.95" customHeight="1" thickBot="1" x14ac:dyDescent="0.45">
      <c r="B22" s="30"/>
      <c r="C22" s="31"/>
      <c r="D22" s="31"/>
      <c r="E22" s="302" t="s">
        <v>128</v>
      </c>
      <c r="F22" s="240"/>
      <c r="G22" s="240"/>
      <c r="H22" s="240"/>
      <c r="I22" s="311"/>
      <c r="J22" s="312"/>
      <c r="K22" s="313"/>
      <c r="L22" s="314"/>
      <c r="M22" s="317"/>
      <c r="N22" s="449">
        <f>SUMIF(支出入力表!$G$6:$G$1000,14,支出入力表!$N$6:$N$1000)</f>
        <v>0</v>
      </c>
      <c r="O22" s="450"/>
      <c r="P22" s="450"/>
      <c r="Q22" s="451"/>
      <c r="R22" s="449">
        <f t="shared" ref="R22" si="1">N22-J22</f>
        <v>0</v>
      </c>
      <c r="S22" s="450"/>
      <c r="T22" s="451"/>
      <c r="U22" s="52"/>
    </row>
    <row r="23" spans="1:26" ht="25.35" customHeight="1" thickTop="1" x14ac:dyDescent="0.4">
      <c r="B23" s="306" t="s">
        <v>148</v>
      </c>
      <c r="C23" s="307"/>
      <c r="D23" s="307"/>
      <c r="E23" s="307"/>
      <c r="F23" s="307"/>
      <c r="G23" s="307"/>
      <c r="H23" s="307"/>
      <c r="I23" s="307"/>
      <c r="J23" s="452">
        <f>SUM(J8:L10)</f>
        <v>0</v>
      </c>
      <c r="K23" s="453"/>
      <c r="L23" s="454"/>
      <c r="M23" s="300" t="s">
        <v>194</v>
      </c>
      <c r="N23" s="452">
        <f>SUM(N8:Q10)</f>
        <v>0</v>
      </c>
      <c r="O23" s="453"/>
      <c r="P23" s="453"/>
      <c r="Q23" s="454"/>
      <c r="R23" s="452">
        <f t="shared" ref="R23:R24" si="2">N23-J23</f>
        <v>0</v>
      </c>
      <c r="S23" s="453"/>
      <c r="T23" s="454"/>
      <c r="U23" s="52"/>
    </row>
    <row r="24" spans="1:26" ht="29.1" customHeight="1" thickBot="1" x14ac:dyDescent="0.45">
      <c r="B24" s="286" t="s">
        <v>193</v>
      </c>
      <c r="C24" s="287"/>
      <c r="D24" s="287"/>
      <c r="E24" s="287"/>
      <c r="F24" s="287"/>
      <c r="G24" s="287"/>
      <c r="H24" s="287"/>
      <c r="I24" s="287"/>
      <c r="J24" s="288"/>
      <c r="K24" s="289"/>
      <c r="L24" s="290"/>
      <c r="M24" s="301"/>
      <c r="N24" s="455">
        <f>SUM(支出入力表!O1001:O1004)</f>
        <v>0</v>
      </c>
      <c r="O24" s="456"/>
      <c r="P24" s="456"/>
      <c r="Q24" s="457"/>
      <c r="R24" s="455">
        <f t="shared" si="2"/>
        <v>0</v>
      </c>
      <c r="S24" s="456"/>
      <c r="T24" s="457"/>
      <c r="U24" s="52"/>
      <c r="Z24" s="2"/>
    </row>
    <row r="25" spans="1:26" ht="25.35" customHeight="1" thickTop="1" thickBot="1" x14ac:dyDescent="0.45">
      <c r="B25" s="249" t="s">
        <v>154</v>
      </c>
      <c r="C25" s="250"/>
      <c r="D25" s="250"/>
      <c r="E25" s="250"/>
      <c r="F25" s="250"/>
      <c r="G25" s="250"/>
      <c r="H25" s="250"/>
      <c r="I25" s="250"/>
      <c r="J25" s="458">
        <f>SUM(J23:L24)</f>
        <v>0</v>
      </c>
      <c r="K25" s="459"/>
      <c r="L25" s="460"/>
      <c r="M25" s="180" t="s">
        <v>195</v>
      </c>
      <c r="N25" s="458">
        <f>SUM(N23:Q24)</f>
        <v>0</v>
      </c>
      <c r="O25" s="459"/>
      <c r="P25" s="459"/>
      <c r="Q25" s="460"/>
      <c r="R25" s="458">
        <f>N25-J25</f>
        <v>0</v>
      </c>
      <c r="S25" s="459"/>
      <c r="T25" s="460"/>
      <c r="U25" s="52"/>
      <c r="W25" s="27"/>
    </row>
    <row r="26" spans="1:26" s="164" customFormat="1" ht="41.25" customHeight="1" x14ac:dyDescent="0.4">
      <c r="A26" s="161"/>
      <c r="B26" s="294" t="s">
        <v>170</v>
      </c>
      <c r="C26" s="294"/>
      <c r="D26" s="294"/>
      <c r="E26" s="294"/>
      <c r="F26" s="294"/>
      <c r="G26" s="294"/>
      <c r="H26" s="294"/>
      <c r="I26" s="294"/>
      <c r="J26" s="294"/>
      <c r="K26" s="294"/>
      <c r="L26" s="294"/>
      <c r="M26" s="176"/>
      <c r="N26" s="174" t="str">
        <f>IF(G19&gt;=50%,"科目「11.委託費」 が５０％以上となっています。","")</f>
        <v/>
      </c>
      <c r="O26" s="174"/>
      <c r="P26" s="174"/>
      <c r="Q26" s="174"/>
      <c r="R26" s="174"/>
      <c r="S26" s="174"/>
      <c r="T26" s="174"/>
      <c r="U26" s="162"/>
      <c r="V26" s="161"/>
      <c r="W26" s="163"/>
      <c r="X26" s="161"/>
      <c r="Y26" s="161"/>
    </row>
    <row r="27" spans="1:26" ht="18.600000000000001" customHeight="1" thickBot="1" x14ac:dyDescent="0.25">
      <c r="B27" s="173" t="s">
        <v>230</v>
      </c>
      <c r="C27" s="173"/>
      <c r="D27" s="173"/>
      <c r="E27" s="173"/>
      <c r="F27" s="173"/>
      <c r="G27" s="173"/>
      <c r="H27" s="173"/>
      <c r="I27" s="173"/>
      <c r="J27" s="31"/>
      <c r="K27" s="31"/>
      <c r="L27" s="31"/>
      <c r="M27" s="31"/>
      <c r="N27" s="31"/>
      <c r="O27" s="31"/>
      <c r="P27" s="31"/>
      <c r="Q27" s="31"/>
      <c r="R27" s="33"/>
      <c r="S27" s="33"/>
      <c r="T27" s="31"/>
      <c r="U27" s="31"/>
    </row>
    <row r="28" spans="1:26" ht="15" customHeight="1" thickBot="1" x14ac:dyDescent="0.45">
      <c r="B28" s="261" t="s">
        <v>31</v>
      </c>
      <c r="C28" s="262"/>
      <c r="D28" s="262"/>
      <c r="E28" s="262"/>
      <c r="F28" s="262"/>
      <c r="G28" s="262"/>
      <c r="H28" s="262"/>
      <c r="I28" s="262"/>
      <c r="J28" s="267" t="s">
        <v>32</v>
      </c>
      <c r="K28" s="268"/>
      <c r="L28" s="268"/>
      <c r="M28" s="268"/>
      <c r="N28" s="268"/>
      <c r="O28" s="268"/>
      <c r="P28" s="268"/>
      <c r="Q28" s="269"/>
      <c r="R28" s="270" t="s">
        <v>166</v>
      </c>
      <c r="S28" s="262"/>
      <c r="T28" s="271"/>
      <c r="U28" s="51"/>
    </row>
    <row r="29" spans="1:26" ht="9" customHeight="1" x14ac:dyDescent="0.4">
      <c r="B29" s="263"/>
      <c r="C29" s="264"/>
      <c r="D29" s="264"/>
      <c r="E29" s="264"/>
      <c r="F29" s="264"/>
      <c r="G29" s="264"/>
      <c r="H29" s="264"/>
      <c r="I29" s="264"/>
      <c r="J29" s="261" t="s">
        <v>139</v>
      </c>
      <c r="K29" s="262"/>
      <c r="L29" s="271"/>
      <c r="M29" s="254" t="s">
        <v>195</v>
      </c>
      <c r="N29" s="261" t="s">
        <v>140</v>
      </c>
      <c r="O29" s="262"/>
      <c r="P29" s="262"/>
      <c r="Q29" s="271"/>
      <c r="R29" s="263"/>
      <c r="S29" s="264"/>
      <c r="T29" s="272"/>
      <c r="U29" s="51"/>
    </row>
    <row r="30" spans="1:26" ht="9.6" customHeight="1" thickBot="1" x14ac:dyDescent="0.45">
      <c r="B30" s="265"/>
      <c r="C30" s="266"/>
      <c r="D30" s="266"/>
      <c r="E30" s="266"/>
      <c r="F30" s="266"/>
      <c r="G30" s="266"/>
      <c r="H30" s="266"/>
      <c r="I30" s="266"/>
      <c r="J30" s="265"/>
      <c r="K30" s="266"/>
      <c r="L30" s="273"/>
      <c r="M30" s="255"/>
      <c r="N30" s="265"/>
      <c r="O30" s="266"/>
      <c r="P30" s="266"/>
      <c r="Q30" s="273"/>
      <c r="R30" s="265"/>
      <c r="S30" s="266"/>
      <c r="T30" s="273"/>
      <c r="U30" s="51"/>
      <c r="V30" s="27"/>
    </row>
    <row r="31" spans="1:26" ht="23.1" customHeight="1" x14ac:dyDescent="0.4">
      <c r="B31" s="295" t="s">
        <v>232</v>
      </c>
      <c r="C31" s="296"/>
      <c r="D31" s="296"/>
      <c r="E31" s="296"/>
      <c r="F31" s="296"/>
      <c r="G31" s="296"/>
      <c r="H31" s="296"/>
      <c r="I31" s="296"/>
      <c r="J31" s="297"/>
      <c r="K31" s="298"/>
      <c r="L31" s="299"/>
      <c r="M31" s="255"/>
      <c r="N31" s="464">
        <f>SUMIF(収入入力表!$C$6:$C$200,"支援事業における収入（参加費・利用料等）",収入入力表!$F$6:$F$200)</f>
        <v>0</v>
      </c>
      <c r="O31" s="465"/>
      <c r="P31" s="465"/>
      <c r="Q31" s="466"/>
      <c r="R31" s="464">
        <f>N31-J31</f>
        <v>0</v>
      </c>
      <c r="S31" s="465"/>
      <c r="T31" s="466"/>
      <c r="U31" s="52"/>
    </row>
    <row r="32" spans="1:26" ht="23.1" customHeight="1" x14ac:dyDescent="0.4">
      <c r="B32" s="245" t="s">
        <v>98</v>
      </c>
      <c r="C32" s="246"/>
      <c r="D32" s="246"/>
      <c r="E32" s="246"/>
      <c r="F32" s="246"/>
      <c r="G32" s="246"/>
      <c r="H32" s="246"/>
      <c r="I32" s="247"/>
      <c r="J32" s="236"/>
      <c r="K32" s="237"/>
      <c r="L32" s="238"/>
      <c r="M32" s="255"/>
      <c r="N32" s="464">
        <f>SUMIF(収入入力表!$C$6:$C$200,"利息収入（支援事業専用口座利息）",収入入力表!$F$6:$F$200)</f>
        <v>0</v>
      </c>
      <c r="O32" s="465"/>
      <c r="P32" s="465"/>
      <c r="Q32" s="466"/>
      <c r="R32" s="464">
        <f t="shared" ref="R32:R35" si="3">N32-J32</f>
        <v>0</v>
      </c>
      <c r="S32" s="465"/>
      <c r="T32" s="466"/>
      <c r="U32" s="52"/>
    </row>
    <row r="33" spans="1:25" ht="23.1" customHeight="1" x14ac:dyDescent="0.4">
      <c r="B33" s="245" t="s">
        <v>36</v>
      </c>
      <c r="C33" s="246"/>
      <c r="D33" s="246"/>
      <c r="E33" s="246"/>
      <c r="F33" s="246"/>
      <c r="G33" s="246"/>
      <c r="H33" s="246"/>
      <c r="I33" s="247"/>
      <c r="J33" s="236"/>
      <c r="K33" s="237"/>
      <c r="L33" s="238"/>
      <c r="M33" s="255"/>
      <c r="N33" s="464">
        <f>SUMIF(収入入力表!$C$6:$C$200,"寄付金・協賛金収入",収入入力表!$F$6:$F$200)</f>
        <v>0</v>
      </c>
      <c r="O33" s="465"/>
      <c r="P33" s="465"/>
      <c r="Q33" s="466"/>
      <c r="R33" s="464">
        <f t="shared" si="3"/>
        <v>0</v>
      </c>
      <c r="S33" s="465"/>
      <c r="T33" s="466"/>
      <c r="U33" s="52"/>
    </row>
    <row r="34" spans="1:25" ht="28.5" customHeight="1" x14ac:dyDescent="0.4">
      <c r="B34" s="260" t="s">
        <v>196</v>
      </c>
      <c r="C34" s="246"/>
      <c r="D34" s="246"/>
      <c r="E34" s="246"/>
      <c r="F34" s="246"/>
      <c r="G34" s="246"/>
      <c r="H34" s="246"/>
      <c r="I34" s="247"/>
      <c r="J34" s="236"/>
      <c r="K34" s="237"/>
      <c r="L34" s="238"/>
      <c r="M34" s="255"/>
      <c r="N34" s="443">
        <f>SUMIF(収入入力表!$C$6:$C$200,"国または地方公共団体及び民間からの補助金・助成金等",収入入力表!$F$6:$F$200)</f>
        <v>0</v>
      </c>
      <c r="O34" s="444"/>
      <c r="P34" s="444"/>
      <c r="Q34" s="445"/>
      <c r="R34" s="464">
        <f t="shared" ref="R34" si="4">N34-J34</f>
        <v>0</v>
      </c>
      <c r="S34" s="465"/>
      <c r="T34" s="466"/>
      <c r="U34" s="177"/>
    </row>
    <row r="35" spans="1:25" ht="23.1" customHeight="1" thickBot="1" x14ac:dyDescent="0.45">
      <c r="B35" s="239" t="s">
        <v>231</v>
      </c>
      <c r="C35" s="240"/>
      <c r="D35" s="240"/>
      <c r="E35" s="240"/>
      <c r="F35" s="240"/>
      <c r="G35" s="240"/>
      <c r="H35" s="240"/>
      <c r="I35" s="240"/>
      <c r="J35" s="241"/>
      <c r="K35" s="242"/>
      <c r="L35" s="243"/>
      <c r="M35" s="255"/>
      <c r="N35" s="464">
        <f>SUMIF(収入入力表!$C$6:$C$200,"一般会計繰入金",収入入力表!$F$6:$F$200)</f>
        <v>0</v>
      </c>
      <c r="O35" s="465"/>
      <c r="P35" s="465"/>
      <c r="Q35" s="466"/>
      <c r="R35" s="464">
        <f t="shared" si="3"/>
        <v>0</v>
      </c>
      <c r="S35" s="465"/>
      <c r="T35" s="466"/>
      <c r="U35" s="52"/>
    </row>
    <row r="36" spans="1:25" ht="25.35" customHeight="1" thickTop="1" thickBot="1" x14ac:dyDescent="0.45">
      <c r="B36" s="249" t="s">
        <v>167</v>
      </c>
      <c r="C36" s="250"/>
      <c r="D36" s="250"/>
      <c r="E36" s="250"/>
      <c r="F36" s="250"/>
      <c r="G36" s="250"/>
      <c r="H36" s="250"/>
      <c r="I36" s="250"/>
      <c r="J36" s="467">
        <f>SUM(J31:L35)</f>
        <v>0</v>
      </c>
      <c r="K36" s="468"/>
      <c r="L36" s="469"/>
      <c r="M36" s="256"/>
      <c r="N36" s="458">
        <f>SUM(N31:Q35)</f>
        <v>0</v>
      </c>
      <c r="O36" s="459"/>
      <c r="P36" s="459"/>
      <c r="Q36" s="460"/>
      <c r="R36" s="458">
        <f>N36-J36</f>
        <v>0</v>
      </c>
      <c r="S36" s="459"/>
      <c r="T36" s="460"/>
      <c r="U36" s="52"/>
    </row>
    <row r="37" spans="1:25" ht="46.5" customHeight="1" x14ac:dyDescent="0.4">
      <c r="B37" s="248" t="s">
        <v>224</v>
      </c>
      <c r="C37" s="248"/>
      <c r="D37" s="248"/>
      <c r="E37" s="248"/>
      <c r="F37" s="248"/>
      <c r="G37" s="248"/>
      <c r="H37" s="248"/>
      <c r="I37" s="248"/>
      <c r="J37" s="248"/>
      <c r="K37" s="248"/>
      <c r="L37" s="248"/>
      <c r="M37" s="179"/>
      <c r="N37" s="244" t="str">
        <f>IF(N24&lt;=N36,"","↑「（Ｂ） 寄付金その他の収入」 が 「（ｂ） 対象外経費」 を下回らないでください。")</f>
        <v/>
      </c>
      <c r="O37" s="244"/>
      <c r="P37" s="244"/>
      <c r="Q37" s="244"/>
      <c r="R37" s="244"/>
      <c r="S37" s="244"/>
      <c r="T37" s="244"/>
      <c r="U37" s="244"/>
    </row>
    <row r="38" spans="1:25" ht="18.600000000000001" customHeight="1" thickBot="1" x14ac:dyDescent="0.25">
      <c r="A38" s="27"/>
      <c r="B38" s="235" t="s">
        <v>113</v>
      </c>
      <c r="C38" s="235"/>
      <c r="D38" s="235"/>
      <c r="E38" s="235"/>
      <c r="F38" s="235"/>
      <c r="G38" s="31"/>
      <c r="H38" s="31"/>
      <c r="I38" s="31"/>
      <c r="J38" s="31"/>
      <c r="K38" s="31"/>
      <c r="L38" s="31"/>
      <c r="M38" s="31"/>
      <c r="N38" s="244"/>
      <c r="O38" s="244"/>
      <c r="P38" s="244"/>
      <c r="Q38" s="244"/>
      <c r="R38" s="244"/>
      <c r="S38" s="244"/>
      <c r="T38" s="244"/>
      <c r="U38" s="244"/>
    </row>
    <row r="39" spans="1:25" ht="20.85" customHeight="1" x14ac:dyDescent="0.4">
      <c r="B39" s="280" t="s">
        <v>149</v>
      </c>
      <c r="C39" s="275"/>
      <c r="D39" s="275"/>
      <c r="E39" s="274" t="s">
        <v>155</v>
      </c>
      <c r="F39" s="275"/>
      <c r="G39" s="275"/>
      <c r="H39" s="274" t="s">
        <v>150</v>
      </c>
      <c r="I39" s="275"/>
      <c r="J39" s="274" t="s">
        <v>163</v>
      </c>
      <c r="K39" s="282"/>
      <c r="L39" s="285" t="s">
        <v>156</v>
      </c>
      <c r="M39" s="285"/>
      <c r="N39" s="275"/>
      <c r="O39" s="275"/>
      <c r="P39" s="274" t="s">
        <v>157</v>
      </c>
      <c r="Q39" s="275"/>
      <c r="R39" s="274" t="s">
        <v>158</v>
      </c>
      <c r="S39" s="275"/>
      <c r="T39" s="276"/>
      <c r="U39" s="48"/>
      <c r="V39" s="58"/>
      <c r="W39" s="58"/>
      <c r="X39" s="58"/>
    </row>
    <row r="40" spans="1:25" ht="28.35" customHeight="1" thickBot="1" x14ac:dyDescent="0.45">
      <c r="B40" s="281"/>
      <c r="C40" s="278"/>
      <c r="D40" s="278"/>
      <c r="E40" s="277"/>
      <c r="F40" s="278"/>
      <c r="G40" s="278"/>
      <c r="H40" s="277"/>
      <c r="I40" s="278"/>
      <c r="J40" s="283"/>
      <c r="K40" s="284"/>
      <c r="L40" s="278"/>
      <c r="M40" s="278"/>
      <c r="N40" s="278"/>
      <c r="O40" s="278"/>
      <c r="P40" s="277"/>
      <c r="Q40" s="278"/>
      <c r="R40" s="277"/>
      <c r="S40" s="278"/>
      <c r="T40" s="279"/>
      <c r="U40" s="48"/>
      <c r="V40" s="58"/>
      <c r="W40" s="58"/>
      <c r="X40" s="58"/>
    </row>
    <row r="41" spans="1:25" ht="35.85" customHeight="1" thickBot="1" x14ac:dyDescent="0.45">
      <c r="B41" s="470">
        <f>N25</f>
        <v>0</v>
      </c>
      <c r="C41" s="471"/>
      <c r="D41" s="34" t="s">
        <v>26</v>
      </c>
      <c r="E41" s="472">
        <f>N36</f>
        <v>0</v>
      </c>
      <c r="F41" s="471"/>
      <c r="G41" s="34" t="s">
        <v>26</v>
      </c>
      <c r="H41" s="473">
        <f>B41-E41</f>
        <v>0</v>
      </c>
      <c r="I41" s="35" t="s">
        <v>26</v>
      </c>
      <c r="J41" s="474">
        <f>ROUNDDOWN(H41/1000,0)</f>
        <v>0</v>
      </c>
      <c r="K41" s="34" t="s">
        <v>37</v>
      </c>
      <c r="L41" s="475">
        <f>団体基本情報!D11</f>
        <v>0</v>
      </c>
      <c r="M41" s="476"/>
      <c r="N41" s="476"/>
      <c r="O41" s="62" t="s">
        <v>37</v>
      </c>
      <c r="P41" s="473">
        <f>IF(J41&gt;L41,L41,J41)</f>
        <v>0</v>
      </c>
      <c r="Q41" s="34" t="s">
        <v>37</v>
      </c>
      <c r="R41" s="472">
        <f>L41-P41</f>
        <v>0</v>
      </c>
      <c r="S41" s="477"/>
      <c r="T41" s="36" t="s">
        <v>24</v>
      </c>
      <c r="U41" s="49"/>
      <c r="Y41" s="27"/>
    </row>
    <row r="42" spans="1:25" ht="21" customHeight="1" x14ac:dyDescent="0.4">
      <c r="B42" s="13"/>
      <c r="C42" s="13"/>
      <c r="D42" s="13"/>
      <c r="E42" s="13"/>
      <c r="F42" s="31"/>
      <c r="G42" s="31"/>
      <c r="H42" s="13"/>
      <c r="I42" s="13"/>
      <c r="J42" s="13"/>
      <c r="K42" s="13"/>
      <c r="L42" s="13"/>
      <c r="M42" s="13"/>
      <c r="N42" s="13"/>
      <c r="O42" s="13"/>
      <c r="P42" s="13"/>
      <c r="Q42" s="13"/>
      <c r="R42" s="13"/>
      <c r="S42" s="13"/>
      <c r="T42" s="13"/>
      <c r="U42" s="13"/>
    </row>
    <row r="43" spans="1:25" x14ac:dyDescent="0.4">
      <c r="W43" s="27"/>
    </row>
  </sheetData>
  <sheetProtection algorithmName="SHA-512" hashValue="CD1jOzwE6UKNTjt+gIb31q3AL8F756IwWcRAAuOIwn2iHXQF7QPTvSUP4xOtyTKIe8/cbiDpQkQWiEbxCCw8Uw==" saltValue="gv8JXQhfXaEbo2WHyiOGWg==" spinCount="100000" sheet="1" formatCells="0" formatColumns="0" formatRows="0" autoFilter="0"/>
  <mergeCells count="131">
    <mergeCell ref="B1:D1"/>
    <mergeCell ref="B3:C3"/>
    <mergeCell ref="D3:K3"/>
    <mergeCell ref="J1:N1"/>
    <mergeCell ref="B2:D2"/>
    <mergeCell ref="R9:T9"/>
    <mergeCell ref="E10:I10"/>
    <mergeCell ref="J10:L10"/>
    <mergeCell ref="N10:Q10"/>
    <mergeCell ref="R10:T10"/>
    <mergeCell ref="R6:T7"/>
    <mergeCell ref="J7:L7"/>
    <mergeCell ref="N7:Q7"/>
    <mergeCell ref="B8:I8"/>
    <mergeCell ref="J8:L8"/>
    <mergeCell ref="N8:Q8"/>
    <mergeCell ref="R8:T8"/>
    <mergeCell ref="B6:I7"/>
    <mergeCell ref="J6:Q6"/>
    <mergeCell ref="B9:I9"/>
    <mergeCell ref="J9:L9"/>
    <mergeCell ref="N9:Q9"/>
    <mergeCell ref="E13:I13"/>
    <mergeCell ref="J13:L13"/>
    <mergeCell ref="N13:Q13"/>
    <mergeCell ref="R13:T13"/>
    <mergeCell ref="E14:I14"/>
    <mergeCell ref="J14:L14"/>
    <mergeCell ref="N14:Q14"/>
    <mergeCell ref="R14:T14"/>
    <mergeCell ref="E11:I11"/>
    <mergeCell ref="J11:L11"/>
    <mergeCell ref="N11:Q11"/>
    <mergeCell ref="R11:T11"/>
    <mergeCell ref="E12:I12"/>
    <mergeCell ref="J12:L12"/>
    <mergeCell ref="N12:Q12"/>
    <mergeCell ref="R12:T12"/>
    <mergeCell ref="E18:I18"/>
    <mergeCell ref="J18:L18"/>
    <mergeCell ref="N18:Q18"/>
    <mergeCell ref="R18:T18"/>
    <mergeCell ref="G19:I19"/>
    <mergeCell ref="B15:D15"/>
    <mergeCell ref="E15:I15"/>
    <mergeCell ref="J15:L15"/>
    <mergeCell ref="N15:Q15"/>
    <mergeCell ref="R15:T15"/>
    <mergeCell ref="E16:I16"/>
    <mergeCell ref="J16:L16"/>
    <mergeCell ref="N16:Q16"/>
    <mergeCell ref="R16:T16"/>
    <mergeCell ref="B16:D16"/>
    <mergeCell ref="E21:I21"/>
    <mergeCell ref="J21:L21"/>
    <mergeCell ref="N21:Q21"/>
    <mergeCell ref="R21:T21"/>
    <mergeCell ref="B23:I23"/>
    <mergeCell ref="J23:L23"/>
    <mergeCell ref="N23:Q23"/>
    <mergeCell ref="R23:T23"/>
    <mergeCell ref="E22:I22"/>
    <mergeCell ref="R22:T22"/>
    <mergeCell ref="N22:Q22"/>
    <mergeCell ref="J22:L22"/>
    <mergeCell ref="M7:M22"/>
    <mergeCell ref="J19:L19"/>
    <mergeCell ref="N19:Q19"/>
    <mergeCell ref="R19:T19"/>
    <mergeCell ref="E20:I20"/>
    <mergeCell ref="J20:L20"/>
    <mergeCell ref="N20:Q20"/>
    <mergeCell ref="R20:T20"/>
    <mergeCell ref="E17:I17"/>
    <mergeCell ref="J17:L17"/>
    <mergeCell ref="N17:Q17"/>
    <mergeCell ref="R17:T17"/>
    <mergeCell ref="N29:Q30"/>
    <mergeCell ref="B32:I32"/>
    <mergeCell ref="B24:I24"/>
    <mergeCell ref="J24:L24"/>
    <mergeCell ref="N24:Q24"/>
    <mergeCell ref="R24:T24"/>
    <mergeCell ref="B25:I25"/>
    <mergeCell ref="J25:L25"/>
    <mergeCell ref="N25:Q25"/>
    <mergeCell ref="R25:T25"/>
    <mergeCell ref="B26:L26"/>
    <mergeCell ref="B31:I31"/>
    <mergeCell ref="J31:L31"/>
    <mergeCell ref="N31:Q31"/>
    <mergeCell ref="R31:T31"/>
    <mergeCell ref="J32:L32"/>
    <mergeCell ref="N32:Q32"/>
    <mergeCell ref="R32:T32"/>
    <mergeCell ref="M23:M24"/>
    <mergeCell ref="R39:T40"/>
    <mergeCell ref="B41:C41"/>
    <mergeCell ref="E41:F41"/>
    <mergeCell ref="L41:N41"/>
    <mergeCell ref="B39:D40"/>
    <mergeCell ref="E39:G40"/>
    <mergeCell ref="H39:I40"/>
    <mergeCell ref="J39:K40"/>
    <mergeCell ref="L39:O40"/>
    <mergeCell ref="P39:Q40"/>
    <mergeCell ref="R41:S41"/>
    <mergeCell ref="B38:F38"/>
    <mergeCell ref="J33:L33"/>
    <mergeCell ref="N33:Q33"/>
    <mergeCell ref="R33:T33"/>
    <mergeCell ref="B35:I35"/>
    <mergeCell ref="J35:L35"/>
    <mergeCell ref="N35:Q35"/>
    <mergeCell ref="N37:U38"/>
    <mergeCell ref="R35:T35"/>
    <mergeCell ref="B33:I33"/>
    <mergeCell ref="B37:L37"/>
    <mergeCell ref="B36:I36"/>
    <mergeCell ref="J36:L36"/>
    <mergeCell ref="N36:Q36"/>
    <mergeCell ref="R36:T36"/>
    <mergeCell ref="M29:M36"/>
    <mergeCell ref="J34:L34"/>
    <mergeCell ref="N34:Q34"/>
    <mergeCell ref="R34:T34"/>
    <mergeCell ref="B34:I34"/>
    <mergeCell ref="B28:I30"/>
    <mergeCell ref="J28:Q28"/>
    <mergeCell ref="R28:T30"/>
    <mergeCell ref="J29:L30"/>
  </mergeCells>
  <phoneticPr fontId="4"/>
  <conditionalFormatting sqref="J8:L9 J11:L21 J24:L24 J22">
    <cfRule type="cellIs" dxfId="16" priority="11" operator="equal">
      <formula>""</formula>
    </cfRule>
  </conditionalFormatting>
  <conditionalFormatting sqref="N31:Q33 J31:L35 N35:Q35 N34">
    <cfRule type="cellIs" dxfId="15" priority="10" operator="equal">
      <formula>""</formula>
    </cfRule>
  </conditionalFormatting>
  <conditionalFormatting sqref="N37">
    <cfRule type="cellIs" dxfId="14" priority="5" operator="lessThan">
      <formula>$N$24</formula>
    </cfRule>
  </conditionalFormatting>
  <conditionalFormatting sqref="N26:T26">
    <cfRule type="expression" dxfId="13" priority="3">
      <formula>"$M$26=""委託費が50％を超えています"""</formula>
    </cfRule>
    <cfRule type="expression" dxfId="12" priority="4">
      <formula>IF(F19&gt;=50%,"委託費50％を超えています","")</formula>
    </cfRule>
  </conditionalFormatting>
  <conditionalFormatting sqref="N36:Q36">
    <cfRule type="expression" dxfId="11" priority="2">
      <formula>NOT(N37="")</formula>
    </cfRule>
  </conditionalFormatting>
  <conditionalFormatting sqref="G19:I19">
    <cfRule type="cellIs" dxfId="10" priority="1" operator="greaterThanOrEqual">
      <formula>0.5</formula>
    </cfRule>
  </conditionalFormatting>
  <dataValidations count="2">
    <dataValidation allowBlank="1" showErrorMessage="1" sqref="N24:Q24" xr:uid="{00000000-0002-0000-0800-000000000000}"/>
    <dataValidation allowBlank="1" showInputMessage="1" showErrorMessage="1" promptTitle="支援決定時の予算額" prompt="ご応募時の「支援金額調書」にご記載の金額をご入力ください。_x000a__x000a_「支援金申請書兼請求書」のご提出時（前年度２～３月頃）に、_x000a_予算を変更された場合は、ご変更後の金額となります。_x000a__x000a_事業期中に予算を変更しても、その金額を入力しないでください。" sqref="J31:L35 J8:L9 J11:L22 J24:L24" xr:uid="{8EFAA2A9-823B-404D-850C-7A1A76EE6AA9}"/>
  </dataValidations>
  <hyperlinks>
    <hyperlink ref="B1:D1" location="メニュー画面!B5" display="メニュー画面へ" xr:uid="{00000000-0004-0000-0800-000000000000}"/>
    <hyperlink ref="B2:D2" location="支出入力表!B5" display="支出入力表へ" xr:uid="{00000000-0004-0000-0800-000001000000}"/>
  </hyperlinks>
  <pageMargins left="0.70866141732283472" right="0.70866141732283472" top="0.74803149606299213" bottom="0.74803149606299213" header="0.31496062992125984" footer="0.31496062992125984"/>
  <pageSetup paperSize="9"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165"/>
  <sheetViews>
    <sheetView showGridLines="0" view="pageBreakPreview" zoomScale="80" zoomScaleNormal="100" zoomScaleSheetLayoutView="80" workbookViewId="0">
      <selection activeCell="B5" sqref="B5"/>
    </sheetView>
  </sheetViews>
  <sheetFormatPr defaultRowHeight="18.75" x14ac:dyDescent="0.4"/>
  <cols>
    <col min="1" max="1" width="2.125" style="9" customWidth="1"/>
    <col min="2" max="2" width="19" style="9" bestFit="1" customWidth="1"/>
    <col min="3" max="3" width="2.125" style="9" customWidth="1"/>
    <col min="4" max="4" width="16.625" style="9" customWidth="1"/>
    <col min="5" max="5" width="13.125" style="9" customWidth="1"/>
    <col min="6" max="6" width="3.625" style="9" customWidth="1"/>
    <col min="7" max="7" width="13.125" style="9" customWidth="1"/>
    <col min="8" max="8" width="3.625" style="9" customWidth="1"/>
    <col min="9" max="9" width="13.125" style="9" customWidth="1"/>
    <col min="10" max="10" width="3.625" style="9" customWidth="1"/>
    <col min="11" max="11" width="2.125" style="9" customWidth="1"/>
    <col min="12" max="17" width="8.625" style="9"/>
  </cols>
  <sheetData>
    <row r="1" spans="1:16" ht="36.6" customHeight="1" x14ac:dyDescent="0.4">
      <c r="B1" s="181" t="s">
        <v>79</v>
      </c>
      <c r="C1" s="64"/>
      <c r="D1" s="215" t="s">
        <v>225</v>
      </c>
      <c r="E1" s="215"/>
      <c r="F1" s="215"/>
      <c r="G1" s="215"/>
      <c r="H1" s="215"/>
      <c r="I1" s="215"/>
      <c r="J1" s="215"/>
    </row>
    <row r="2" spans="1:16" ht="27.6" customHeight="1" x14ac:dyDescent="0.4">
      <c r="B2" s="181" t="s">
        <v>129</v>
      </c>
      <c r="C2" s="53"/>
      <c r="D2" s="182" t="s">
        <v>138</v>
      </c>
      <c r="E2" s="339">
        <f>団体基本情報!D5</f>
        <v>0</v>
      </c>
      <c r="F2" s="339"/>
      <c r="G2" s="339"/>
      <c r="H2" s="339"/>
      <c r="I2" s="13"/>
      <c r="J2" s="13"/>
    </row>
    <row r="3" spans="1:16" ht="11.1" customHeight="1" thickBot="1" x14ac:dyDescent="0.45">
      <c r="B3" s="13"/>
      <c r="C3" s="13"/>
      <c r="D3" s="54"/>
      <c r="E3" s="54"/>
      <c r="F3" s="54"/>
      <c r="G3" s="54"/>
      <c r="H3" s="54"/>
      <c r="I3" s="13"/>
      <c r="J3" s="33"/>
    </row>
    <row r="4" spans="1:16" ht="27.75" thickBot="1" x14ac:dyDescent="0.45">
      <c r="B4" s="200" t="s">
        <v>226</v>
      </c>
      <c r="C4" s="366" t="s">
        <v>31</v>
      </c>
      <c r="D4" s="366"/>
      <c r="E4" s="365" t="s">
        <v>47</v>
      </c>
      <c r="F4" s="365"/>
      <c r="G4" s="366" t="s">
        <v>262</v>
      </c>
      <c r="H4" s="366"/>
      <c r="I4" s="366" t="s">
        <v>263</v>
      </c>
      <c r="J4" s="367"/>
      <c r="K4" s="27"/>
      <c r="M4" s="27"/>
    </row>
    <row r="5" spans="1:16" x14ac:dyDescent="0.4">
      <c r="A5" s="55"/>
      <c r="B5" s="478">
        <f>団体基本情報!$D$13</f>
        <v>0</v>
      </c>
      <c r="C5" s="94" t="s">
        <v>53</v>
      </c>
      <c r="D5" s="95" t="s">
        <v>0</v>
      </c>
      <c r="E5" s="482">
        <f>SUMIFS(支出入力表!$M$6:$M$1000,支出入力表!$C$6:$C$1000,"1",支出入力表!$G$6:$G$1000,"1")</f>
        <v>0</v>
      </c>
      <c r="F5" s="96" t="s">
        <v>49</v>
      </c>
      <c r="G5" s="482">
        <f>SUMIFS(支出入力表!$N$6:$N$1000,支出入力表!$C$6:$C$1000,"1",支出入力表!$G$6:$G$1000,"1")</f>
        <v>0</v>
      </c>
      <c r="H5" s="96" t="s">
        <v>49</v>
      </c>
      <c r="I5" s="482">
        <f>SUMIFS(支出入力表!$O$6:$O$1000,支出入力表!$C$6:$C$1000,"1",支出入力表!$G$6:$G$1000,"1")</f>
        <v>0</v>
      </c>
      <c r="J5" s="151" t="s">
        <v>49</v>
      </c>
      <c r="K5" s="27"/>
      <c r="M5" s="27"/>
      <c r="N5" s="27"/>
    </row>
    <row r="6" spans="1:16" x14ac:dyDescent="0.4">
      <c r="A6" s="56"/>
      <c r="B6" s="479">
        <f>団体基本情報!$D$13</f>
        <v>0</v>
      </c>
      <c r="C6" s="97" t="s">
        <v>54</v>
      </c>
      <c r="D6" s="98" t="s">
        <v>2</v>
      </c>
      <c r="E6" s="483">
        <f>SUMIFS(支出入力表!$M$6:$M$1000,支出入力表!$C$6:$C$1000,"1",支出入力表!$G$6:$G$1000,"2")</f>
        <v>0</v>
      </c>
      <c r="F6" s="99" t="s">
        <v>50</v>
      </c>
      <c r="G6" s="483">
        <f>SUMIFS(支出入力表!$N$6:$N$1000,支出入力表!$C$6:$C$1000,"1",支出入力表!$G$6:$G$1000,"2")</f>
        <v>0</v>
      </c>
      <c r="H6" s="99" t="s">
        <v>50</v>
      </c>
      <c r="I6" s="483">
        <f>SUMIFS(支出入力表!$O$6:$O$1000,支出入力表!$C$6:$C$1000,"1",支出入力表!$G$6:$G$1000,"2")</f>
        <v>0</v>
      </c>
      <c r="J6" s="152" t="s">
        <v>50</v>
      </c>
      <c r="K6" s="27"/>
      <c r="M6" s="27"/>
      <c r="N6" s="27"/>
    </row>
    <row r="7" spans="1:16" x14ac:dyDescent="0.4">
      <c r="A7" s="56"/>
      <c r="B7" s="479">
        <f>団体基本情報!$D$13</f>
        <v>0</v>
      </c>
      <c r="C7" s="97" t="s">
        <v>55</v>
      </c>
      <c r="D7" s="98" t="s">
        <v>11</v>
      </c>
      <c r="E7" s="483">
        <f>SUMIFS(支出入力表!$M$6:$M$1000,支出入力表!$C$6:$C$1000,"1",支出入力表!$G$6:$G$1000,"3")</f>
        <v>0</v>
      </c>
      <c r="F7" s="99" t="s">
        <v>50</v>
      </c>
      <c r="G7" s="483">
        <f>SUMIFS(支出入力表!$N$6:$N$1000,支出入力表!$C$6:$C$1000,"1",支出入力表!$G$6:$G$1000,"3")</f>
        <v>0</v>
      </c>
      <c r="H7" s="99" t="s">
        <v>50</v>
      </c>
      <c r="I7" s="483">
        <f>SUMIFS(支出入力表!$O$6:$O$1000,支出入力表!$C$6:$C$1000,"1",支出入力表!$G$6:$G$1000,"3")</f>
        <v>0</v>
      </c>
      <c r="J7" s="152" t="s">
        <v>50</v>
      </c>
      <c r="K7" s="27"/>
      <c r="M7" s="27"/>
      <c r="N7" s="27"/>
    </row>
    <row r="8" spans="1:16" x14ac:dyDescent="0.4">
      <c r="A8" s="56"/>
      <c r="B8" s="479">
        <f>団体基本情報!$D$13</f>
        <v>0</v>
      </c>
      <c r="C8" s="97" t="s">
        <v>56</v>
      </c>
      <c r="D8" s="98" t="s">
        <v>10</v>
      </c>
      <c r="E8" s="483">
        <f>SUMIFS(支出入力表!$M$6:$M$1000,支出入力表!$C$6:$C$1000,"1",支出入力表!$G$6:$G$1000,"4")</f>
        <v>0</v>
      </c>
      <c r="F8" s="99" t="s">
        <v>50</v>
      </c>
      <c r="G8" s="483">
        <f>SUMIFS(支出入力表!$N$6:$N$1000,支出入力表!$C$6:$C$1000,"1",支出入力表!$G$6:$G$1000,"4")</f>
        <v>0</v>
      </c>
      <c r="H8" s="99" t="s">
        <v>50</v>
      </c>
      <c r="I8" s="483">
        <f>SUMIFS(支出入力表!$O$6:$O$1000,支出入力表!$C$6:$C$1000,"1",支出入力表!$G$6:$G$1000,"4")</f>
        <v>0</v>
      </c>
      <c r="J8" s="152" t="s">
        <v>50</v>
      </c>
      <c r="K8" s="27"/>
      <c r="M8" s="27"/>
      <c r="N8" s="27"/>
      <c r="P8" s="27"/>
    </row>
    <row r="9" spans="1:16" x14ac:dyDescent="0.4">
      <c r="A9" s="56"/>
      <c r="B9" s="479">
        <f>団体基本情報!$D$13</f>
        <v>0</v>
      </c>
      <c r="C9" s="97" t="s">
        <v>57</v>
      </c>
      <c r="D9" s="98" t="s">
        <v>3</v>
      </c>
      <c r="E9" s="483">
        <f>SUMIFS(支出入力表!$M$6:$M$1000,支出入力表!$C$6:$C$1000,"1",支出入力表!$G$6:$G$1000,"5")</f>
        <v>0</v>
      </c>
      <c r="F9" s="99" t="s">
        <v>50</v>
      </c>
      <c r="G9" s="483">
        <f>SUMIFS(支出入力表!$N$6:$N$1000,支出入力表!$C$6:$C$1000,"1",支出入力表!$G$6:$G$1000,"5")</f>
        <v>0</v>
      </c>
      <c r="H9" s="99" t="s">
        <v>50</v>
      </c>
      <c r="I9" s="483">
        <f>SUMIFS(支出入力表!$O$6:$O$1000,支出入力表!$C$6:$C$1000,"1",支出入力表!$G$6:$G$1000,"5")</f>
        <v>0</v>
      </c>
      <c r="J9" s="152" t="s">
        <v>50</v>
      </c>
      <c r="K9" s="27"/>
      <c r="M9" s="27"/>
      <c r="N9" s="27"/>
      <c r="O9" s="27"/>
    </row>
    <row r="10" spans="1:16" x14ac:dyDescent="0.4">
      <c r="A10" s="56"/>
      <c r="B10" s="479">
        <f>団体基本情報!$D$13</f>
        <v>0</v>
      </c>
      <c r="C10" s="97" t="s">
        <v>58</v>
      </c>
      <c r="D10" s="98" t="s">
        <v>7</v>
      </c>
      <c r="E10" s="483">
        <f>SUMIFS(支出入力表!$M$6:$M$1000,支出入力表!$C$6:$C$1000,"1",支出入力表!$G$6:$G$1000,"6")</f>
        <v>0</v>
      </c>
      <c r="F10" s="99" t="s">
        <v>50</v>
      </c>
      <c r="G10" s="483">
        <f>SUMIFS(支出入力表!$N$6:$N$1000,支出入力表!$C$6:$C$1000,"1",支出入力表!$G$6:$G$1000,"6")</f>
        <v>0</v>
      </c>
      <c r="H10" s="99" t="s">
        <v>50</v>
      </c>
      <c r="I10" s="483">
        <f>SUMIFS(支出入力表!$O$6:$O$1000,支出入力表!$C$6:$C$1000,"1",支出入力表!$G$6:$G$1000,"6")</f>
        <v>0</v>
      </c>
      <c r="J10" s="152" t="s">
        <v>50</v>
      </c>
      <c r="K10" s="27"/>
      <c r="L10" s="27"/>
      <c r="M10" s="27"/>
      <c r="N10" s="27"/>
    </row>
    <row r="11" spans="1:16" x14ac:dyDescent="0.4">
      <c r="A11" s="56"/>
      <c r="B11" s="479">
        <f>団体基本情報!$D$13</f>
        <v>0</v>
      </c>
      <c r="C11" s="97" t="s">
        <v>59</v>
      </c>
      <c r="D11" s="98" t="s">
        <v>1</v>
      </c>
      <c r="E11" s="483">
        <f>SUMIFS(支出入力表!$M$6:$M$1000,支出入力表!$C$6:$C$1000,"1",支出入力表!$G$6:$G$1000,"7")</f>
        <v>0</v>
      </c>
      <c r="F11" s="99" t="s">
        <v>50</v>
      </c>
      <c r="G11" s="483">
        <f>SUMIFS(支出入力表!$N$6:$N$1000,支出入力表!$C$6:$C$1000,"1",支出入力表!$G$6:$G$1000,"7")</f>
        <v>0</v>
      </c>
      <c r="H11" s="99" t="s">
        <v>50</v>
      </c>
      <c r="I11" s="483">
        <f>SUMIFS(支出入力表!$O$6:$O$1000,支出入力表!$C$6:$C$1000,"1",支出入力表!$G$6:$G$1000,"7")</f>
        <v>0</v>
      </c>
      <c r="J11" s="152" t="s">
        <v>50</v>
      </c>
      <c r="K11" s="27"/>
      <c r="M11" s="27"/>
      <c r="N11" s="27"/>
    </row>
    <row r="12" spans="1:16" x14ac:dyDescent="0.4">
      <c r="A12" s="56"/>
      <c r="B12" s="479">
        <f>団体基本情報!$D$13</f>
        <v>0</v>
      </c>
      <c r="C12" s="97" t="s">
        <v>60</v>
      </c>
      <c r="D12" s="98" t="s">
        <v>4</v>
      </c>
      <c r="E12" s="483">
        <f>SUMIFS(支出入力表!$M$6:$M$1000,支出入力表!$C$6:$C$1000,"1",支出入力表!$G$6:$G$1000,"8")</f>
        <v>0</v>
      </c>
      <c r="F12" s="99" t="s">
        <v>50</v>
      </c>
      <c r="G12" s="483">
        <f>SUMIFS(支出入力表!$N$6:$N$1000,支出入力表!$C$6:$C$1000,"1",支出入力表!$G$6:$G$1000,"8")</f>
        <v>0</v>
      </c>
      <c r="H12" s="99" t="s">
        <v>50</v>
      </c>
      <c r="I12" s="483">
        <f>SUMIFS(支出入力表!$O$6:$O$1000,支出入力表!$C$6:$C$1000,"1",支出入力表!$G$6:$G$1000,"8")</f>
        <v>0</v>
      </c>
      <c r="J12" s="152" t="s">
        <v>50</v>
      </c>
      <c r="K12" s="27"/>
      <c r="M12" s="27"/>
      <c r="N12" s="27"/>
    </row>
    <row r="13" spans="1:16" x14ac:dyDescent="0.4">
      <c r="A13" s="56"/>
      <c r="B13" s="479">
        <f>団体基本情報!$D$13</f>
        <v>0</v>
      </c>
      <c r="C13" s="97" t="s">
        <v>61</v>
      </c>
      <c r="D13" s="98" t="s">
        <v>8</v>
      </c>
      <c r="E13" s="483">
        <f>SUMIFS(支出入力表!$M$6:$M$1000,支出入力表!$C$6:$C$1000,"1",支出入力表!$G$6:$G$1000,"9")</f>
        <v>0</v>
      </c>
      <c r="F13" s="99" t="s">
        <v>50</v>
      </c>
      <c r="G13" s="483">
        <f>SUMIFS(支出入力表!$N$6:$N$1000,支出入力表!$C$6:$C$1000,"1",支出入力表!$G$6:$G$1000,"9")</f>
        <v>0</v>
      </c>
      <c r="H13" s="99" t="s">
        <v>50</v>
      </c>
      <c r="I13" s="483">
        <f>SUMIFS(支出入力表!$O$6:$O$1000,支出入力表!$C$6:$C$1000,"1",支出入力表!$G$6:$G$1000,"9")</f>
        <v>0</v>
      </c>
      <c r="J13" s="152" t="s">
        <v>50</v>
      </c>
      <c r="K13" s="27"/>
      <c r="M13" s="27"/>
      <c r="N13" s="27"/>
    </row>
    <row r="14" spans="1:16" x14ac:dyDescent="0.4">
      <c r="A14" s="56"/>
      <c r="B14" s="479">
        <f>団体基本情報!$D$13</f>
        <v>0</v>
      </c>
      <c r="C14" s="97" t="s">
        <v>62</v>
      </c>
      <c r="D14" s="98" t="s">
        <v>12</v>
      </c>
      <c r="E14" s="483">
        <f>SUMIFS(支出入力表!$M$6:$M$1000,支出入力表!$C$6:$C$1000,"1",支出入力表!$G$6:$G$1000,"10")</f>
        <v>0</v>
      </c>
      <c r="F14" s="99" t="s">
        <v>50</v>
      </c>
      <c r="G14" s="483">
        <f>SUMIFS(支出入力表!$N$6:$N$1000,支出入力表!$C$6:$C$1000,"1",支出入力表!$G$6:$G$1000,"10")</f>
        <v>0</v>
      </c>
      <c r="H14" s="99" t="s">
        <v>50</v>
      </c>
      <c r="I14" s="483">
        <f>SUMIFS(支出入力表!$O$6:$O$1000,支出入力表!$C$6:$C$1000,"1",支出入力表!$G$6:$G$1000,"10")</f>
        <v>0</v>
      </c>
      <c r="J14" s="152" t="s">
        <v>50</v>
      </c>
      <c r="K14" s="27"/>
      <c r="M14" s="27"/>
      <c r="N14" s="27"/>
    </row>
    <row r="15" spans="1:16" x14ac:dyDescent="0.4">
      <c r="A15" s="56"/>
      <c r="B15" s="479">
        <f>団体基本情報!$D$13</f>
        <v>0</v>
      </c>
      <c r="C15" s="97" t="s">
        <v>63</v>
      </c>
      <c r="D15" s="98" t="s">
        <v>13</v>
      </c>
      <c r="E15" s="483">
        <f>SUMIFS(支出入力表!$M$6:$M$1000,支出入力表!$C$6:$C$1000,"1",支出入力表!$G$6:$G$1000,"11")</f>
        <v>0</v>
      </c>
      <c r="F15" s="99" t="s">
        <v>50</v>
      </c>
      <c r="G15" s="483">
        <f>SUMIFS(支出入力表!$N$6:$N$1000,支出入力表!$C$6:$C$1000,"1",支出入力表!$G$6:$G$1000,"11")</f>
        <v>0</v>
      </c>
      <c r="H15" s="99" t="s">
        <v>50</v>
      </c>
      <c r="I15" s="483">
        <f>SUMIFS(支出入力表!$O$6:$O$1000,支出入力表!$C$6:$C$1000,"1",支出入力表!$G$6:$G$1000,"11")</f>
        <v>0</v>
      </c>
      <c r="J15" s="152" t="s">
        <v>50</v>
      </c>
      <c r="K15" s="27"/>
      <c r="M15" s="27"/>
      <c r="N15" s="27"/>
    </row>
    <row r="16" spans="1:16" x14ac:dyDescent="0.4">
      <c r="A16" s="56"/>
      <c r="B16" s="479">
        <f>団体基本情報!$D$13</f>
        <v>0</v>
      </c>
      <c r="C16" s="97" t="s">
        <v>64</v>
      </c>
      <c r="D16" s="98" t="s">
        <v>9</v>
      </c>
      <c r="E16" s="483">
        <f>SUMIFS(支出入力表!$M$6:$M$1000,支出入力表!$C$6:$C$1000,"1",支出入力表!$G$6:$G$1000,"12")</f>
        <v>0</v>
      </c>
      <c r="F16" s="99" t="s">
        <v>50</v>
      </c>
      <c r="G16" s="483">
        <f>SUMIFS(支出入力表!$N$6:$N$1000,支出入力表!$C$6:$C$1000,"1",支出入力表!$G$6:$G$1000,"12")</f>
        <v>0</v>
      </c>
      <c r="H16" s="99" t="s">
        <v>50</v>
      </c>
      <c r="I16" s="483">
        <f>SUMIFS(支出入力表!$O$6:$O$1000,支出入力表!$C$6:$C$1000,"1",支出入力表!$G$6:$G$1000,"12")</f>
        <v>0</v>
      </c>
      <c r="J16" s="152" t="s">
        <v>50</v>
      </c>
      <c r="K16" s="27"/>
      <c r="M16" s="27"/>
      <c r="N16" s="27"/>
    </row>
    <row r="17" spans="1:15" x14ac:dyDescent="0.4">
      <c r="A17" s="56"/>
      <c r="B17" s="479">
        <f>団体基本情報!$D$13</f>
        <v>0</v>
      </c>
      <c r="C17" s="97" t="s">
        <v>65</v>
      </c>
      <c r="D17" s="98" t="s">
        <v>5</v>
      </c>
      <c r="E17" s="483">
        <f>SUMIFS(支出入力表!$M$6:$M$1000,支出入力表!$C$6:$C$1000,"1",支出入力表!$G$6:$G$1000,"13")</f>
        <v>0</v>
      </c>
      <c r="F17" s="99" t="s">
        <v>50</v>
      </c>
      <c r="G17" s="483">
        <f>SUMIFS(支出入力表!$N$6:$N$1000,支出入力表!$C$6:$C$1000,"1",支出入力表!$G$6:$G$1000,"13")</f>
        <v>0</v>
      </c>
      <c r="H17" s="99" t="s">
        <v>50</v>
      </c>
      <c r="I17" s="483">
        <f>SUMIFS(支出入力表!$O$6:$O$1000,支出入力表!$C$6:$C$1000,"1",支出入力表!$G$6:$G$1000,"13")</f>
        <v>0</v>
      </c>
      <c r="J17" s="152" t="s">
        <v>50</v>
      </c>
      <c r="K17" s="27"/>
      <c r="M17" s="27"/>
      <c r="N17" s="27"/>
    </row>
    <row r="18" spans="1:15" x14ac:dyDescent="0.4">
      <c r="A18" s="56"/>
      <c r="B18" s="480">
        <f>団体基本情報!$D$13</f>
        <v>0</v>
      </c>
      <c r="C18" s="97" t="s">
        <v>51</v>
      </c>
      <c r="D18" s="98" t="s">
        <v>126</v>
      </c>
      <c r="E18" s="483">
        <f>SUMIFS(支出入力表!$M$6:$M$1000,支出入力表!$C$6:$C$1000,"1",支出入力表!$G$6:$G$1000,"14")</f>
        <v>0</v>
      </c>
      <c r="F18" s="99" t="s">
        <v>50</v>
      </c>
      <c r="G18" s="483">
        <f>SUMIFS(支出入力表!$N$6:$N$1000,支出入力表!$C$6:$C$1000,"1",支出入力表!$G$6:$G$1000,"14")</f>
        <v>0</v>
      </c>
      <c r="H18" s="99" t="s">
        <v>50</v>
      </c>
      <c r="I18" s="483">
        <f>SUMIFS(支出入力表!$O$6:$O$1000,支出入力表!$C$6:$C$1000,"1",支出入力表!$G$6:$G$1000,"14")</f>
        <v>0</v>
      </c>
      <c r="J18" s="152" t="s">
        <v>50</v>
      </c>
      <c r="K18" s="27"/>
      <c r="M18" s="27"/>
      <c r="N18" s="27"/>
    </row>
    <row r="19" spans="1:15" ht="19.5" thickBot="1" x14ac:dyDescent="0.45">
      <c r="A19" s="56"/>
      <c r="B19" s="481">
        <f>団体基本情報!$D$13</f>
        <v>0</v>
      </c>
      <c r="C19" s="100" t="s">
        <v>130</v>
      </c>
      <c r="D19" s="101" t="s">
        <v>131</v>
      </c>
      <c r="E19" s="484">
        <f>SUMIFS(支出入力表!$M$6:$M$1000,支出入力表!$C$6:$C$1000,"1",支出入力表!$G$6:$G$1000,"15")</f>
        <v>0</v>
      </c>
      <c r="F19" s="102" t="s">
        <v>26</v>
      </c>
      <c r="G19" s="485" t="s">
        <v>132</v>
      </c>
      <c r="H19" s="102" t="s">
        <v>26</v>
      </c>
      <c r="I19" s="484">
        <f>SUMIFS(支出入力表!$O$6:$O$1000,支出入力表!$C$6:$C$1000,"1",支出入力表!$G$6:$G$1000,"15")</f>
        <v>0</v>
      </c>
      <c r="J19" s="153" t="s">
        <v>26</v>
      </c>
      <c r="K19" s="27"/>
      <c r="M19" s="27"/>
      <c r="N19" s="27"/>
    </row>
    <row r="20" spans="1:15" ht="19.5" thickTop="1" x14ac:dyDescent="0.4">
      <c r="A20" s="56"/>
      <c r="B20" s="114">
        <f>団体基本情報!$D$13</f>
        <v>0</v>
      </c>
      <c r="C20" s="363" t="s">
        <v>233</v>
      </c>
      <c r="D20" s="364"/>
      <c r="E20" s="115">
        <f>SUM(E5:E19)</f>
        <v>0</v>
      </c>
      <c r="F20" s="116" t="s">
        <v>50</v>
      </c>
      <c r="G20" s="115">
        <f>SUM(G5:G19)</f>
        <v>0</v>
      </c>
      <c r="H20" s="116" t="s">
        <v>50</v>
      </c>
      <c r="I20" s="115">
        <f>SUM(I5:I19)</f>
        <v>0</v>
      </c>
      <c r="J20" s="154" t="s">
        <v>50</v>
      </c>
      <c r="K20" s="27"/>
      <c r="M20" s="27"/>
      <c r="N20" s="27"/>
    </row>
    <row r="21" spans="1:15" x14ac:dyDescent="0.4">
      <c r="A21" s="55"/>
      <c r="B21" s="478">
        <f>団体基本情報!$D$14</f>
        <v>0</v>
      </c>
      <c r="C21" s="103" t="s">
        <v>53</v>
      </c>
      <c r="D21" s="104" t="s">
        <v>0</v>
      </c>
      <c r="E21" s="486">
        <f>SUMIFS(支出入力表!$M$6:$M$1000,支出入力表!$C$6:$C$1000,"2",支出入力表!$G$6:$G$1000,"1")</f>
        <v>0</v>
      </c>
      <c r="F21" s="105" t="s">
        <v>50</v>
      </c>
      <c r="G21" s="486">
        <f>SUMIFS(支出入力表!$N$6:$N$1000,支出入力表!$C$6:$C$1000,"2",支出入力表!$G$6:$G$1000,"1")</f>
        <v>0</v>
      </c>
      <c r="H21" s="105" t="s">
        <v>50</v>
      </c>
      <c r="I21" s="486">
        <f>SUMIFS(支出入力表!$O$6:$O$1000,支出入力表!$C$6:$C$1000,"2",支出入力表!$G$6:$G$1000,"1")</f>
        <v>0</v>
      </c>
      <c r="J21" s="155" t="s">
        <v>50</v>
      </c>
      <c r="K21" s="27"/>
      <c r="M21" s="27"/>
      <c r="N21" s="27"/>
    </row>
    <row r="22" spans="1:15" ht="19.5" thickBot="1" x14ac:dyDescent="0.45">
      <c r="A22" s="56"/>
      <c r="B22" s="479">
        <f>団体基本情報!$D$14</f>
        <v>0</v>
      </c>
      <c r="C22" s="97" t="s">
        <v>87</v>
      </c>
      <c r="D22" s="98" t="s">
        <v>2</v>
      </c>
      <c r="E22" s="483">
        <f>SUMIFS(支出入力表!$M$6:$M$1000,支出入力表!$C$6:$C$1000,"2",支出入力表!$G$6:$G$1000,"2")</f>
        <v>0</v>
      </c>
      <c r="F22" s="99" t="s">
        <v>50</v>
      </c>
      <c r="G22" s="483">
        <f>SUMIFS(支出入力表!$N$6:$N$1000,支出入力表!$C$6:$C$1000,"2",支出入力表!$G$6:$G$1000,"2")</f>
        <v>0</v>
      </c>
      <c r="H22" s="99" t="s">
        <v>50</v>
      </c>
      <c r="I22" s="483">
        <f>SUMIFS(支出入力表!$O$6:$O$1000,支出入力表!$C$6:$C$1000,"2",支出入力表!$G$6:$G$1000,"2")</f>
        <v>0</v>
      </c>
      <c r="J22" s="152" t="s">
        <v>50</v>
      </c>
      <c r="K22" s="27"/>
      <c r="M22" s="27"/>
      <c r="N22" s="27"/>
    </row>
    <row r="23" spans="1:15" ht="19.5" thickBot="1" x14ac:dyDescent="0.45">
      <c r="A23" s="56"/>
      <c r="B23" s="479">
        <f>団体基本情報!$D$14</f>
        <v>0</v>
      </c>
      <c r="C23" s="97" t="s">
        <v>55</v>
      </c>
      <c r="D23" s="98" t="s">
        <v>11</v>
      </c>
      <c r="E23" s="483">
        <f>SUMIFS(支出入力表!$M$6:$M$1000,支出入力表!$C$6:$C$1000,"2",支出入力表!$G$6:$G$1000,"3")</f>
        <v>0</v>
      </c>
      <c r="F23" s="99" t="s">
        <v>50</v>
      </c>
      <c r="G23" s="483">
        <f>SUMIFS(支出入力表!$N$6:$N$1000,支出入力表!$C$6:$C$1000,"2",支出入力表!$G$6:$G$1000,"3")</f>
        <v>0</v>
      </c>
      <c r="H23" s="99" t="s">
        <v>50</v>
      </c>
      <c r="I23" s="483">
        <f>SUMIFS(支出入力表!$O$6:$O$1000,支出入力表!$C$6:$C$1000,"2",支出入力表!$G$6:$G$1000,"3")</f>
        <v>0</v>
      </c>
      <c r="J23" s="152" t="s">
        <v>50</v>
      </c>
      <c r="K23" s="27"/>
      <c r="M23" s="27"/>
      <c r="N23" s="27"/>
    </row>
    <row r="24" spans="1:15" ht="19.5" thickBot="1" x14ac:dyDescent="0.45">
      <c r="A24" s="56"/>
      <c r="B24" s="479">
        <f>団体基本情報!$D$14</f>
        <v>0</v>
      </c>
      <c r="C24" s="97" t="s">
        <v>88</v>
      </c>
      <c r="D24" s="98" t="s">
        <v>10</v>
      </c>
      <c r="E24" s="483">
        <f>SUMIFS(支出入力表!$M$6:$M$1000,支出入力表!$C$6:$C$1000,"2",支出入力表!$G$6:$G$1000,"4")</f>
        <v>0</v>
      </c>
      <c r="F24" s="99" t="s">
        <v>50</v>
      </c>
      <c r="G24" s="483">
        <f>SUMIFS(支出入力表!$N$6:$N$1000,支出入力表!$C$6:$C$1000,"2",支出入力表!$G$6:$G$1000,"4")</f>
        <v>0</v>
      </c>
      <c r="H24" s="99" t="s">
        <v>50</v>
      </c>
      <c r="I24" s="483">
        <f>SUMIFS(支出入力表!$O$6:$O$1000,支出入力表!$C$6:$C$1000,"2",支出入力表!$G$6:$G$1000,"4")</f>
        <v>0</v>
      </c>
      <c r="J24" s="152" t="s">
        <v>50</v>
      </c>
      <c r="K24" s="27"/>
      <c r="M24" s="27"/>
      <c r="N24" s="27"/>
    </row>
    <row r="25" spans="1:15" ht="19.5" thickBot="1" x14ac:dyDescent="0.45">
      <c r="A25" s="56"/>
      <c r="B25" s="479">
        <f>団体基本情報!$D$14</f>
        <v>0</v>
      </c>
      <c r="C25" s="97" t="s">
        <v>89</v>
      </c>
      <c r="D25" s="98" t="s">
        <v>3</v>
      </c>
      <c r="E25" s="483">
        <f>SUMIFS(支出入力表!$M$6:$M$1000,支出入力表!$C$6:$C$1000,"2",支出入力表!$G$6:$G$1000,"5")</f>
        <v>0</v>
      </c>
      <c r="F25" s="99" t="s">
        <v>50</v>
      </c>
      <c r="G25" s="483">
        <f>SUMIFS(支出入力表!$N$6:$N$1000,支出入力表!$C$6:$C$1000,"2",支出入力表!$G$6:$G$1000,"5")</f>
        <v>0</v>
      </c>
      <c r="H25" s="99" t="s">
        <v>50</v>
      </c>
      <c r="I25" s="483">
        <f>SUMIFS(支出入力表!$O$6:$O$1000,支出入力表!$C$6:$C$1000,"2",支出入力表!$G$6:$G$1000,"5")</f>
        <v>0</v>
      </c>
      <c r="J25" s="152" t="s">
        <v>50</v>
      </c>
      <c r="K25" s="27"/>
      <c r="M25" s="27"/>
      <c r="N25" s="27"/>
      <c r="O25" s="27"/>
    </row>
    <row r="26" spans="1:15" ht="19.5" thickBot="1" x14ac:dyDescent="0.45">
      <c r="A26" s="56"/>
      <c r="B26" s="479">
        <f>団体基本情報!$D$14</f>
        <v>0</v>
      </c>
      <c r="C26" s="97" t="s">
        <v>90</v>
      </c>
      <c r="D26" s="98" t="s">
        <v>7</v>
      </c>
      <c r="E26" s="483">
        <f>SUMIFS(支出入力表!$M$6:$M$1000,支出入力表!$C$6:$C$1000,"2",支出入力表!$G$6:$G$1000,"6")</f>
        <v>0</v>
      </c>
      <c r="F26" s="99" t="s">
        <v>50</v>
      </c>
      <c r="G26" s="483">
        <f>SUMIFS(支出入力表!$N$6:$N$1000,支出入力表!$C$6:$C$1000,"2",支出入力表!$G$6:$G$1000,"6")</f>
        <v>0</v>
      </c>
      <c r="H26" s="99" t="s">
        <v>50</v>
      </c>
      <c r="I26" s="483">
        <f>SUMIFS(支出入力表!$O$6:$O$1000,支出入力表!$C$6:$C$1000,"2",支出入力表!$G$6:$G$1000,"6")</f>
        <v>0</v>
      </c>
      <c r="J26" s="152" t="s">
        <v>50</v>
      </c>
      <c r="K26" s="27"/>
      <c r="M26" s="27"/>
      <c r="N26" s="27"/>
    </row>
    <row r="27" spans="1:15" ht="19.5" thickBot="1" x14ac:dyDescent="0.45">
      <c r="A27" s="56"/>
      <c r="B27" s="479">
        <f>団体基本情報!$D$14</f>
        <v>0</v>
      </c>
      <c r="C27" s="97" t="s">
        <v>91</v>
      </c>
      <c r="D27" s="98" t="s">
        <v>1</v>
      </c>
      <c r="E27" s="483">
        <f>SUMIFS(支出入力表!$M$6:$M$1000,支出入力表!$C$6:$C$1000,"2",支出入力表!$G$6:$G$1000,"7")</f>
        <v>0</v>
      </c>
      <c r="F27" s="99" t="s">
        <v>50</v>
      </c>
      <c r="G27" s="483">
        <f>SUMIFS(支出入力表!$N$6:$N$1000,支出入力表!$C$6:$C$1000,"2",支出入力表!$G$6:$G$1000,"7")</f>
        <v>0</v>
      </c>
      <c r="H27" s="99" t="s">
        <v>50</v>
      </c>
      <c r="I27" s="483">
        <f>SUMIFS(支出入力表!$O$6:$O$1000,支出入力表!$C$6:$C$1000,"2",支出入力表!$G$6:$G$1000,"7")</f>
        <v>0</v>
      </c>
      <c r="J27" s="152" t="s">
        <v>50</v>
      </c>
      <c r="K27" s="27"/>
      <c r="M27" s="27"/>
      <c r="N27" s="27"/>
    </row>
    <row r="28" spans="1:15" ht="19.5" thickBot="1" x14ac:dyDescent="0.45">
      <c r="A28" s="56"/>
      <c r="B28" s="479">
        <f>団体基本情報!$D$14</f>
        <v>0</v>
      </c>
      <c r="C28" s="97" t="s">
        <v>92</v>
      </c>
      <c r="D28" s="98" t="s">
        <v>4</v>
      </c>
      <c r="E28" s="483">
        <f>SUMIFS(支出入力表!$M$6:$M$1000,支出入力表!$C$6:$C$1000,"2",支出入力表!$G$6:$G$1000,"8")</f>
        <v>0</v>
      </c>
      <c r="F28" s="99" t="s">
        <v>50</v>
      </c>
      <c r="G28" s="483">
        <f>SUMIFS(支出入力表!$N$6:$N$1000,支出入力表!$C$6:$C$1000,"2",支出入力表!$G$6:$G$1000,"8")</f>
        <v>0</v>
      </c>
      <c r="H28" s="99" t="s">
        <v>50</v>
      </c>
      <c r="I28" s="483">
        <f>SUMIFS(支出入力表!$O$6:$O$1000,支出入力表!$C$6:$C$1000,"2",支出入力表!$G$6:$G$1000,"8")</f>
        <v>0</v>
      </c>
      <c r="J28" s="152" t="s">
        <v>50</v>
      </c>
      <c r="K28" s="27"/>
      <c r="M28" s="27"/>
      <c r="N28" s="27"/>
    </row>
    <row r="29" spans="1:15" ht="19.5" thickBot="1" x14ac:dyDescent="0.45">
      <c r="A29" s="56"/>
      <c r="B29" s="479">
        <f>団体基本情報!$D$14</f>
        <v>0</v>
      </c>
      <c r="C29" s="97" t="s">
        <v>93</v>
      </c>
      <c r="D29" s="98" t="s">
        <v>8</v>
      </c>
      <c r="E29" s="483">
        <f>SUMIFS(支出入力表!$M$6:$M$1000,支出入力表!$C$6:$C$1000,"2",支出入力表!$G$6:$G$1000,"9")</f>
        <v>0</v>
      </c>
      <c r="F29" s="99" t="s">
        <v>50</v>
      </c>
      <c r="G29" s="483">
        <f>SUMIFS(支出入力表!$N$6:$N$1000,支出入力表!$C$6:$C$1000,"2",支出入力表!$G$6:$G$1000,"9")</f>
        <v>0</v>
      </c>
      <c r="H29" s="99" t="s">
        <v>50</v>
      </c>
      <c r="I29" s="483">
        <f>SUMIFS(支出入力表!$O$6:$O$1000,支出入力表!$C$6:$C$1000,"2",支出入力表!$G$6:$G$1000,"9")</f>
        <v>0</v>
      </c>
      <c r="J29" s="152" t="s">
        <v>50</v>
      </c>
      <c r="K29" s="27"/>
      <c r="M29" s="27"/>
      <c r="N29" s="27"/>
    </row>
    <row r="30" spans="1:15" ht="19.5" thickBot="1" x14ac:dyDescent="0.45">
      <c r="A30" s="56"/>
      <c r="B30" s="479">
        <f>団体基本情報!$D$14</f>
        <v>0</v>
      </c>
      <c r="C30" s="97" t="s">
        <v>94</v>
      </c>
      <c r="D30" s="98" t="s">
        <v>12</v>
      </c>
      <c r="E30" s="483">
        <f>SUMIFS(支出入力表!$M$6:$M$1000,支出入力表!$C$6:$C$1000,"2",支出入力表!$G$6:$G$1000,"10")</f>
        <v>0</v>
      </c>
      <c r="F30" s="99" t="s">
        <v>50</v>
      </c>
      <c r="G30" s="483">
        <f>SUMIFS(支出入力表!$N$6:$N$1000,支出入力表!$C$6:$C$1000,"2",支出入力表!$G$6:$G$1000,"10")</f>
        <v>0</v>
      </c>
      <c r="H30" s="99" t="s">
        <v>50</v>
      </c>
      <c r="I30" s="483">
        <f>SUMIFS(支出入力表!$O$6:$O$1000,支出入力表!$C$6:$C$1000,"2",支出入力表!$G$6:$G$1000,"10")</f>
        <v>0</v>
      </c>
      <c r="J30" s="152" t="s">
        <v>50</v>
      </c>
      <c r="K30" s="27"/>
      <c r="M30" s="27"/>
      <c r="N30" s="27"/>
    </row>
    <row r="31" spans="1:15" ht="19.5" thickBot="1" x14ac:dyDescent="0.45">
      <c r="A31" s="56"/>
      <c r="B31" s="479">
        <f>団体基本情報!$D$14</f>
        <v>0</v>
      </c>
      <c r="C31" s="97" t="s">
        <v>95</v>
      </c>
      <c r="D31" s="98" t="s">
        <v>13</v>
      </c>
      <c r="E31" s="483">
        <f>SUMIFS(支出入力表!$M$6:$M$1000,支出入力表!$C$6:$C$1000,"2",支出入力表!$G$6:$G$1000,"11")</f>
        <v>0</v>
      </c>
      <c r="F31" s="99" t="s">
        <v>49</v>
      </c>
      <c r="G31" s="483">
        <f>SUMIFS(支出入力表!$N$6:$N$1000,支出入力表!$C$6:$C$1000,"2",支出入力表!$G$6:$G$1000,"11")</f>
        <v>0</v>
      </c>
      <c r="H31" s="99" t="s">
        <v>49</v>
      </c>
      <c r="I31" s="483">
        <f>SUMIFS(支出入力表!$O$6:$O$1000,支出入力表!$C$6:$C$1000,"2",支出入力表!$G$6:$G$1000,"11")</f>
        <v>0</v>
      </c>
      <c r="J31" s="152" t="s">
        <v>49</v>
      </c>
      <c r="K31" s="27"/>
      <c r="M31" s="27"/>
    </row>
    <row r="32" spans="1:15" ht="19.5" thickBot="1" x14ac:dyDescent="0.45">
      <c r="A32" s="56"/>
      <c r="B32" s="479">
        <f>団体基本情報!$D$14</f>
        <v>0</v>
      </c>
      <c r="C32" s="97" t="s">
        <v>96</v>
      </c>
      <c r="D32" s="98" t="s">
        <v>9</v>
      </c>
      <c r="E32" s="483">
        <f>SUMIFS(支出入力表!$M$6:$M$1000,支出入力表!$C$6:$C$1000,"2",支出入力表!$G$6:$G$1000,"12")</f>
        <v>0</v>
      </c>
      <c r="F32" s="99" t="s">
        <v>26</v>
      </c>
      <c r="G32" s="483">
        <f>SUMIFS(支出入力表!$N$6:$N$1000,支出入力表!$C$6:$C$1000,"2",支出入力表!$G$6:$G$1000,"12")</f>
        <v>0</v>
      </c>
      <c r="H32" s="99" t="s">
        <v>26</v>
      </c>
      <c r="I32" s="483">
        <f>SUMIFS(支出入力表!$O$6:$O$1000,支出入力表!$C$6:$C$1000,"2",支出入力表!$G$6:$G$1000,"12")</f>
        <v>0</v>
      </c>
      <c r="J32" s="152" t="s">
        <v>26</v>
      </c>
      <c r="K32" s="27"/>
      <c r="M32" s="27"/>
      <c r="N32" s="27"/>
    </row>
    <row r="33" spans="1:15" ht="19.5" thickBot="1" x14ac:dyDescent="0.45">
      <c r="A33" s="56"/>
      <c r="B33" s="479">
        <f>団体基本情報!$D$14</f>
        <v>0</v>
      </c>
      <c r="C33" s="97" t="s">
        <v>97</v>
      </c>
      <c r="D33" s="98" t="s">
        <v>5</v>
      </c>
      <c r="E33" s="483">
        <f>SUMIFS(支出入力表!$M$6:$M$1000,支出入力表!$C$6:$C$1000,"2",支出入力表!$G$6:$G$1000,"13")</f>
        <v>0</v>
      </c>
      <c r="F33" s="99" t="s">
        <v>26</v>
      </c>
      <c r="G33" s="483">
        <f>SUMIFS(支出入力表!$N$6:$N$1000,支出入力表!$C$6:$C$1000,"2",支出入力表!$G$6:$G$1000,"13")</f>
        <v>0</v>
      </c>
      <c r="H33" s="99" t="s">
        <v>26</v>
      </c>
      <c r="I33" s="483">
        <f>SUMIFS(支出入力表!$O$6:$O$1000,支出入力表!$C$6:$C$1000,"2",支出入力表!$G$6:$G$1000,"13")</f>
        <v>0</v>
      </c>
      <c r="J33" s="152" t="s">
        <v>26</v>
      </c>
      <c r="K33" s="27"/>
      <c r="M33" s="27"/>
    </row>
    <row r="34" spans="1:15" ht="19.5" thickBot="1" x14ac:dyDescent="0.45">
      <c r="A34" s="56"/>
      <c r="B34" s="480">
        <f>団体基本情報!$D$14</f>
        <v>0</v>
      </c>
      <c r="C34" s="97" t="s">
        <v>52</v>
      </c>
      <c r="D34" s="98" t="s">
        <v>126</v>
      </c>
      <c r="E34" s="483">
        <f>SUMIFS(支出入力表!$M$6:$M$1000,支出入力表!$C$6:$C$1000,"2",支出入力表!$G$6:$G$1000,"14")</f>
        <v>0</v>
      </c>
      <c r="F34" s="99" t="s">
        <v>26</v>
      </c>
      <c r="G34" s="483">
        <f>SUMIFS(支出入力表!$N$6:$N$1000,支出入力表!$C$6:$C$1000,"2",支出入力表!$G$6:$G$1000,"14")</f>
        <v>0</v>
      </c>
      <c r="H34" s="99" t="s">
        <v>26</v>
      </c>
      <c r="I34" s="483">
        <f>SUMIFS(支出入力表!$O$6:$O$1000,支出入力表!$C$6:$C$1000,"2",支出入力表!$G$6:$G$1000,"14")</f>
        <v>0</v>
      </c>
      <c r="J34" s="152" t="s">
        <v>26</v>
      </c>
      <c r="K34" s="27"/>
      <c r="M34" s="27"/>
    </row>
    <row r="35" spans="1:15" ht="19.5" thickBot="1" x14ac:dyDescent="0.45">
      <c r="A35" s="56"/>
      <c r="B35" s="481">
        <f>団体基本情報!$D$14</f>
        <v>0</v>
      </c>
      <c r="C35" s="100" t="s">
        <v>130</v>
      </c>
      <c r="D35" s="101" t="s">
        <v>131</v>
      </c>
      <c r="E35" s="484">
        <f>SUMIFS(支出入力表!$M$6:$M$1000,支出入力表!$C$6:$C$1000,"2",支出入力表!$G$6:$G$1000,"15")</f>
        <v>0</v>
      </c>
      <c r="F35" s="102" t="s">
        <v>26</v>
      </c>
      <c r="G35" s="485" t="s">
        <v>133</v>
      </c>
      <c r="H35" s="102" t="s">
        <v>26</v>
      </c>
      <c r="I35" s="484">
        <f>SUMIFS(支出入力表!$O$6:$O$1000,支出入力表!$C$6:$C$1000,"2",支出入力表!$G$6:$G$1000,"15")</f>
        <v>0</v>
      </c>
      <c r="J35" s="153" t="s">
        <v>26</v>
      </c>
      <c r="K35" s="27"/>
      <c r="M35" s="27"/>
    </row>
    <row r="36" spans="1:15" ht="20.25" thickTop="1" thickBot="1" x14ac:dyDescent="0.45">
      <c r="A36" s="56"/>
      <c r="B36" s="114">
        <f>団体基本情報!$D$14</f>
        <v>0</v>
      </c>
      <c r="C36" s="361" t="s">
        <v>234</v>
      </c>
      <c r="D36" s="361"/>
      <c r="E36" s="115">
        <f>SUM(E21:E35)</f>
        <v>0</v>
      </c>
      <c r="F36" s="116" t="s">
        <v>26</v>
      </c>
      <c r="G36" s="115">
        <f>SUM(G21:G35)</f>
        <v>0</v>
      </c>
      <c r="H36" s="116" t="s">
        <v>26</v>
      </c>
      <c r="I36" s="115">
        <f>SUM(I21:I35)</f>
        <v>0</v>
      </c>
      <c r="J36" s="154" t="s">
        <v>26</v>
      </c>
      <c r="K36" s="27"/>
      <c r="M36" s="27"/>
    </row>
    <row r="37" spans="1:15" ht="19.5" thickBot="1" x14ac:dyDescent="0.45">
      <c r="A37" s="55"/>
      <c r="B37" s="478">
        <f>団体基本情報!$D$15</f>
        <v>0</v>
      </c>
      <c r="C37" s="103" t="s">
        <v>69</v>
      </c>
      <c r="D37" s="104" t="s">
        <v>0</v>
      </c>
      <c r="E37" s="486">
        <f>SUMIFS(支出入力表!$M$6:$M$1000,支出入力表!$C$6:$C$1000,"3",支出入力表!$G$6:$G$1000,"1")</f>
        <v>0</v>
      </c>
      <c r="F37" s="105" t="s">
        <v>77</v>
      </c>
      <c r="G37" s="486">
        <f>SUMIFS(支出入力表!$N$6:$N$1000,支出入力表!$C$6:$C$1000,"3",支出入力表!$G$6:$G$1000,"1")</f>
        <v>0</v>
      </c>
      <c r="H37" s="105" t="s">
        <v>77</v>
      </c>
      <c r="I37" s="486">
        <f>SUMIFS(支出入力表!$O$6:$O$1000,支出入力表!$C$6:$C$1000,"3",支出入力表!$G$6:$G$1000,"1")</f>
        <v>0</v>
      </c>
      <c r="J37" s="155" t="s">
        <v>77</v>
      </c>
      <c r="K37" s="27"/>
      <c r="M37" s="27"/>
    </row>
    <row r="38" spans="1:15" ht="19.5" thickBot="1" x14ac:dyDescent="0.45">
      <c r="A38" s="56"/>
      <c r="B38" s="479">
        <f>団体基本情報!$D$15</f>
        <v>0</v>
      </c>
      <c r="C38" s="97" t="s">
        <v>70</v>
      </c>
      <c r="D38" s="98" t="s">
        <v>2</v>
      </c>
      <c r="E38" s="483">
        <f>SUMIFS(支出入力表!$M$6:$M$1000,支出入力表!$C$6:$C$1000,"3",支出入力表!$G$6:$G$1000,"2")</f>
        <v>0</v>
      </c>
      <c r="F38" s="99" t="s">
        <v>77</v>
      </c>
      <c r="G38" s="483">
        <f>SUMIFS(支出入力表!$N$6:$N$1000,支出入力表!$C$6:$C$1000,"3",支出入力表!$G$6:$G$1000,"2")</f>
        <v>0</v>
      </c>
      <c r="H38" s="99" t="s">
        <v>77</v>
      </c>
      <c r="I38" s="483">
        <f>SUMIFS(支出入力表!$O$6:$O$1000,支出入力表!$C$6:$C$1000,"3",支出入力表!$G$6:$G$1000,"2")</f>
        <v>0</v>
      </c>
      <c r="J38" s="152" t="s">
        <v>77</v>
      </c>
      <c r="K38" s="27"/>
      <c r="M38" s="27"/>
    </row>
    <row r="39" spans="1:15" ht="19.5" thickBot="1" x14ac:dyDescent="0.45">
      <c r="A39" s="56"/>
      <c r="B39" s="479">
        <f>団体基本情報!$D$15</f>
        <v>0</v>
      </c>
      <c r="C39" s="97" t="s">
        <v>71</v>
      </c>
      <c r="D39" s="98" t="s">
        <v>11</v>
      </c>
      <c r="E39" s="483">
        <f>SUMIFS(支出入力表!$M$6:$M$1000,支出入力表!$C$6:$C$1000,"3",支出入力表!$G$6:$G$1000,"3")</f>
        <v>0</v>
      </c>
      <c r="F39" s="99" t="s">
        <v>77</v>
      </c>
      <c r="G39" s="483">
        <f>SUMIFS(支出入力表!$N$6:$N$1000,支出入力表!$C$6:$C$1000,"3",支出入力表!$G$6:$G$1000,"3")</f>
        <v>0</v>
      </c>
      <c r="H39" s="99" t="s">
        <v>77</v>
      </c>
      <c r="I39" s="483">
        <f>SUMIFS(支出入力表!$O$6:$O$1000,支出入力表!$C$6:$C$1000,"3",支出入力表!$G$6:$G$1000,"3")</f>
        <v>0</v>
      </c>
      <c r="J39" s="152" t="s">
        <v>77</v>
      </c>
      <c r="L39" s="27"/>
      <c r="M39" s="27"/>
    </row>
    <row r="40" spans="1:15" ht="19.5" thickBot="1" x14ac:dyDescent="0.45">
      <c r="A40" s="56"/>
      <c r="B40" s="479">
        <f>団体基本情報!$D$15</f>
        <v>0</v>
      </c>
      <c r="C40" s="97" t="s">
        <v>56</v>
      </c>
      <c r="D40" s="98" t="s">
        <v>10</v>
      </c>
      <c r="E40" s="483">
        <f>SUMIFS(支出入力表!$M$6:$M$1000,支出入力表!$C$6:$C$1000,"3",支出入力表!$G$6:$G$1000,"4")</f>
        <v>0</v>
      </c>
      <c r="F40" s="99" t="s">
        <v>77</v>
      </c>
      <c r="G40" s="483">
        <f>SUMIFS(支出入力表!$N$6:$N$1000,支出入力表!$C$6:$C$1000,"3",支出入力表!$G$6:$G$1000,"4")</f>
        <v>0</v>
      </c>
      <c r="H40" s="99" t="s">
        <v>77</v>
      </c>
      <c r="I40" s="483">
        <f>SUMIFS(支出入力表!$O$6:$O$1000,支出入力表!$C$6:$C$1000,"3",支出入力表!$G$6:$G$1000,"4")</f>
        <v>0</v>
      </c>
      <c r="J40" s="152" t="s">
        <v>77</v>
      </c>
      <c r="L40" s="27"/>
      <c r="M40" s="27"/>
    </row>
    <row r="41" spans="1:15" ht="19.5" thickBot="1" x14ac:dyDescent="0.45">
      <c r="A41" s="56"/>
      <c r="B41" s="479">
        <f>団体基本情報!$D$15</f>
        <v>0</v>
      </c>
      <c r="C41" s="97" t="s">
        <v>57</v>
      </c>
      <c r="D41" s="98" t="s">
        <v>3</v>
      </c>
      <c r="E41" s="483">
        <f>SUMIFS(支出入力表!$M$6:$M$1000,支出入力表!$C$6:$C$1000,"3",支出入力表!$G$6:$G$1000,"5")</f>
        <v>0</v>
      </c>
      <c r="F41" s="99" t="s">
        <v>77</v>
      </c>
      <c r="G41" s="483">
        <f>SUMIFS(支出入力表!$N$6:$N$1000,支出入力表!$C$6:$C$1000,"3",支出入力表!$G$6:$G$1000,"5")</f>
        <v>0</v>
      </c>
      <c r="H41" s="99" t="s">
        <v>77</v>
      </c>
      <c r="I41" s="483">
        <f>SUMIFS(支出入力表!$O$6:$O$1000,支出入力表!$C$6:$C$1000,"3",支出入力表!$G$6:$G$1000,"5")</f>
        <v>0</v>
      </c>
      <c r="J41" s="152" t="s">
        <v>77</v>
      </c>
      <c r="L41" s="27"/>
    </row>
    <row r="42" spans="1:15" ht="19.5" thickBot="1" x14ac:dyDescent="0.45">
      <c r="A42" s="56"/>
      <c r="B42" s="479">
        <f>団体基本情報!$D$15</f>
        <v>0</v>
      </c>
      <c r="C42" s="97" t="s">
        <v>58</v>
      </c>
      <c r="D42" s="98" t="s">
        <v>7</v>
      </c>
      <c r="E42" s="483">
        <f>SUMIFS(支出入力表!$M$6:$M$1000,支出入力表!$C$6:$C$1000,"3",支出入力表!$G$6:$G$1000,"6")</f>
        <v>0</v>
      </c>
      <c r="F42" s="99" t="s">
        <v>77</v>
      </c>
      <c r="G42" s="483">
        <f>SUMIFS(支出入力表!$N$6:$N$1000,支出入力表!$C$6:$C$1000,"3",支出入力表!$G$6:$G$1000,"6")</f>
        <v>0</v>
      </c>
      <c r="H42" s="99" t="s">
        <v>77</v>
      </c>
      <c r="I42" s="483">
        <f>SUMIFS(支出入力表!$O$6:$O$1000,支出入力表!$C$6:$C$1000,"3",支出入力表!$G$6:$G$1000,"6")</f>
        <v>0</v>
      </c>
      <c r="J42" s="152" t="s">
        <v>77</v>
      </c>
      <c r="O42" s="27"/>
    </row>
    <row r="43" spans="1:15" ht="19.5" thickBot="1" x14ac:dyDescent="0.45">
      <c r="A43" s="56"/>
      <c r="B43" s="479">
        <f>団体基本情報!$D$15</f>
        <v>0</v>
      </c>
      <c r="C43" s="97" t="s">
        <v>59</v>
      </c>
      <c r="D43" s="98" t="s">
        <v>1</v>
      </c>
      <c r="E43" s="483">
        <f>SUMIFS(支出入力表!$M$6:$M$1000,支出入力表!$C$6:$C$1000,"3",支出入力表!$G$6:$G$1000,"7")</f>
        <v>0</v>
      </c>
      <c r="F43" s="99" t="s">
        <v>77</v>
      </c>
      <c r="G43" s="483">
        <f>SUMIFS(支出入力表!$N$6:$N$1000,支出入力表!$C$6:$C$1000,"3",支出入力表!$G$6:$G$1000,"7")</f>
        <v>0</v>
      </c>
      <c r="H43" s="99" t="s">
        <v>77</v>
      </c>
      <c r="I43" s="483">
        <f>SUMIFS(支出入力表!$O$6:$O$1000,支出入力表!$C$6:$C$1000,"3",支出入力表!$G$6:$G$1000,"7")</f>
        <v>0</v>
      </c>
      <c r="J43" s="152" t="s">
        <v>77</v>
      </c>
    </row>
    <row r="44" spans="1:15" ht="19.5" thickBot="1" x14ac:dyDescent="0.45">
      <c r="A44" s="56"/>
      <c r="B44" s="479">
        <f>団体基本情報!$D$15</f>
        <v>0</v>
      </c>
      <c r="C44" s="97" t="s">
        <v>60</v>
      </c>
      <c r="D44" s="98" t="s">
        <v>4</v>
      </c>
      <c r="E44" s="483">
        <f>SUMIFS(支出入力表!$M$6:$M$1000,支出入力表!$C$6:$C$1000,"3",支出入力表!$G$6:$G$1000,"8")</f>
        <v>0</v>
      </c>
      <c r="F44" s="99" t="s">
        <v>77</v>
      </c>
      <c r="G44" s="483">
        <f>SUMIFS(支出入力表!$N$6:$N$1000,支出入力表!$C$6:$C$1000,"3",支出入力表!$G$6:$G$1000,"8")</f>
        <v>0</v>
      </c>
      <c r="H44" s="99" t="s">
        <v>77</v>
      </c>
      <c r="I44" s="483">
        <f>SUMIFS(支出入力表!$O$6:$O$1000,支出入力表!$C$6:$C$1000,"3",支出入力表!$G$6:$G$1000,"8")</f>
        <v>0</v>
      </c>
      <c r="J44" s="152" t="s">
        <v>77</v>
      </c>
    </row>
    <row r="45" spans="1:15" ht="19.5" thickBot="1" x14ac:dyDescent="0.45">
      <c r="A45" s="56"/>
      <c r="B45" s="479">
        <f>団体基本情報!$D$15</f>
        <v>0</v>
      </c>
      <c r="C45" s="97" t="s">
        <v>61</v>
      </c>
      <c r="D45" s="98" t="s">
        <v>8</v>
      </c>
      <c r="E45" s="483">
        <f>SUMIFS(支出入力表!$M$6:$M$1000,支出入力表!$C$6:$C$1000,"3",支出入力表!$G$6:$G$1000,"9")</f>
        <v>0</v>
      </c>
      <c r="F45" s="99" t="s">
        <v>77</v>
      </c>
      <c r="G45" s="483">
        <f>SUMIFS(支出入力表!$N$6:$N$1000,支出入力表!$C$6:$C$1000,"3",支出入力表!$G$6:$G$1000,"9")</f>
        <v>0</v>
      </c>
      <c r="H45" s="99" t="s">
        <v>77</v>
      </c>
      <c r="I45" s="483">
        <f>SUMIFS(支出入力表!$O$6:$O$1000,支出入力表!$C$6:$C$1000,"3",支出入力表!$G$6:$G$1000,"9")</f>
        <v>0</v>
      </c>
      <c r="J45" s="152" t="s">
        <v>77</v>
      </c>
    </row>
    <row r="46" spans="1:15" ht="19.5" thickBot="1" x14ac:dyDescent="0.45">
      <c r="A46" s="56"/>
      <c r="B46" s="479">
        <f>団体基本情報!$D$15</f>
        <v>0</v>
      </c>
      <c r="C46" s="97" t="s">
        <v>62</v>
      </c>
      <c r="D46" s="98" t="s">
        <v>12</v>
      </c>
      <c r="E46" s="483">
        <f>SUMIFS(支出入力表!$M$6:$M$1000,支出入力表!$C$6:$C$1000,"3",支出入力表!$G$6:$G$1000,"10")</f>
        <v>0</v>
      </c>
      <c r="F46" s="99" t="s">
        <v>77</v>
      </c>
      <c r="G46" s="483">
        <f>SUMIFS(支出入力表!$N$6:$N$1000,支出入力表!$C$6:$C$1000,"3",支出入力表!$G$6:$G$1000,"10")</f>
        <v>0</v>
      </c>
      <c r="H46" s="99" t="s">
        <v>77</v>
      </c>
      <c r="I46" s="483">
        <f>SUMIFS(支出入力表!$O$6:$O$1000,支出入力表!$C$6:$C$1000,"3",支出入力表!$G$6:$G$1000,"10")</f>
        <v>0</v>
      </c>
      <c r="J46" s="152" t="s">
        <v>77</v>
      </c>
    </row>
    <row r="47" spans="1:15" ht="19.5" thickBot="1" x14ac:dyDescent="0.45">
      <c r="A47" s="56"/>
      <c r="B47" s="479">
        <f>団体基本情報!$D$15</f>
        <v>0</v>
      </c>
      <c r="C47" s="97" t="s">
        <v>63</v>
      </c>
      <c r="D47" s="98" t="s">
        <v>13</v>
      </c>
      <c r="E47" s="483">
        <f>SUMIFS(支出入力表!$M$6:$M$1000,支出入力表!$C$6:$C$1000,"3",支出入力表!$G$6:$G$1000,"11")</f>
        <v>0</v>
      </c>
      <c r="F47" s="99" t="s">
        <v>77</v>
      </c>
      <c r="G47" s="483">
        <f>SUMIFS(支出入力表!$N$6:$N$1000,支出入力表!$C$6:$C$1000,"3",支出入力表!$G$6:$G$1000,"11")</f>
        <v>0</v>
      </c>
      <c r="H47" s="99" t="s">
        <v>77</v>
      </c>
      <c r="I47" s="483">
        <f>SUMIFS(支出入力表!$O$6:$O$1000,支出入力表!$C$6:$C$1000,"3",支出入力表!$G$6:$G$1000,"11")</f>
        <v>0</v>
      </c>
      <c r="J47" s="152" t="s">
        <v>77</v>
      </c>
    </row>
    <row r="48" spans="1:15" ht="19.5" thickBot="1" x14ac:dyDescent="0.45">
      <c r="A48" s="56"/>
      <c r="B48" s="479">
        <f>団体基本情報!$D$15</f>
        <v>0</v>
      </c>
      <c r="C48" s="97" t="s">
        <v>64</v>
      </c>
      <c r="D48" s="98" t="s">
        <v>9</v>
      </c>
      <c r="E48" s="483">
        <f>SUMIFS(支出入力表!$M$6:$M$1000,支出入力表!$C$6:$C$1000,"3",支出入力表!$G$6:$G$1000,"12")</f>
        <v>0</v>
      </c>
      <c r="F48" s="99" t="s">
        <v>77</v>
      </c>
      <c r="G48" s="483">
        <f>SUMIFS(支出入力表!$N$6:$N$1000,支出入力表!$C$6:$C$1000,"3",支出入力表!$G$6:$G$1000,"12")</f>
        <v>0</v>
      </c>
      <c r="H48" s="99" t="s">
        <v>77</v>
      </c>
      <c r="I48" s="483">
        <f>SUMIFS(支出入力表!$O$6:$O$1000,支出入力表!$C$6:$C$1000,"3",支出入力表!$G$6:$G$1000,"12")</f>
        <v>0</v>
      </c>
      <c r="J48" s="152" t="s">
        <v>77</v>
      </c>
    </row>
    <row r="49" spans="1:10" ht="19.5" thickBot="1" x14ac:dyDescent="0.45">
      <c r="A49" s="56"/>
      <c r="B49" s="479">
        <f>団体基本情報!$D$15</f>
        <v>0</v>
      </c>
      <c r="C49" s="97" t="s">
        <v>65</v>
      </c>
      <c r="D49" s="98" t="s">
        <v>5</v>
      </c>
      <c r="E49" s="483">
        <f>SUMIFS(支出入力表!$M$6:$M$1000,支出入力表!$C$6:$C$1000,"3",支出入力表!$G$6:$G$1000,"13")</f>
        <v>0</v>
      </c>
      <c r="F49" s="99" t="s">
        <v>77</v>
      </c>
      <c r="G49" s="483">
        <f>SUMIFS(支出入力表!$N$6:$N$1000,支出入力表!$C$6:$C$1000,"3",支出入力表!$G$6:$G$1000,"13")</f>
        <v>0</v>
      </c>
      <c r="H49" s="99" t="s">
        <v>77</v>
      </c>
      <c r="I49" s="483">
        <f>SUMIFS(支出入力表!$O$6:$O$1000,支出入力表!$C$6:$C$1000,"3",支出入力表!$G$6:$G$1000,"13")</f>
        <v>0</v>
      </c>
      <c r="J49" s="152" t="s">
        <v>77</v>
      </c>
    </row>
    <row r="50" spans="1:10" ht="19.5" thickBot="1" x14ac:dyDescent="0.45">
      <c r="A50" s="56"/>
      <c r="B50" s="480">
        <f>団体基本情報!$D$15</f>
        <v>0</v>
      </c>
      <c r="C50" s="97" t="s">
        <v>51</v>
      </c>
      <c r="D50" s="98" t="s">
        <v>126</v>
      </c>
      <c r="E50" s="483">
        <f>SUMIFS(支出入力表!$M$6:$M$1000,支出入力表!$C$6:$C$1000,"3",支出入力表!$G$6:$G$1000,"14")</f>
        <v>0</v>
      </c>
      <c r="F50" s="99" t="s">
        <v>77</v>
      </c>
      <c r="G50" s="483">
        <f>SUMIFS(支出入力表!$N$6:$N$1000,支出入力表!$C$6:$C$1000,"3",支出入力表!$G$6:$G$1000,"14")</f>
        <v>0</v>
      </c>
      <c r="H50" s="99" t="s">
        <v>77</v>
      </c>
      <c r="I50" s="483">
        <f>SUMIFS(支出入力表!$O$6:$O$1000,支出入力表!$C$6:$C$1000,"3",支出入力表!$G$6:$G$1000,"14")</f>
        <v>0</v>
      </c>
      <c r="J50" s="152" t="s">
        <v>26</v>
      </c>
    </row>
    <row r="51" spans="1:10" ht="19.5" thickBot="1" x14ac:dyDescent="0.45">
      <c r="A51" s="27"/>
      <c r="B51" s="481">
        <f>団体基本情報!$D$15</f>
        <v>0</v>
      </c>
      <c r="C51" s="100" t="s">
        <v>130</v>
      </c>
      <c r="D51" s="101" t="s">
        <v>131</v>
      </c>
      <c r="E51" s="484">
        <f>SUMIFS(支出入力表!$M$6:$M$1000,支出入力表!$C$6:$C$1000,"3",支出入力表!$G$6:$G$1000,"15")</f>
        <v>0</v>
      </c>
      <c r="F51" s="102" t="s">
        <v>26</v>
      </c>
      <c r="G51" s="485" t="s">
        <v>132</v>
      </c>
      <c r="H51" s="102" t="s">
        <v>26</v>
      </c>
      <c r="I51" s="484">
        <f>SUMIFS(支出入力表!$O$6:$O$1000,支出入力表!$C$6:$C$1000,"3",支出入力表!$G$6:$G$1000,"15")</f>
        <v>0</v>
      </c>
      <c r="J51" s="153" t="s">
        <v>26</v>
      </c>
    </row>
    <row r="52" spans="1:10" ht="20.25" thickTop="1" thickBot="1" x14ac:dyDescent="0.45">
      <c r="B52" s="114">
        <f>団体基本情報!$D$15</f>
        <v>0</v>
      </c>
      <c r="C52" s="361" t="s">
        <v>235</v>
      </c>
      <c r="D52" s="361"/>
      <c r="E52" s="115">
        <f>SUM(E37:E51)</f>
        <v>0</v>
      </c>
      <c r="F52" s="116" t="s">
        <v>77</v>
      </c>
      <c r="G52" s="115">
        <f>SUM(G37:G51)</f>
        <v>0</v>
      </c>
      <c r="H52" s="116" t="s">
        <v>77</v>
      </c>
      <c r="I52" s="115">
        <f>SUM(I37:I51)</f>
        <v>0</v>
      </c>
      <c r="J52" s="154" t="s">
        <v>77</v>
      </c>
    </row>
    <row r="53" spans="1:10" ht="19.5" thickBot="1" x14ac:dyDescent="0.45">
      <c r="A53" s="57"/>
      <c r="B53" s="478">
        <f>団体基本情報!$D$16</f>
        <v>0</v>
      </c>
      <c r="C53" s="103" t="s">
        <v>72</v>
      </c>
      <c r="D53" s="104" t="s">
        <v>0</v>
      </c>
      <c r="E53" s="486">
        <f>SUMIFS(支出入力表!$M$6:$M$1000,支出入力表!$C$6:$C$1000,"4",支出入力表!$G$6:$G$1000,"1")</f>
        <v>0</v>
      </c>
      <c r="F53" s="105" t="s">
        <v>77</v>
      </c>
      <c r="G53" s="486">
        <f>SUMIFS(支出入力表!$N$6:$N$1000,支出入力表!$C$6:$C$1000,"4",支出入力表!$G$6:$G$1000,"1")</f>
        <v>0</v>
      </c>
      <c r="H53" s="105" t="s">
        <v>77</v>
      </c>
      <c r="I53" s="486">
        <f>SUMIFS(支出入力表!$O$6:$O$1000,支出入力表!$C$6:$C$1000,"4",支出入力表!$G$6:$G$1000,"1")</f>
        <v>0</v>
      </c>
      <c r="J53" s="155" t="s">
        <v>77</v>
      </c>
    </row>
    <row r="54" spans="1:10" ht="19.5" thickBot="1" x14ac:dyDescent="0.45">
      <c r="B54" s="479">
        <f>団体基本情報!$D$16</f>
        <v>0</v>
      </c>
      <c r="C54" s="97" t="s">
        <v>73</v>
      </c>
      <c r="D54" s="98" t="s">
        <v>2</v>
      </c>
      <c r="E54" s="483">
        <f>SUMIFS(支出入力表!$M$6:$M$1000,支出入力表!$C$6:$C$1000,"4",支出入力表!$G$6:$G$1000,"2")</f>
        <v>0</v>
      </c>
      <c r="F54" s="99" t="s">
        <v>77</v>
      </c>
      <c r="G54" s="483">
        <f>SUMIFS(支出入力表!$N$6:$N$1000,支出入力表!$C$6:$C$1000,"4",支出入力表!$G$6:$G$1000,"2")</f>
        <v>0</v>
      </c>
      <c r="H54" s="99" t="s">
        <v>77</v>
      </c>
      <c r="I54" s="483">
        <f>SUMIFS(支出入力表!$O$6:$O$1000,支出入力表!$C$6:$C$1000,"4",支出入力表!$G$6:$G$1000,"2")</f>
        <v>0</v>
      </c>
      <c r="J54" s="152" t="s">
        <v>77</v>
      </c>
    </row>
    <row r="55" spans="1:10" ht="19.5" thickBot="1" x14ac:dyDescent="0.45">
      <c r="B55" s="479">
        <f>団体基本情報!$D$16</f>
        <v>0</v>
      </c>
      <c r="C55" s="97" t="s">
        <v>71</v>
      </c>
      <c r="D55" s="98" t="s">
        <v>11</v>
      </c>
      <c r="E55" s="483">
        <f>SUMIFS(支出入力表!$M$6:$M$1000,支出入力表!$C$6:$C$1000,"4",支出入力表!$G$6:$G$1000,"3")</f>
        <v>0</v>
      </c>
      <c r="F55" s="99" t="s">
        <v>77</v>
      </c>
      <c r="G55" s="483">
        <f>SUMIFS(支出入力表!$N$6:$N$1000,支出入力表!$C$6:$C$1000,"4",支出入力表!$G$6:$G$1000,"3")</f>
        <v>0</v>
      </c>
      <c r="H55" s="99" t="s">
        <v>77</v>
      </c>
      <c r="I55" s="483">
        <f>SUMIFS(支出入力表!$O$6:$O$1000,支出入力表!$C$6:$C$1000,"4",支出入力表!$G$6:$G$1000,"3")</f>
        <v>0</v>
      </c>
      <c r="J55" s="152" t="s">
        <v>77</v>
      </c>
    </row>
    <row r="56" spans="1:10" ht="19.5" thickBot="1" x14ac:dyDescent="0.45">
      <c r="B56" s="479">
        <f>団体基本情報!$D$16</f>
        <v>0</v>
      </c>
      <c r="C56" s="97" t="s">
        <v>56</v>
      </c>
      <c r="D56" s="98" t="s">
        <v>10</v>
      </c>
      <c r="E56" s="483">
        <f>SUMIFS(支出入力表!$M$6:$M$1000,支出入力表!$C$6:$C$1000,"4",支出入力表!$G$6:$G$1000,"4")</f>
        <v>0</v>
      </c>
      <c r="F56" s="99" t="s">
        <v>77</v>
      </c>
      <c r="G56" s="483">
        <f>SUMIFS(支出入力表!$N$6:$N$1000,支出入力表!$C$6:$C$1000,"4",支出入力表!$G$6:$G$1000,"4")</f>
        <v>0</v>
      </c>
      <c r="H56" s="99" t="s">
        <v>77</v>
      </c>
      <c r="I56" s="483">
        <f>SUMIFS(支出入力表!$O$6:$O$1000,支出入力表!$C$6:$C$1000,"4",支出入力表!$G$6:$G$1000,"4")</f>
        <v>0</v>
      </c>
      <c r="J56" s="152" t="s">
        <v>77</v>
      </c>
    </row>
    <row r="57" spans="1:10" ht="19.5" thickBot="1" x14ac:dyDescent="0.45">
      <c r="B57" s="479">
        <f>団体基本情報!$D$16</f>
        <v>0</v>
      </c>
      <c r="C57" s="97" t="s">
        <v>57</v>
      </c>
      <c r="D57" s="98" t="s">
        <v>3</v>
      </c>
      <c r="E57" s="483">
        <f>SUMIFS(支出入力表!$M$6:$M$1000,支出入力表!$C$6:$C$1000,"4",支出入力表!$G$6:$G$1000,"5")</f>
        <v>0</v>
      </c>
      <c r="F57" s="99" t="s">
        <v>77</v>
      </c>
      <c r="G57" s="483">
        <f>SUMIFS(支出入力表!$N$6:$N$1000,支出入力表!$C$6:$C$1000,"4",支出入力表!$G$6:$G$1000,"5")</f>
        <v>0</v>
      </c>
      <c r="H57" s="99" t="s">
        <v>77</v>
      </c>
      <c r="I57" s="483">
        <f>SUMIFS(支出入力表!$O$6:$O$1000,支出入力表!$C$6:$C$1000,"4",支出入力表!$G$6:$G$1000,"5")</f>
        <v>0</v>
      </c>
      <c r="J57" s="152" t="s">
        <v>77</v>
      </c>
    </row>
    <row r="58" spans="1:10" ht="19.5" thickBot="1" x14ac:dyDescent="0.45">
      <c r="B58" s="479">
        <f>団体基本情報!$D$16</f>
        <v>0</v>
      </c>
      <c r="C58" s="97" t="s">
        <v>58</v>
      </c>
      <c r="D58" s="98" t="s">
        <v>7</v>
      </c>
      <c r="E58" s="483">
        <f>SUMIFS(支出入力表!$M$6:$M$1000,支出入力表!$C$6:$C$1000,"4",支出入力表!$G$6:$G$1000,"6")</f>
        <v>0</v>
      </c>
      <c r="F58" s="99" t="s">
        <v>77</v>
      </c>
      <c r="G58" s="483">
        <f>SUMIFS(支出入力表!$N$6:$N$1000,支出入力表!$C$6:$C$1000,"4",支出入力表!$G$6:$G$1000,"6")</f>
        <v>0</v>
      </c>
      <c r="H58" s="99" t="s">
        <v>77</v>
      </c>
      <c r="I58" s="483">
        <f>SUMIFS(支出入力表!$O$6:$O$1000,支出入力表!$C$6:$C$1000,"4",支出入力表!$G$6:$G$1000,"6")</f>
        <v>0</v>
      </c>
      <c r="J58" s="152" t="s">
        <v>77</v>
      </c>
    </row>
    <row r="59" spans="1:10" ht="19.5" thickBot="1" x14ac:dyDescent="0.45">
      <c r="B59" s="479">
        <f>団体基本情報!$D$16</f>
        <v>0</v>
      </c>
      <c r="C59" s="97" t="s">
        <v>59</v>
      </c>
      <c r="D59" s="98" t="s">
        <v>1</v>
      </c>
      <c r="E59" s="483">
        <f>SUMIFS(支出入力表!$M$6:$M$1000,支出入力表!$C$6:$C$1000,"4",支出入力表!$G$6:$G$1000,"7")</f>
        <v>0</v>
      </c>
      <c r="F59" s="99" t="s">
        <v>77</v>
      </c>
      <c r="G59" s="483">
        <f>SUMIFS(支出入力表!$N$6:$N$1000,支出入力表!$C$6:$C$1000,"4",支出入力表!$G$6:$G$1000,"7")</f>
        <v>0</v>
      </c>
      <c r="H59" s="99" t="s">
        <v>77</v>
      </c>
      <c r="I59" s="483">
        <f>SUMIFS(支出入力表!$O$6:$O$1000,支出入力表!$C$6:$C$1000,"4",支出入力表!$G$6:$G$1000,"7")</f>
        <v>0</v>
      </c>
      <c r="J59" s="152" t="s">
        <v>77</v>
      </c>
    </row>
    <row r="60" spans="1:10" ht="19.5" thickBot="1" x14ac:dyDescent="0.45">
      <c r="B60" s="479">
        <f>団体基本情報!$D$16</f>
        <v>0</v>
      </c>
      <c r="C60" s="97" t="s">
        <v>60</v>
      </c>
      <c r="D60" s="98" t="s">
        <v>4</v>
      </c>
      <c r="E60" s="483">
        <f>SUMIFS(支出入力表!$M$6:$M$1000,支出入力表!$C$6:$C$1000,"4",支出入力表!$G$6:$G$1000,"8")</f>
        <v>0</v>
      </c>
      <c r="F60" s="99" t="s">
        <v>77</v>
      </c>
      <c r="G60" s="483">
        <f>SUMIFS(支出入力表!$N$6:$N$1000,支出入力表!$C$6:$C$1000,"4",支出入力表!$G$6:$G$1000,"8")</f>
        <v>0</v>
      </c>
      <c r="H60" s="99" t="s">
        <v>77</v>
      </c>
      <c r="I60" s="483">
        <f>SUMIFS(支出入力表!$O$6:$O$1000,支出入力表!$C$6:$C$1000,"4",支出入力表!$G$6:$G$1000,"8")</f>
        <v>0</v>
      </c>
      <c r="J60" s="152" t="s">
        <v>77</v>
      </c>
    </row>
    <row r="61" spans="1:10" ht="19.5" thickBot="1" x14ac:dyDescent="0.45">
      <c r="B61" s="479">
        <f>団体基本情報!$D$16</f>
        <v>0</v>
      </c>
      <c r="C61" s="97" t="s">
        <v>61</v>
      </c>
      <c r="D61" s="98" t="s">
        <v>8</v>
      </c>
      <c r="E61" s="483">
        <f>SUMIFS(支出入力表!$M$6:$M$1000,支出入力表!$C$6:$C$1000,"4",支出入力表!$G$6:$G$1000,"9")</f>
        <v>0</v>
      </c>
      <c r="F61" s="99" t="s">
        <v>77</v>
      </c>
      <c r="G61" s="483">
        <f>SUMIFS(支出入力表!$N$6:$N$1000,支出入力表!$C$6:$C$1000,"4",支出入力表!$G$6:$G$1000,"9")</f>
        <v>0</v>
      </c>
      <c r="H61" s="99" t="s">
        <v>77</v>
      </c>
      <c r="I61" s="483">
        <f>SUMIFS(支出入力表!$O$6:$O$1000,支出入力表!$C$6:$C$1000,"4",支出入力表!$G$6:$G$1000,"9")</f>
        <v>0</v>
      </c>
      <c r="J61" s="152" t="s">
        <v>77</v>
      </c>
    </row>
    <row r="62" spans="1:10" ht="19.5" thickBot="1" x14ac:dyDescent="0.45">
      <c r="B62" s="479">
        <f>団体基本情報!$D$16</f>
        <v>0</v>
      </c>
      <c r="C62" s="97" t="s">
        <v>62</v>
      </c>
      <c r="D62" s="98" t="s">
        <v>12</v>
      </c>
      <c r="E62" s="483">
        <f>SUMIFS(支出入力表!$M$6:$M$1000,支出入力表!$C$6:$C$1000,"4",支出入力表!$G$6:$G$1000,"10")</f>
        <v>0</v>
      </c>
      <c r="F62" s="99" t="s">
        <v>77</v>
      </c>
      <c r="G62" s="483">
        <f>SUMIFS(支出入力表!$N$6:$N$1000,支出入力表!$C$6:$C$1000,"4",支出入力表!$G$6:$G$1000,"10")</f>
        <v>0</v>
      </c>
      <c r="H62" s="99" t="s">
        <v>77</v>
      </c>
      <c r="I62" s="483">
        <f>SUMIFS(支出入力表!$O$6:$O$1000,支出入力表!$C$6:$C$1000,"4",支出入力表!$G$6:$G$1000,"10")</f>
        <v>0</v>
      </c>
      <c r="J62" s="152" t="s">
        <v>77</v>
      </c>
    </row>
    <row r="63" spans="1:10" ht="19.5" thickBot="1" x14ac:dyDescent="0.45">
      <c r="B63" s="479">
        <f>団体基本情報!$D$16</f>
        <v>0</v>
      </c>
      <c r="C63" s="97" t="s">
        <v>63</v>
      </c>
      <c r="D63" s="98" t="s">
        <v>13</v>
      </c>
      <c r="E63" s="483">
        <f>SUMIFS(支出入力表!$M$6:$M$1000,支出入力表!$C$6:$C$1000,"4",支出入力表!$G$6:$G$1000,"11")</f>
        <v>0</v>
      </c>
      <c r="F63" s="99" t="s">
        <v>77</v>
      </c>
      <c r="G63" s="483">
        <f>SUMIFS(支出入力表!$N$6:$N$1000,支出入力表!$C$6:$C$1000,"4",支出入力表!$G$6:$G$1000,"11")</f>
        <v>0</v>
      </c>
      <c r="H63" s="99" t="s">
        <v>77</v>
      </c>
      <c r="I63" s="483">
        <f>SUMIFS(支出入力表!$O$6:$O$1000,支出入力表!$C$6:$C$1000,"4",支出入力表!$G$6:$G$1000,"11")</f>
        <v>0</v>
      </c>
      <c r="J63" s="152" t="s">
        <v>77</v>
      </c>
    </row>
    <row r="64" spans="1:10" ht="19.5" thickBot="1" x14ac:dyDescent="0.45">
      <c r="B64" s="479">
        <f>団体基本情報!$D$16</f>
        <v>0</v>
      </c>
      <c r="C64" s="97" t="s">
        <v>64</v>
      </c>
      <c r="D64" s="98" t="s">
        <v>9</v>
      </c>
      <c r="E64" s="483">
        <f>SUMIFS(支出入力表!$M$6:$M$1000,支出入力表!$C$6:$C$1000,"4",支出入力表!$G$6:$G$1000,"12")</f>
        <v>0</v>
      </c>
      <c r="F64" s="99" t="s">
        <v>77</v>
      </c>
      <c r="G64" s="483">
        <f>SUMIFS(支出入力表!$N$6:$N$1000,支出入力表!$C$6:$C$1000,"4",支出入力表!$G$6:$G$1000,"12")</f>
        <v>0</v>
      </c>
      <c r="H64" s="99" t="s">
        <v>77</v>
      </c>
      <c r="I64" s="483">
        <f>SUMIFS(支出入力表!$O$6:$O$1000,支出入力表!$C$6:$C$1000,"4",支出入力表!$G$6:$G$1000,"12")</f>
        <v>0</v>
      </c>
      <c r="J64" s="152" t="s">
        <v>77</v>
      </c>
    </row>
    <row r="65" spans="2:14" ht="19.5" thickBot="1" x14ac:dyDescent="0.45">
      <c r="B65" s="479">
        <f>団体基本情報!$D$16</f>
        <v>0</v>
      </c>
      <c r="C65" s="97" t="s">
        <v>65</v>
      </c>
      <c r="D65" s="98" t="s">
        <v>5</v>
      </c>
      <c r="E65" s="483">
        <f>SUMIFS(支出入力表!$M$6:$M$1000,支出入力表!$C$6:$C$1000,"4",支出入力表!$G$6:$G$1000,"13")</f>
        <v>0</v>
      </c>
      <c r="F65" s="99" t="s">
        <v>77</v>
      </c>
      <c r="G65" s="483">
        <f>SUMIFS(支出入力表!$N$6:$N$1000,支出入力表!$C$6:$C$1000,"4",支出入力表!$G$6:$G$1000,"13")</f>
        <v>0</v>
      </c>
      <c r="H65" s="99" t="s">
        <v>77</v>
      </c>
      <c r="I65" s="483">
        <f>SUMIFS(支出入力表!$O$6:$O$1000,支出入力表!$C$6:$C$1000,"4",支出入力表!$G$6:$G$1000,"13")</f>
        <v>0</v>
      </c>
      <c r="J65" s="152" t="s">
        <v>77</v>
      </c>
    </row>
    <row r="66" spans="2:14" ht="19.5" thickBot="1" x14ac:dyDescent="0.45">
      <c r="B66" s="480">
        <f>団体基本情報!$D$16</f>
        <v>0</v>
      </c>
      <c r="C66" s="97" t="s">
        <v>51</v>
      </c>
      <c r="D66" s="98" t="s">
        <v>126</v>
      </c>
      <c r="E66" s="483">
        <f>SUMIFS(支出入力表!$M$6:$M$1000,支出入力表!$C$6:$C$1000,"4",支出入力表!$G$6:$G$1000,"14")</f>
        <v>0</v>
      </c>
      <c r="F66" s="99" t="s">
        <v>77</v>
      </c>
      <c r="G66" s="483">
        <f>SUMIFS(支出入力表!$N$6:$N$1000,支出入力表!$C$6:$C$1000,"4",支出入力表!$G$6:$G$1000,"14")</f>
        <v>0</v>
      </c>
      <c r="H66" s="99" t="s">
        <v>77</v>
      </c>
      <c r="I66" s="483">
        <f>SUMIFS(支出入力表!$O$6:$O$1000,支出入力表!$C$6:$C$1000,"4",支出入力表!$G$6:$G$1000,"14")</f>
        <v>0</v>
      </c>
      <c r="J66" s="152" t="s">
        <v>77</v>
      </c>
    </row>
    <row r="67" spans="2:14" ht="19.5" thickBot="1" x14ac:dyDescent="0.45">
      <c r="B67" s="481">
        <f>団体基本情報!$D$16</f>
        <v>0</v>
      </c>
      <c r="C67" s="100" t="s">
        <v>130</v>
      </c>
      <c r="D67" s="101" t="s">
        <v>131</v>
      </c>
      <c r="E67" s="484">
        <f>SUMIFS(支出入力表!$M$6:$M$1000,支出入力表!$C$6:$C$1000,"4",支出入力表!$G$6:$G$1000,"15")</f>
        <v>0</v>
      </c>
      <c r="F67" s="102" t="s">
        <v>26</v>
      </c>
      <c r="G67" s="485" t="s">
        <v>134</v>
      </c>
      <c r="H67" s="102" t="s">
        <v>26</v>
      </c>
      <c r="I67" s="484">
        <f>SUMIFS(支出入力表!$O$6:$O$1000,支出入力表!$C$6:$C$1000,"4",支出入力表!$G$6:$G$1000,"15")</f>
        <v>0</v>
      </c>
      <c r="J67" s="153" t="s">
        <v>26</v>
      </c>
    </row>
    <row r="68" spans="2:14" ht="20.25" thickTop="1" thickBot="1" x14ac:dyDescent="0.45">
      <c r="B68" s="114">
        <f>団体基本情報!$D$16</f>
        <v>0</v>
      </c>
      <c r="C68" s="361" t="s">
        <v>236</v>
      </c>
      <c r="D68" s="361"/>
      <c r="E68" s="115">
        <f>SUM(E53:E67)</f>
        <v>0</v>
      </c>
      <c r="F68" s="116" t="s">
        <v>77</v>
      </c>
      <c r="G68" s="115">
        <f>SUM(G53:G67)</f>
        <v>0</v>
      </c>
      <c r="H68" s="116" t="s">
        <v>77</v>
      </c>
      <c r="I68" s="115">
        <f>SUM(I53:I67)</f>
        <v>0</v>
      </c>
      <c r="J68" s="154" t="s">
        <v>77</v>
      </c>
    </row>
    <row r="69" spans="2:14" ht="19.5" thickBot="1" x14ac:dyDescent="0.45">
      <c r="B69" s="478">
        <f>団体基本情報!$D$17</f>
        <v>0</v>
      </c>
      <c r="C69" s="103" t="s">
        <v>53</v>
      </c>
      <c r="D69" s="104" t="s">
        <v>0</v>
      </c>
      <c r="E69" s="486">
        <f>SUMIFS(支出入力表!$M$6:$M$1000,支出入力表!$C$6:$C$1000,"5",支出入力表!$G$6:$G$1000,"1")</f>
        <v>0</v>
      </c>
      <c r="F69" s="105" t="s">
        <v>77</v>
      </c>
      <c r="G69" s="486">
        <f>SUMIFS(支出入力表!$N$6:$N$1000,支出入力表!$C$6:$C$1000,"5",支出入力表!$G$6:$G$1000,"1")</f>
        <v>0</v>
      </c>
      <c r="H69" s="105" t="s">
        <v>77</v>
      </c>
      <c r="I69" s="486">
        <f>SUMIFS(支出入力表!$O$6:$O$1000,支出入力表!$C$6:$C$1000,"5",支出入力表!$G$6:$G$1000,"1")</f>
        <v>0</v>
      </c>
      <c r="J69" s="155" t="s">
        <v>77</v>
      </c>
    </row>
    <row r="70" spans="2:14" ht="19.5" thickBot="1" x14ac:dyDescent="0.45">
      <c r="B70" s="479">
        <f>団体基本情報!$D$17</f>
        <v>0</v>
      </c>
      <c r="C70" s="97" t="s">
        <v>54</v>
      </c>
      <c r="D70" s="98" t="s">
        <v>2</v>
      </c>
      <c r="E70" s="483">
        <f>SUMIFS(支出入力表!$M$6:$M$1000,支出入力表!$C$6:$C$1000,"5",支出入力表!$G$6:$G$1000,"2")</f>
        <v>0</v>
      </c>
      <c r="F70" s="99" t="s">
        <v>77</v>
      </c>
      <c r="G70" s="483">
        <f>SUMIFS(支出入力表!$N$6:$N$1000,支出入力表!$C$6:$C$1000,"5",支出入力表!$G$6:$G$1000,"2")</f>
        <v>0</v>
      </c>
      <c r="H70" s="99" t="s">
        <v>77</v>
      </c>
      <c r="I70" s="483">
        <f>SUMIFS(支出入力表!$O$6:$O$1000,支出入力表!$C$6:$C$1000,"5",支出入力表!$G$6:$G$1000,"2")</f>
        <v>0</v>
      </c>
      <c r="J70" s="152" t="s">
        <v>77</v>
      </c>
    </row>
    <row r="71" spans="2:14" ht="19.5" thickBot="1" x14ac:dyDescent="0.45">
      <c r="B71" s="479">
        <f>団体基本情報!$D$17</f>
        <v>0</v>
      </c>
      <c r="C71" s="97" t="s">
        <v>74</v>
      </c>
      <c r="D71" s="98" t="s">
        <v>11</v>
      </c>
      <c r="E71" s="483">
        <f>SUMIFS(支出入力表!$M$6:$M$1000,支出入力表!$C$6:$C$1000,"5",支出入力表!$G$6:$G$1000,"3")</f>
        <v>0</v>
      </c>
      <c r="F71" s="99" t="s">
        <v>77</v>
      </c>
      <c r="G71" s="483">
        <f>SUMIFS(支出入力表!$N$6:$N$1000,支出入力表!$C$6:$C$1000,"5",支出入力表!$G$6:$G$1000,"3")</f>
        <v>0</v>
      </c>
      <c r="H71" s="99" t="s">
        <v>77</v>
      </c>
      <c r="I71" s="483">
        <f>SUMIFS(支出入力表!$O$6:$O$1000,支出入力表!$C$6:$C$1000,"5",支出入力表!$G$6:$G$1000,"3")</f>
        <v>0</v>
      </c>
      <c r="J71" s="152" t="s">
        <v>77</v>
      </c>
    </row>
    <row r="72" spans="2:14" ht="19.5" thickBot="1" x14ac:dyDescent="0.45">
      <c r="B72" s="479">
        <f>団体基本情報!$D$17</f>
        <v>0</v>
      </c>
      <c r="C72" s="97" t="s">
        <v>56</v>
      </c>
      <c r="D72" s="98" t="s">
        <v>10</v>
      </c>
      <c r="E72" s="483">
        <f>SUMIFS(支出入力表!$M$6:$M$1000,支出入力表!$C$6:$C$1000,"5",支出入力表!$G$6:$G$1000,"4")</f>
        <v>0</v>
      </c>
      <c r="F72" s="99" t="s">
        <v>77</v>
      </c>
      <c r="G72" s="483">
        <f>SUMIFS(支出入力表!$N$6:$N$1000,支出入力表!$C$6:$C$1000,"5",支出入力表!$G$6:$G$1000,"4")</f>
        <v>0</v>
      </c>
      <c r="H72" s="99" t="s">
        <v>77</v>
      </c>
      <c r="I72" s="483">
        <f>SUMIFS(支出入力表!$O$6:$O$1000,支出入力表!$C$6:$C$1000,"5",支出入力表!$G$6:$G$1000,"4")</f>
        <v>0</v>
      </c>
      <c r="J72" s="152" t="s">
        <v>77</v>
      </c>
    </row>
    <row r="73" spans="2:14" ht="19.5" thickBot="1" x14ac:dyDescent="0.45">
      <c r="B73" s="479">
        <f>団体基本情報!$D$17</f>
        <v>0</v>
      </c>
      <c r="C73" s="97" t="s">
        <v>57</v>
      </c>
      <c r="D73" s="98" t="s">
        <v>3</v>
      </c>
      <c r="E73" s="483">
        <f>SUMIFS(支出入力表!$M$6:$M$1000,支出入力表!$C$6:$C$1000,"5",支出入力表!$G$6:$G$1000,"5")</f>
        <v>0</v>
      </c>
      <c r="F73" s="99" t="s">
        <v>77</v>
      </c>
      <c r="G73" s="483">
        <f>SUMIFS(支出入力表!$N$6:$N$1000,支出入力表!$C$6:$C$1000,"5",支出入力表!$G$6:$G$1000,"5")</f>
        <v>0</v>
      </c>
      <c r="H73" s="99" t="s">
        <v>77</v>
      </c>
      <c r="I73" s="483">
        <f>SUMIFS(支出入力表!$O$6:$O$1000,支出入力表!$C$6:$C$1000,"5",支出入力表!$G$6:$G$1000,"5")</f>
        <v>0</v>
      </c>
      <c r="J73" s="152" t="s">
        <v>77</v>
      </c>
    </row>
    <row r="74" spans="2:14" ht="19.5" thickBot="1" x14ac:dyDescent="0.45">
      <c r="B74" s="479">
        <f>団体基本情報!$D$17</f>
        <v>0</v>
      </c>
      <c r="C74" s="97" t="s">
        <v>58</v>
      </c>
      <c r="D74" s="98" t="s">
        <v>7</v>
      </c>
      <c r="E74" s="483">
        <f>SUMIFS(支出入力表!$M$6:$M$1000,支出入力表!$C$6:$C$1000,"5",支出入力表!$G$6:$G$1000,"6")</f>
        <v>0</v>
      </c>
      <c r="F74" s="99" t="s">
        <v>77</v>
      </c>
      <c r="G74" s="483">
        <f>SUMIFS(支出入力表!$N$6:$N$1000,支出入力表!$C$6:$C$1000,"5",支出入力表!$G$6:$G$1000,"6")</f>
        <v>0</v>
      </c>
      <c r="H74" s="99" t="s">
        <v>77</v>
      </c>
      <c r="I74" s="483">
        <f>SUMIFS(支出入力表!$O$6:$O$1000,支出入力表!$C$6:$C$1000,"5",支出入力表!$G$6:$G$1000,"6")</f>
        <v>0</v>
      </c>
      <c r="J74" s="152" t="s">
        <v>77</v>
      </c>
    </row>
    <row r="75" spans="2:14" ht="19.5" thickBot="1" x14ac:dyDescent="0.45">
      <c r="B75" s="479">
        <f>団体基本情報!$D$17</f>
        <v>0</v>
      </c>
      <c r="C75" s="97" t="s">
        <v>59</v>
      </c>
      <c r="D75" s="98" t="s">
        <v>1</v>
      </c>
      <c r="E75" s="483">
        <f>SUMIFS(支出入力表!$M$6:$M$1000,支出入力表!$C$6:$C$1000,"5",支出入力表!$G$6:$G$1000,"7")</f>
        <v>0</v>
      </c>
      <c r="F75" s="99" t="s">
        <v>77</v>
      </c>
      <c r="G75" s="483">
        <f>SUMIFS(支出入力表!$N$6:$N$1000,支出入力表!$C$6:$C$1000,"5",支出入力表!$G$6:$G$1000,"7")</f>
        <v>0</v>
      </c>
      <c r="H75" s="99" t="s">
        <v>77</v>
      </c>
      <c r="I75" s="483">
        <f>SUMIFS(支出入力表!$O$6:$O$1000,支出入力表!$C$6:$C$1000,"5",支出入力表!$G$6:$G$1000,"7")</f>
        <v>0</v>
      </c>
      <c r="J75" s="152" t="s">
        <v>77</v>
      </c>
      <c r="N75" s="27"/>
    </row>
    <row r="76" spans="2:14" ht="19.5" thickBot="1" x14ac:dyDescent="0.45">
      <c r="B76" s="479">
        <f>団体基本情報!$D$17</f>
        <v>0</v>
      </c>
      <c r="C76" s="97" t="s">
        <v>60</v>
      </c>
      <c r="D76" s="98" t="s">
        <v>4</v>
      </c>
      <c r="E76" s="483">
        <f>SUMIFS(支出入力表!$M$6:$M$1000,支出入力表!$C$6:$C$1000,"5",支出入力表!$G$6:$G$1000,"8")</f>
        <v>0</v>
      </c>
      <c r="F76" s="99" t="s">
        <v>77</v>
      </c>
      <c r="G76" s="483">
        <f>SUMIFS(支出入力表!$N$6:$N$1000,支出入力表!$C$6:$C$1000,"5",支出入力表!$G$6:$G$1000,"8")</f>
        <v>0</v>
      </c>
      <c r="H76" s="99" t="s">
        <v>77</v>
      </c>
      <c r="I76" s="483">
        <f>SUMIFS(支出入力表!$O$6:$O$1000,支出入力表!$C$6:$C$1000,"5",支出入力表!$G$6:$G$1000,"8")</f>
        <v>0</v>
      </c>
      <c r="J76" s="152" t="s">
        <v>77</v>
      </c>
      <c r="N76" s="27"/>
    </row>
    <row r="77" spans="2:14" ht="19.5" thickBot="1" x14ac:dyDescent="0.45">
      <c r="B77" s="479">
        <f>団体基本情報!$D$17</f>
        <v>0</v>
      </c>
      <c r="C77" s="97" t="s">
        <v>61</v>
      </c>
      <c r="D77" s="98" t="s">
        <v>8</v>
      </c>
      <c r="E77" s="483">
        <f>SUMIFS(支出入力表!$M$6:$M$1000,支出入力表!$C$6:$C$1000,"5",支出入力表!$G$6:$G$1000,"9")</f>
        <v>0</v>
      </c>
      <c r="F77" s="99" t="s">
        <v>77</v>
      </c>
      <c r="G77" s="483">
        <f>SUMIFS(支出入力表!$N$6:$N$1000,支出入力表!$C$6:$C$1000,"5",支出入力表!$G$6:$G$1000,"9")</f>
        <v>0</v>
      </c>
      <c r="H77" s="99" t="s">
        <v>77</v>
      </c>
      <c r="I77" s="483">
        <f>SUMIFS(支出入力表!$O$6:$O$1000,支出入力表!$C$6:$C$1000,"5",支出入力表!$G$6:$G$1000,"9")</f>
        <v>0</v>
      </c>
      <c r="J77" s="152" t="s">
        <v>77</v>
      </c>
    </row>
    <row r="78" spans="2:14" ht="19.5" thickBot="1" x14ac:dyDescent="0.45">
      <c r="B78" s="479">
        <f>団体基本情報!$D$17</f>
        <v>0</v>
      </c>
      <c r="C78" s="97" t="s">
        <v>62</v>
      </c>
      <c r="D78" s="98" t="s">
        <v>12</v>
      </c>
      <c r="E78" s="483">
        <f>SUMIFS(支出入力表!$M$6:$M$1000,支出入力表!$C$6:$C$1000,"5",支出入力表!$G$6:$G$1000,"10")</f>
        <v>0</v>
      </c>
      <c r="F78" s="99" t="s">
        <v>77</v>
      </c>
      <c r="G78" s="483">
        <f>SUMIFS(支出入力表!$N$6:$N$1000,支出入力表!$C$6:$C$1000,"5",支出入力表!$G$6:$G$1000,"10")</f>
        <v>0</v>
      </c>
      <c r="H78" s="99" t="s">
        <v>77</v>
      </c>
      <c r="I78" s="483">
        <f>SUMIFS(支出入力表!$O$6:$O$1000,支出入力表!$C$6:$C$1000,"5",支出入力表!$G$6:$G$1000,"10")</f>
        <v>0</v>
      </c>
      <c r="J78" s="152" t="s">
        <v>77</v>
      </c>
    </row>
    <row r="79" spans="2:14" ht="19.5" thickBot="1" x14ac:dyDescent="0.45">
      <c r="B79" s="479">
        <f>団体基本情報!$D$17</f>
        <v>0</v>
      </c>
      <c r="C79" s="97" t="s">
        <v>63</v>
      </c>
      <c r="D79" s="98" t="s">
        <v>13</v>
      </c>
      <c r="E79" s="483">
        <f>SUMIFS(支出入力表!$M$6:$M$1000,支出入力表!$C$6:$C$1000,"5",支出入力表!$G$6:$G$1000,"11")</f>
        <v>0</v>
      </c>
      <c r="F79" s="99" t="s">
        <v>77</v>
      </c>
      <c r="G79" s="483">
        <f>SUMIFS(支出入力表!$N$6:$N$1000,支出入力表!$C$6:$C$1000,"5",支出入力表!$G$6:$G$1000,"11")</f>
        <v>0</v>
      </c>
      <c r="H79" s="99" t="s">
        <v>77</v>
      </c>
      <c r="I79" s="483">
        <f>SUMIFS(支出入力表!$O$6:$O$1000,支出入力表!$C$6:$C$1000,"5",支出入力表!$G$6:$G$1000,"11")</f>
        <v>0</v>
      </c>
      <c r="J79" s="152" t="s">
        <v>77</v>
      </c>
    </row>
    <row r="80" spans="2:14" ht="19.5" thickBot="1" x14ac:dyDescent="0.45">
      <c r="B80" s="479">
        <f>団体基本情報!$D$17</f>
        <v>0</v>
      </c>
      <c r="C80" s="97" t="s">
        <v>64</v>
      </c>
      <c r="D80" s="98" t="s">
        <v>9</v>
      </c>
      <c r="E80" s="483">
        <f>SUMIFS(支出入力表!$M$6:$M$1000,支出入力表!$C$6:$C$1000,"5",支出入力表!$G$6:$G$1000,"12")</f>
        <v>0</v>
      </c>
      <c r="F80" s="99" t="s">
        <v>77</v>
      </c>
      <c r="G80" s="483">
        <f>SUMIFS(支出入力表!$N$6:$N$1000,支出入力表!$C$6:$C$1000,"5",支出入力表!$G$6:$G$1000,"12")</f>
        <v>0</v>
      </c>
      <c r="H80" s="99" t="s">
        <v>77</v>
      </c>
      <c r="I80" s="483">
        <f>SUMIFS(支出入力表!$O$6:$O$1000,支出入力表!$C$6:$C$1000,"5",支出入力表!$G$6:$G$1000,"12")</f>
        <v>0</v>
      </c>
      <c r="J80" s="152" t="s">
        <v>77</v>
      </c>
    </row>
    <row r="81" spans="2:16" ht="19.5" thickBot="1" x14ac:dyDescent="0.45">
      <c r="B81" s="479">
        <f>団体基本情報!$D$17</f>
        <v>0</v>
      </c>
      <c r="C81" s="97" t="s">
        <v>65</v>
      </c>
      <c r="D81" s="98" t="s">
        <v>5</v>
      </c>
      <c r="E81" s="483">
        <f>SUMIFS(支出入力表!$M$6:$M$1000,支出入力表!$C$6:$C$1000,"5",支出入力表!$G$6:$G$1000,"13")</f>
        <v>0</v>
      </c>
      <c r="F81" s="99" t="s">
        <v>77</v>
      </c>
      <c r="G81" s="483">
        <f>SUMIFS(支出入力表!$N$6:$N$1000,支出入力表!$C$6:$C$1000,"5",支出入力表!$G$6:$G$1000,"13")</f>
        <v>0</v>
      </c>
      <c r="H81" s="99" t="s">
        <v>77</v>
      </c>
      <c r="I81" s="483">
        <f>SUMIFS(支出入力表!$O$6:$O$1000,支出入力表!$C$6:$C$1000,"5",支出入力表!$G$6:$G$1000,"13")</f>
        <v>0</v>
      </c>
      <c r="J81" s="152" t="s">
        <v>77</v>
      </c>
    </row>
    <row r="82" spans="2:16" ht="19.5" thickBot="1" x14ac:dyDescent="0.45">
      <c r="B82" s="480">
        <f>団体基本情報!$D$17</f>
        <v>0</v>
      </c>
      <c r="C82" s="97" t="s">
        <v>51</v>
      </c>
      <c r="D82" s="98" t="s">
        <v>126</v>
      </c>
      <c r="E82" s="483">
        <f>SUMIFS(支出入力表!$M$6:$M$1000,支出入力表!$C$6:$C$1000,"5",支出入力表!$G$6:$G$1000,"14")</f>
        <v>0</v>
      </c>
      <c r="F82" s="99" t="s">
        <v>77</v>
      </c>
      <c r="G82" s="483">
        <f>SUMIFS(支出入力表!$N$6:$N$1000,支出入力表!$C$6:$C$1000,"5",支出入力表!$G$6:$G$1000,"14")</f>
        <v>0</v>
      </c>
      <c r="H82" s="99" t="s">
        <v>77</v>
      </c>
      <c r="I82" s="483">
        <f>SUMIFS(支出入力表!$O$6:$O$1000,支出入力表!$C$6:$C$1000,"5",支出入力表!$G$6:$G$1000,"14")</f>
        <v>0</v>
      </c>
      <c r="J82" s="152" t="s">
        <v>77</v>
      </c>
    </row>
    <row r="83" spans="2:16" ht="19.5" thickBot="1" x14ac:dyDescent="0.45">
      <c r="B83" s="481">
        <f>団体基本情報!$D$17</f>
        <v>0</v>
      </c>
      <c r="C83" s="100" t="s">
        <v>130</v>
      </c>
      <c r="D83" s="101" t="s">
        <v>131</v>
      </c>
      <c r="E83" s="484">
        <f>SUMIFS(支出入力表!$M$6:$M$1000,支出入力表!$C$6:$C$1000,"5",支出入力表!$G$6:$G$1000,"15")</f>
        <v>0</v>
      </c>
      <c r="F83" s="102" t="s">
        <v>26</v>
      </c>
      <c r="G83" s="485" t="s">
        <v>135</v>
      </c>
      <c r="H83" s="102" t="s">
        <v>26</v>
      </c>
      <c r="I83" s="484">
        <f>SUMIFS(支出入力表!$O$6:$O$1000,支出入力表!$C$6:$C$1000,"5",支出入力表!$G$6:$G$1000,"15")</f>
        <v>0</v>
      </c>
      <c r="J83" s="153" t="s">
        <v>26</v>
      </c>
    </row>
    <row r="84" spans="2:16" ht="20.25" thickTop="1" thickBot="1" x14ac:dyDescent="0.45">
      <c r="B84" s="114">
        <f>団体基本情報!$D$17</f>
        <v>0</v>
      </c>
      <c r="C84" s="361" t="s">
        <v>237</v>
      </c>
      <c r="D84" s="361"/>
      <c r="E84" s="115">
        <f>SUM(E69:E83)</f>
        <v>0</v>
      </c>
      <c r="F84" s="116" t="s">
        <v>77</v>
      </c>
      <c r="G84" s="115">
        <f>SUM(G69:G83)</f>
        <v>0</v>
      </c>
      <c r="H84" s="116" t="s">
        <v>77</v>
      </c>
      <c r="I84" s="115">
        <f>SUM(I69:I83)</f>
        <v>0</v>
      </c>
      <c r="J84" s="154" t="s">
        <v>77</v>
      </c>
    </row>
    <row r="85" spans="2:16" ht="19.5" thickBot="1" x14ac:dyDescent="0.45">
      <c r="B85" s="478">
        <f>団体基本情報!$D$18</f>
        <v>0</v>
      </c>
      <c r="C85" s="103" t="s">
        <v>53</v>
      </c>
      <c r="D85" s="104" t="s">
        <v>0</v>
      </c>
      <c r="E85" s="486">
        <f>SUMIFS(支出入力表!$M$6:$M$1000,支出入力表!$C$6:$C$1000,"6",支出入力表!$G$6:$G$1000,"1")</f>
        <v>0</v>
      </c>
      <c r="F85" s="105" t="s">
        <v>26</v>
      </c>
      <c r="G85" s="486">
        <f>SUMIFS(支出入力表!$N$6:$N$1000,支出入力表!$C$6:$C$1000,"6",支出入力表!$G$6:$G$1000,"1")</f>
        <v>0</v>
      </c>
      <c r="H85" s="105" t="s">
        <v>77</v>
      </c>
      <c r="I85" s="486">
        <f>SUMIFS(支出入力表!$O$6:$O$1000,支出入力表!$C$6:$C$1000,"6",支出入力表!$G$6:$G$1000,"1")</f>
        <v>0</v>
      </c>
      <c r="J85" s="155" t="s">
        <v>77</v>
      </c>
    </row>
    <row r="86" spans="2:16" ht="19.5" thickBot="1" x14ac:dyDescent="0.45">
      <c r="B86" s="479">
        <f>団体基本情報!$D$18</f>
        <v>0</v>
      </c>
      <c r="C86" s="97" t="s">
        <v>54</v>
      </c>
      <c r="D86" s="98" t="s">
        <v>2</v>
      </c>
      <c r="E86" s="483">
        <f>SUMIFS(支出入力表!$M$6:$M$1000,支出入力表!$C$6:$C$1000,"6",支出入力表!$G$6:$G$1000,"2")</f>
        <v>0</v>
      </c>
      <c r="F86" s="99" t="s">
        <v>77</v>
      </c>
      <c r="G86" s="483">
        <f>SUMIFS(支出入力表!$N$6:$N$1000,支出入力表!$C$6:$C$1000,"6",支出入力表!$G$6:$G$1000,"2")</f>
        <v>0</v>
      </c>
      <c r="H86" s="99" t="s">
        <v>77</v>
      </c>
      <c r="I86" s="483">
        <f>SUMIFS(支出入力表!$O$6:$O$1000,支出入力表!$C$6:$C$1000,"6",支出入力表!$G$6:$G$1000,"2")</f>
        <v>0</v>
      </c>
      <c r="J86" s="152" t="s">
        <v>77</v>
      </c>
    </row>
    <row r="87" spans="2:16" ht="19.5" thickBot="1" x14ac:dyDescent="0.45">
      <c r="B87" s="479">
        <f>団体基本情報!$D$18</f>
        <v>0</v>
      </c>
      <c r="C87" s="97" t="s">
        <v>75</v>
      </c>
      <c r="D87" s="98" t="s">
        <v>11</v>
      </c>
      <c r="E87" s="483">
        <f>SUMIFS(支出入力表!$M$6:$M$1000,支出入力表!$C$6:$C$1000,"6",支出入力表!$G$6:$G$1000,"3")</f>
        <v>0</v>
      </c>
      <c r="F87" s="99" t="s">
        <v>77</v>
      </c>
      <c r="G87" s="483">
        <f>SUMIFS(支出入力表!$N$6:$N$1000,支出入力表!$C$6:$C$1000,"6",支出入力表!$G$6:$G$1000,"3")</f>
        <v>0</v>
      </c>
      <c r="H87" s="99" t="s">
        <v>77</v>
      </c>
      <c r="I87" s="483">
        <f>SUMIFS(支出入力表!$O$6:$O$1000,支出入力表!$C$6:$C$1000,"6",支出入力表!$G$6:$G$1000,"3")</f>
        <v>0</v>
      </c>
      <c r="J87" s="152" t="s">
        <v>77</v>
      </c>
    </row>
    <row r="88" spans="2:16" ht="19.5" thickBot="1" x14ac:dyDescent="0.45">
      <c r="B88" s="479">
        <f>団体基本情報!$D$18</f>
        <v>0</v>
      </c>
      <c r="C88" s="97" t="s">
        <v>56</v>
      </c>
      <c r="D88" s="98" t="s">
        <v>10</v>
      </c>
      <c r="E88" s="483">
        <f>SUMIFS(支出入力表!$M$6:$M$1000,支出入力表!$C$6:$C$1000,"6",支出入力表!$G$6:$G$1000,"4")</f>
        <v>0</v>
      </c>
      <c r="F88" s="99" t="s">
        <v>77</v>
      </c>
      <c r="G88" s="483">
        <f>SUMIFS(支出入力表!$N$6:$N$1000,支出入力表!$C$6:$C$1000,"6",支出入力表!$G$6:$G$1000,"4")</f>
        <v>0</v>
      </c>
      <c r="H88" s="99" t="s">
        <v>77</v>
      </c>
      <c r="I88" s="483">
        <f>SUMIFS(支出入力表!$O$6:$O$1000,支出入力表!$C$6:$C$1000,"6",支出入力表!$G$6:$G$1000,"4")</f>
        <v>0</v>
      </c>
      <c r="J88" s="152" t="s">
        <v>77</v>
      </c>
    </row>
    <row r="89" spans="2:16" ht="19.5" thickBot="1" x14ac:dyDescent="0.45">
      <c r="B89" s="479">
        <f>団体基本情報!$D$18</f>
        <v>0</v>
      </c>
      <c r="C89" s="97" t="s">
        <v>57</v>
      </c>
      <c r="D89" s="98" t="s">
        <v>3</v>
      </c>
      <c r="E89" s="483">
        <f>SUMIFS(支出入力表!$M$6:$M$1000,支出入力表!$C$6:$C$1000,"6",支出入力表!$G$6:$G$1000,"5")</f>
        <v>0</v>
      </c>
      <c r="F89" s="99" t="s">
        <v>77</v>
      </c>
      <c r="G89" s="483">
        <f>SUMIFS(支出入力表!$N$6:$N$1000,支出入力表!$C$6:$C$1000,"6",支出入力表!$G$6:$G$1000,"5")</f>
        <v>0</v>
      </c>
      <c r="H89" s="99" t="s">
        <v>77</v>
      </c>
      <c r="I89" s="483">
        <f>SUMIFS(支出入力表!$O$6:$O$1000,支出入力表!$C$6:$C$1000,"6",支出入力表!$G$6:$G$1000,"5")</f>
        <v>0</v>
      </c>
      <c r="J89" s="152" t="s">
        <v>77</v>
      </c>
    </row>
    <row r="90" spans="2:16" ht="19.5" thickBot="1" x14ac:dyDescent="0.45">
      <c r="B90" s="479">
        <f>団体基本情報!$D$18</f>
        <v>0</v>
      </c>
      <c r="C90" s="97" t="s">
        <v>58</v>
      </c>
      <c r="D90" s="98" t="s">
        <v>7</v>
      </c>
      <c r="E90" s="483">
        <f>SUMIFS(支出入力表!$M$6:$M$1000,支出入力表!$C$6:$C$1000,"6",支出入力表!$G$6:$G$1000,"6")</f>
        <v>0</v>
      </c>
      <c r="F90" s="99" t="s">
        <v>77</v>
      </c>
      <c r="G90" s="483">
        <f>SUMIFS(支出入力表!$N$6:$N$1000,支出入力表!$C$6:$C$1000,"6",支出入力表!$G$6:$G$1000,"6")</f>
        <v>0</v>
      </c>
      <c r="H90" s="99" t="s">
        <v>77</v>
      </c>
      <c r="I90" s="483">
        <f>SUMIFS(支出入力表!$O$6:$O$1000,支出入力表!$C$6:$C$1000,"6",支出入力表!$G$6:$G$1000,"6")</f>
        <v>0</v>
      </c>
      <c r="J90" s="152" t="s">
        <v>77</v>
      </c>
    </row>
    <row r="91" spans="2:16" ht="19.5" thickBot="1" x14ac:dyDescent="0.45">
      <c r="B91" s="479">
        <f>団体基本情報!$D$18</f>
        <v>0</v>
      </c>
      <c r="C91" s="97" t="s">
        <v>59</v>
      </c>
      <c r="D91" s="98" t="s">
        <v>1</v>
      </c>
      <c r="E91" s="483">
        <f>SUMIFS(支出入力表!$M$6:$M$1000,支出入力表!$C$6:$C$1000,"6",支出入力表!$G$6:$G$1000,"7")</f>
        <v>0</v>
      </c>
      <c r="F91" s="99" t="s">
        <v>77</v>
      </c>
      <c r="G91" s="483">
        <f>SUMIFS(支出入力表!$N$6:$N$1000,支出入力表!$C$6:$C$1000,"6",支出入力表!$G$6:$G$1000,"7")</f>
        <v>0</v>
      </c>
      <c r="H91" s="99" t="s">
        <v>77</v>
      </c>
      <c r="I91" s="483">
        <f>SUMIFS(支出入力表!$O$6:$O$1000,支出入力表!$C$6:$C$1000,"6",支出入力表!$G$6:$G$1000,"7")</f>
        <v>0</v>
      </c>
      <c r="J91" s="152" t="s">
        <v>77</v>
      </c>
    </row>
    <row r="92" spans="2:16" ht="19.5" thickBot="1" x14ac:dyDescent="0.45">
      <c r="B92" s="479">
        <f>団体基本情報!$D$18</f>
        <v>0</v>
      </c>
      <c r="C92" s="97" t="s">
        <v>60</v>
      </c>
      <c r="D92" s="98" t="s">
        <v>4</v>
      </c>
      <c r="E92" s="483">
        <f>SUMIFS(支出入力表!$M$6:$M$1000,支出入力表!$C$6:$C$1000,"6",支出入力表!$G$6:$G$1000,"8")</f>
        <v>0</v>
      </c>
      <c r="F92" s="99" t="s">
        <v>77</v>
      </c>
      <c r="G92" s="483">
        <f>SUMIFS(支出入力表!$N$6:$N$1000,支出入力表!$C$6:$C$1000,"6",支出入力表!$G$6:$G$1000,"8")</f>
        <v>0</v>
      </c>
      <c r="H92" s="99" t="s">
        <v>77</v>
      </c>
      <c r="I92" s="483">
        <f>SUMIFS(支出入力表!$O$6:$O$1000,支出入力表!$C$6:$C$1000,"6",支出入力表!$G$6:$G$1000,"8")</f>
        <v>0</v>
      </c>
      <c r="J92" s="152" t="s">
        <v>77</v>
      </c>
      <c r="P92" s="27"/>
    </row>
    <row r="93" spans="2:16" ht="19.5" thickBot="1" x14ac:dyDescent="0.45">
      <c r="B93" s="479">
        <f>団体基本情報!$D$18</f>
        <v>0</v>
      </c>
      <c r="C93" s="97" t="s">
        <v>61</v>
      </c>
      <c r="D93" s="98" t="s">
        <v>8</v>
      </c>
      <c r="E93" s="483">
        <f>SUMIFS(支出入力表!$M$6:$M$1000,支出入力表!$C$6:$C$1000,"6",支出入力表!$G$6:$G$1000,"9")</f>
        <v>0</v>
      </c>
      <c r="F93" s="99" t="s">
        <v>77</v>
      </c>
      <c r="G93" s="483">
        <f>SUMIFS(支出入力表!$N$6:$N$1000,支出入力表!$C$6:$C$1000,"6",支出入力表!$G$6:$G$1000,"9")</f>
        <v>0</v>
      </c>
      <c r="H93" s="99" t="s">
        <v>77</v>
      </c>
      <c r="I93" s="483">
        <f>SUMIFS(支出入力表!$O$6:$O$1000,支出入力表!$C$6:$C$1000,"6",支出入力表!$G$6:$G$1000,"9")</f>
        <v>0</v>
      </c>
      <c r="J93" s="152" t="s">
        <v>77</v>
      </c>
      <c r="P93" s="27"/>
    </row>
    <row r="94" spans="2:16" ht="19.5" thickBot="1" x14ac:dyDescent="0.45">
      <c r="B94" s="479">
        <f>団体基本情報!$D$18</f>
        <v>0</v>
      </c>
      <c r="C94" s="97" t="s">
        <v>62</v>
      </c>
      <c r="D94" s="98" t="s">
        <v>12</v>
      </c>
      <c r="E94" s="483">
        <f>SUMIFS(支出入力表!$M$6:$M$1000,支出入力表!$C$6:$C$1000,"6",支出入力表!$G$6:$G$1000,"10")</f>
        <v>0</v>
      </c>
      <c r="F94" s="99" t="s">
        <v>77</v>
      </c>
      <c r="G94" s="483">
        <f>SUMIFS(支出入力表!$N$6:$N$1000,支出入力表!$C$6:$C$1000,"6",支出入力表!$G$6:$G$1000,"10")</f>
        <v>0</v>
      </c>
      <c r="H94" s="99" t="s">
        <v>77</v>
      </c>
      <c r="I94" s="483">
        <f>SUMIFS(支出入力表!$O$6:$O$1000,支出入力表!$C$6:$C$1000,"6",支出入力表!$G$6:$G$1000,"10")</f>
        <v>0</v>
      </c>
      <c r="J94" s="152" t="s">
        <v>77</v>
      </c>
    </row>
    <row r="95" spans="2:16" ht="19.5" thickBot="1" x14ac:dyDescent="0.45">
      <c r="B95" s="479">
        <f>団体基本情報!$D$18</f>
        <v>0</v>
      </c>
      <c r="C95" s="97" t="s">
        <v>63</v>
      </c>
      <c r="D95" s="98" t="s">
        <v>13</v>
      </c>
      <c r="E95" s="483">
        <f>SUMIFS(支出入力表!$M$6:$M$1000,支出入力表!$C$6:$C$1000,"6",支出入力表!$G$6:$G$1000,"11")</f>
        <v>0</v>
      </c>
      <c r="F95" s="99" t="s">
        <v>77</v>
      </c>
      <c r="G95" s="483">
        <f>SUMIFS(支出入力表!$N$6:$N$1000,支出入力表!$C$6:$C$1000,"6",支出入力表!$G$6:$G$1000,"11")</f>
        <v>0</v>
      </c>
      <c r="H95" s="99" t="s">
        <v>77</v>
      </c>
      <c r="I95" s="483">
        <f>SUMIFS(支出入力表!$O$6:$O$1000,支出入力表!$C$6:$C$1000,"6",支出入力表!$G$6:$G$1000,"11")</f>
        <v>0</v>
      </c>
      <c r="J95" s="152" t="s">
        <v>77</v>
      </c>
      <c r="L95" s="27"/>
    </row>
    <row r="96" spans="2:16" ht="19.5" thickBot="1" x14ac:dyDescent="0.45">
      <c r="B96" s="479">
        <f>団体基本情報!$D$18</f>
        <v>0</v>
      </c>
      <c r="C96" s="97" t="s">
        <v>64</v>
      </c>
      <c r="D96" s="98" t="s">
        <v>9</v>
      </c>
      <c r="E96" s="483">
        <f>SUMIFS(支出入力表!$M$6:$M$1000,支出入力表!$C$6:$C$1000,"6",支出入力表!$G$6:$G$1000,"12")</f>
        <v>0</v>
      </c>
      <c r="F96" s="99" t="s">
        <v>77</v>
      </c>
      <c r="G96" s="483">
        <f>SUMIFS(支出入力表!$N$6:$N$1000,支出入力表!$C$6:$C$1000,"6",支出入力表!$G$6:$G$1000,"12")</f>
        <v>0</v>
      </c>
      <c r="H96" s="99" t="s">
        <v>77</v>
      </c>
      <c r="I96" s="483">
        <f>SUMIFS(支出入力表!$O$6:$O$1000,支出入力表!$C$6:$C$1000,"6",支出入力表!$G$6:$G$1000,"12")</f>
        <v>0</v>
      </c>
      <c r="J96" s="152" t="s">
        <v>77</v>
      </c>
    </row>
    <row r="97" spans="2:14" ht="19.5" thickBot="1" x14ac:dyDescent="0.45">
      <c r="B97" s="479">
        <f>団体基本情報!$D$18</f>
        <v>0</v>
      </c>
      <c r="C97" s="97" t="s">
        <v>65</v>
      </c>
      <c r="D97" s="98" t="s">
        <v>5</v>
      </c>
      <c r="E97" s="483">
        <f>SUMIFS(支出入力表!$M$6:$M$1000,支出入力表!$C$6:$C$1000,"6",支出入力表!$G$6:$G$1000,"13")</f>
        <v>0</v>
      </c>
      <c r="F97" s="99" t="s">
        <v>77</v>
      </c>
      <c r="G97" s="483">
        <f>SUMIFS(支出入力表!$N$6:$N$1000,支出入力表!$C$6:$C$1000,"6",支出入力表!$G$6:$G$1000,"13")</f>
        <v>0</v>
      </c>
      <c r="H97" s="99" t="s">
        <v>77</v>
      </c>
      <c r="I97" s="483">
        <f>SUMIFS(支出入力表!$O$6:$O$1000,支出入力表!$C$6:$C$1000,"6",支出入力表!$G$6:$G$1000,"13")</f>
        <v>0</v>
      </c>
      <c r="J97" s="152" t="s">
        <v>77</v>
      </c>
    </row>
    <row r="98" spans="2:14" ht="19.5" thickBot="1" x14ac:dyDescent="0.45">
      <c r="B98" s="480">
        <f>団体基本情報!$D$18</f>
        <v>0</v>
      </c>
      <c r="C98" s="97" t="s">
        <v>51</v>
      </c>
      <c r="D98" s="98" t="s">
        <v>126</v>
      </c>
      <c r="E98" s="483">
        <f>SUMIFS(支出入力表!$M$6:$M$1000,支出入力表!$C$6:$C$1000,"6",支出入力表!$G$6:$G$1000,"14")</f>
        <v>0</v>
      </c>
      <c r="F98" s="99" t="s">
        <v>77</v>
      </c>
      <c r="G98" s="483">
        <f>SUMIFS(支出入力表!$N$6:$N$1000,支出入力表!$C$6:$C$1000,"6",支出入力表!$G$6:$G$1000,"14")</f>
        <v>0</v>
      </c>
      <c r="H98" s="99" t="s">
        <v>77</v>
      </c>
      <c r="I98" s="483">
        <f>SUMIFS(支出入力表!$O$6:$O$1000,支出入力表!$C$6:$C$1000,"6",支出入力表!$G$6:$G$1000,"14")</f>
        <v>0</v>
      </c>
      <c r="J98" s="152" t="s">
        <v>77</v>
      </c>
    </row>
    <row r="99" spans="2:14" ht="19.5" thickBot="1" x14ac:dyDescent="0.45">
      <c r="B99" s="481">
        <f>団体基本情報!$D$18</f>
        <v>0</v>
      </c>
      <c r="C99" s="100" t="s">
        <v>130</v>
      </c>
      <c r="D99" s="101" t="s">
        <v>131</v>
      </c>
      <c r="E99" s="484">
        <f>SUMIFS(支出入力表!$M$6:$M$1000,支出入力表!$C$6:$C$1000,"6",支出入力表!$G$6:$G$1000,"15")</f>
        <v>0</v>
      </c>
      <c r="F99" s="102" t="s">
        <v>26</v>
      </c>
      <c r="G99" s="485" t="s">
        <v>132</v>
      </c>
      <c r="H99" s="102" t="s">
        <v>26</v>
      </c>
      <c r="I99" s="484">
        <f>SUMIFS(支出入力表!$O$6:$O$1000,支出入力表!$C$6:$C$1000,"6",支出入力表!$G$6:$G$1000,"15")</f>
        <v>0</v>
      </c>
      <c r="J99" s="153" t="s">
        <v>26</v>
      </c>
    </row>
    <row r="100" spans="2:14" ht="20.25" thickTop="1" thickBot="1" x14ac:dyDescent="0.45">
      <c r="B100" s="114">
        <f>団体基本情報!$D$18</f>
        <v>0</v>
      </c>
      <c r="C100" s="361" t="s">
        <v>238</v>
      </c>
      <c r="D100" s="361"/>
      <c r="E100" s="115">
        <f>SUM(E85:E99)</f>
        <v>0</v>
      </c>
      <c r="F100" s="116" t="s">
        <v>77</v>
      </c>
      <c r="G100" s="115">
        <f>SUM(G85:G99)</f>
        <v>0</v>
      </c>
      <c r="H100" s="116" t="s">
        <v>77</v>
      </c>
      <c r="I100" s="115">
        <f>SUM(I85:I99)</f>
        <v>0</v>
      </c>
      <c r="J100" s="154" t="s">
        <v>77</v>
      </c>
    </row>
    <row r="101" spans="2:14" ht="19.5" thickBot="1" x14ac:dyDescent="0.45">
      <c r="B101" s="478">
        <f>団体基本情報!$D$19</f>
        <v>0</v>
      </c>
      <c r="C101" s="103" t="s">
        <v>69</v>
      </c>
      <c r="D101" s="104" t="s">
        <v>0</v>
      </c>
      <c r="E101" s="486">
        <f>SUMIFS(支出入力表!$M$6:$M$1000,支出入力表!$C$6:$C$1000,"7",支出入力表!$G$6:$G$1000,"1")</f>
        <v>0</v>
      </c>
      <c r="F101" s="105" t="s">
        <v>77</v>
      </c>
      <c r="G101" s="486">
        <f>SUMIFS(支出入力表!$N$6:$N$1000,支出入力表!$C$6:$C$1000,"7",支出入力表!$G$6:$G$1000,"1")</f>
        <v>0</v>
      </c>
      <c r="H101" s="105" t="s">
        <v>77</v>
      </c>
      <c r="I101" s="486">
        <f>SUMIFS(支出入力表!$O$6:$O$1000,支出入力表!$C$6:$C$1000,"7",支出入力表!$G$6:$G$1000,"1")</f>
        <v>0</v>
      </c>
      <c r="J101" s="155" t="s">
        <v>77</v>
      </c>
    </row>
    <row r="102" spans="2:14" ht="19.5" thickBot="1" x14ac:dyDescent="0.45">
      <c r="B102" s="479">
        <f>団体基本情報!$D$19</f>
        <v>0</v>
      </c>
      <c r="C102" s="97" t="s">
        <v>54</v>
      </c>
      <c r="D102" s="98" t="s">
        <v>2</v>
      </c>
      <c r="E102" s="483">
        <f>SUMIFS(支出入力表!$M$6:$M$1000,支出入力表!$C$6:$C$1000,"7",支出入力表!$G$6:$G$1000,"2")</f>
        <v>0</v>
      </c>
      <c r="F102" s="99" t="s">
        <v>77</v>
      </c>
      <c r="G102" s="483">
        <f>SUMIFS(支出入力表!$N$6:$N$1000,支出入力表!$C$6:$C$1000,"7",支出入力表!$G$6:$G$1000,"2")</f>
        <v>0</v>
      </c>
      <c r="H102" s="99" t="s">
        <v>77</v>
      </c>
      <c r="I102" s="483">
        <f>SUMIFS(支出入力表!$O$6:$O$1000,支出入力表!$C$6:$C$1000,"7",支出入力表!$G$6:$G$1000,"2")</f>
        <v>0</v>
      </c>
      <c r="J102" s="152" t="s">
        <v>77</v>
      </c>
    </row>
    <row r="103" spans="2:14" ht="19.5" thickBot="1" x14ac:dyDescent="0.45">
      <c r="B103" s="479">
        <f>団体基本情報!$D$19</f>
        <v>0</v>
      </c>
      <c r="C103" s="97" t="s">
        <v>55</v>
      </c>
      <c r="D103" s="98" t="s">
        <v>11</v>
      </c>
      <c r="E103" s="483">
        <f>SUMIFS(支出入力表!$M$6:$M$1000,支出入力表!$C$6:$C$1000,"7",支出入力表!$G$6:$G$1000,"3")</f>
        <v>0</v>
      </c>
      <c r="F103" s="99" t="s">
        <v>77</v>
      </c>
      <c r="G103" s="483">
        <f>SUMIFS(支出入力表!$N$6:$N$1000,支出入力表!$C$6:$C$1000,"7",支出入力表!$G$6:$G$1000,"3")</f>
        <v>0</v>
      </c>
      <c r="H103" s="99" t="s">
        <v>77</v>
      </c>
      <c r="I103" s="483">
        <f>SUMIFS(支出入力表!$O$6:$O$1000,支出入力表!$C$6:$C$1000,"7",支出入力表!$G$6:$G$1000,"3")</f>
        <v>0</v>
      </c>
      <c r="J103" s="152" t="s">
        <v>77</v>
      </c>
    </row>
    <row r="104" spans="2:14" ht="19.5" thickBot="1" x14ac:dyDescent="0.45">
      <c r="B104" s="479">
        <f>団体基本情報!$D$19</f>
        <v>0</v>
      </c>
      <c r="C104" s="97" t="s">
        <v>56</v>
      </c>
      <c r="D104" s="98" t="s">
        <v>10</v>
      </c>
      <c r="E104" s="483">
        <f>SUMIFS(支出入力表!$M$6:$M$1000,支出入力表!$C$6:$C$1000,"7",支出入力表!$G$6:$G$1000,"4")</f>
        <v>0</v>
      </c>
      <c r="F104" s="99" t="s">
        <v>77</v>
      </c>
      <c r="G104" s="483">
        <f>SUMIFS(支出入力表!$N$6:$N$1000,支出入力表!$C$6:$C$1000,"7",支出入力表!$G$6:$G$1000,"4")</f>
        <v>0</v>
      </c>
      <c r="H104" s="99" t="s">
        <v>77</v>
      </c>
      <c r="I104" s="483">
        <f>SUMIFS(支出入力表!$O$6:$O$1000,支出入力表!$C$6:$C$1000,"7",支出入力表!$G$6:$G$1000,"4")</f>
        <v>0</v>
      </c>
      <c r="J104" s="152" t="s">
        <v>77</v>
      </c>
    </row>
    <row r="105" spans="2:14" ht="19.5" thickBot="1" x14ac:dyDescent="0.45">
      <c r="B105" s="479">
        <f>団体基本情報!$D$19</f>
        <v>0</v>
      </c>
      <c r="C105" s="97" t="s">
        <v>57</v>
      </c>
      <c r="D105" s="98" t="s">
        <v>3</v>
      </c>
      <c r="E105" s="483">
        <f>SUMIFS(支出入力表!$M$6:$M$1000,支出入力表!$C$6:$C$1000,"7",支出入力表!$G$6:$G$1000,"5")</f>
        <v>0</v>
      </c>
      <c r="F105" s="99" t="s">
        <v>77</v>
      </c>
      <c r="G105" s="483">
        <f>SUMIFS(支出入力表!$N$6:$N$1000,支出入力表!$C$6:$C$1000,"7",支出入力表!$G$6:$G$1000,"5")</f>
        <v>0</v>
      </c>
      <c r="H105" s="99" t="s">
        <v>77</v>
      </c>
      <c r="I105" s="483">
        <f>SUMIFS(支出入力表!$O$6:$O$1000,支出入力表!$C$6:$C$1000,"7",支出入力表!$G$6:$G$1000,"5")</f>
        <v>0</v>
      </c>
      <c r="J105" s="152" t="s">
        <v>77</v>
      </c>
    </row>
    <row r="106" spans="2:14" ht="19.5" thickBot="1" x14ac:dyDescent="0.45">
      <c r="B106" s="479">
        <f>団体基本情報!$D$19</f>
        <v>0</v>
      </c>
      <c r="C106" s="97" t="s">
        <v>58</v>
      </c>
      <c r="D106" s="98" t="s">
        <v>7</v>
      </c>
      <c r="E106" s="483">
        <f>SUMIFS(支出入力表!$M$6:$M$1000,支出入力表!$C$6:$C$1000,"7",支出入力表!$G$6:$G$1000,"6")</f>
        <v>0</v>
      </c>
      <c r="F106" s="99" t="s">
        <v>77</v>
      </c>
      <c r="G106" s="483">
        <f>SUMIFS(支出入力表!$N$6:$N$1000,支出入力表!$C$6:$C$1000,"7",支出入力表!$G$6:$G$1000,"6")</f>
        <v>0</v>
      </c>
      <c r="H106" s="99" t="s">
        <v>77</v>
      </c>
      <c r="I106" s="483">
        <f>SUMIFS(支出入力表!$O$6:$O$1000,支出入力表!$C$6:$C$1000,"7",支出入力表!$G$6:$G$1000,"6")</f>
        <v>0</v>
      </c>
      <c r="J106" s="152" t="s">
        <v>77</v>
      </c>
    </row>
    <row r="107" spans="2:14" ht="19.5" thickBot="1" x14ac:dyDescent="0.45">
      <c r="B107" s="479">
        <f>団体基本情報!$D$19</f>
        <v>0</v>
      </c>
      <c r="C107" s="97" t="s">
        <v>59</v>
      </c>
      <c r="D107" s="98" t="s">
        <v>1</v>
      </c>
      <c r="E107" s="483">
        <f>SUMIFS(支出入力表!$M$6:$M$1000,支出入力表!$C$6:$C$1000,"7",支出入力表!$G$6:$G$1000,"7")</f>
        <v>0</v>
      </c>
      <c r="F107" s="99" t="s">
        <v>77</v>
      </c>
      <c r="G107" s="483">
        <f>SUMIFS(支出入力表!$N$6:$N$1000,支出入力表!$C$6:$C$1000,"7",支出入力表!$G$6:$G$1000,"7")</f>
        <v>0</v>
      </c>
      <c r="H107" s="99" t="s">
        <v>77</v>
      </c>
      <c r="I107" s="483">
        <f>SUMIFS(支出入力表!$O$6:$O$1000,支出入力表!$C$6:$C$1000,"7",支出入力表!$G$6:$G$1000,"7")</f>
        <v>0</v>
      </c>
      <c r="J107" s="152" t="s">
        <v>77</v>
      </c>
      <c r="N107" s="27"/>
    </row>
    <row r="108" spans="2:14" ht="19.5" thickBot="1" x14ac:dyDescent="0.45">
      <c r="B108" s="479">
        <f>団体基本情報!$D$19</f>
        <v>0</v>
      </c>
      <c r="C108" s="97" t="s">
        <v>60</v>
      </c>
      <c r="D108" s="98" t="s">
        <v>4</v>
      </c>
      <c r="E108" s="483">
        <f>SUMIFS(支出入力表!$M$6:$M$1000,支出入力表!$C$6:$C$1000,"7",支出入力表!$G$6:$G$1000,"8")</f>
        <v>0</v>
      </c>
      <c r="F108" s="99" t="s">
        <v>77</v>
      </c>
      <c r="G108" s="483">
        <f>SUMIFS(支出入力表!$N$6:$N$1000,支出入力表!$C$6:$C$1000,"7",支出入力表!$G$6:$G$1000,"8")</f>
        <v>0</v>
      </c>
      <c r="H108" s="99" t="s">
        <v>77</v>
      </c>
      <c r="I108" s="483">
        <f>SUMIFS(支出入力表!$O$6:$O$1000,支出入力表!$C$6:$C$1000,"7",支出入力表!$G$6:$G$1000,"8")</f>
        <v>0</v>
      </c>
      <c r="J108" s="152" t="s">
        <v>77</v>
      </c>
      <c r="L108" s="27"/>
    </row>
    <row r="109" spans="2:14" ht="19.5" thickBot="1" x14ac:dyDescent="0.45">
      <c r="B109" s="479">
        <f>団体基本情報!$D$19</f>
        <v>0</v>
      </c>
      <c r="C109" s="97" t="s">
        <v>61</v>
      </c>
      <c r="D109" s="98" t="s">
        <v>8</v>
      </c>
      <c r="E109" s="483">
        <f>SUMIFS(支出入力表!$M$6:$M$1000,支出入力表!$C$6:$C$1000,"7",支出入力表!$G$6:$G$1000,"9")</f>
        <v>0</v>
      </c>
      <c r="F109" s="99" t="s">
        <v>77</v>
      </c>
      <c r="G109" s="483">
        <f>SUMIFS(支出入力表!$N$6:$N$1000,支出入力表!$C$6:$C$1000,"7",支出入力表!$G$6:$G$1000,"9")</f>
        <v>0</v>
      </c>
      <c r="H109" s="99" t="s">
        <v>77</v>
      </c>
      <c r="I109" s="483">
        <f>SUMIFS(支出入力表!$O$6:$O$1000,支出入力表!$C$6:$C$1000,"7",支出入力表!$G$6:$G$1000,"9")</f>
        <v>0</v>
      </c>
      <c r="J109" s="152" t="s">
        <v>77</v>
      </c>
    </row>
    <row r="110" spans="2:14" ht="19.5" thickBot="1" x14ac:dyDescent="0.45">
      <c r="B110" s="479">
        <f>団体基本情報!$D$19</f>
        <v>0</v>
      </c>
      <c r="C110" s="97" t="s">
        <v>62</v>
      </c>
      <c r="D110" s="98" t="s">
        <v>12</v>
      </c>
      <c r="E110" s="483">
        <f>SUMIFS(支出入力表!$M$6:$M$1000,支出入力表!$C$6:$C$1000,"7",支出入力表!$G$6:$G$1000,"10")</f>
        <v>0</v>
      </c>
      <c r="F110" s="99" t="s">
        <v>77</v>
      </c>
      <c r="G110" s="483">
        <f>SUMIFS(支出入力表!$N$6:$N$1000,支出入力表!$C$6:$C$1000,"7",支出入力表!$G$6:$G$1000,"10")</f>
        <v>0</v>
      </c>
      <c r="H110" s="99" t="s">
        <v>77</v>
      </c>
      <c r="I110" s="483">
        <f>SUMIFS(支出入力表!$O$6:$O$1000,支出入力表!$C$6:$C$1000,"7",支出入力表!$G$6:$G$1000,"10")</f>
        <v>0</v>
      </c>
      <c r="J110" s="152" t="s">
        <v>77</v>
      </c>
    </row>
    <row r="111" spans="2:14" ht="19.5" thickBot="1" x14ac:dyDescent="0.45">
      <c r="B111" s="479">
        <f>団体基本情報!$D$19</f>
        <v>0</v>
      </c>
      <c r="C111" s="97" t="s">
        <v>63</v>
      </c>
      <c r="D111" s="98" t="s">
        <v>13</v>
      </c>
      <c r="E111" s="483">
        <f>SUMIFS(支出入力表!$M$6:$M$1000,支出入力表!$C$6:$C$1000,"7",支出入力表!$G$6:$G$1000,"11")</f>
        <v>0</v>
      </c>
      <c r="F111" s="99" t="s">
        <v>77</v>
      </c>
      <c r="G111" s="483">
        <f>SUMIFS(支出入力表!$N$6:$N$1000,支出入力表!$C$6:$C$1000,"7",支出入力表!$G$6:$G$1000,"11")</f>
        <v>0</v>
      </c>
      <c r="H111" s="99" t="s">
        <v>77</v>
      </c>
      <c r="I111" s="483">
        <f>SUMIFS(支出入力表!$O$6:$O$1000,支出入力表!$C$6:$C$1000,"7",支出入力表!$G$6:$G$1000,"11")</f>
        <v>0</v>
      </c>
      <c r="J111" s="152" t="s">
        <v>77</v>
      </c>
    </row>
    <row r="112" spans="2:14" ht="19.5" thickBot="1" x14ac:dyDescent="0.45">
      <c r="B112" s="479">
        <f>団体基本情報!$D$19</f>
        <v>0</v>
      </c>
      <c r="C112" s="97" t="s">
        <v>64</v>
      </c>
      <c r="D112" s="98" t="s">
        <v>9</v>
      </c>
      <c r="E112" s="483">
        <f>SUMIFS(支出入力表!$M$6:$M$1000,支出入力表!$C$6:$C$1000,"7",支出入力表!$G$6:$G$1000,"12")</f>
        <v>0</v>
      </c>
      <c r="F112" s="99" t="s">
        <v>77</v>
      </c>
      <c r="G112" s="483">
        <f>SUMIFS(支出入力表!$N$6:$N$1000,支出入力表!$C$6:$C$1000,"7",支出入力表!$G$6:$G$1000,"12")</f>
        <v>0</v>
      </c>
      <c r="H112" s="99" t="s">
        <v>77</v>
      </c>
      <c r="I112" s="483">
        <f>SUMIFS(支出入力表!$O$6:$O$1000,支出入力表!$C$6:$C$1000,"7",支出入力表!$G$6:$G$1000,"12")</f>
        <v>0</v>
      </c>
      <c r="J112" s="152" t="s">
        <v>77</v>
      </c>
    </row>
    <row r="113" spans="2:14" ht="19.5" thickBot="1" x14ac:dyDescent="0.45">
      <c r="B113" s="479">
        <f>団体基本情報!$D$19</f>
        <v>0</v>
      </c>
      <c r="C113" s="97" t="s">
        <v>65</v>
      </c>
      <c r="D113" s="98" t="s">
        <v>5</v>
      </c>
      <c r="E113" s="483">
        <f>SUMIFS(支出入力表!$M$6:$M$1000,支出入力表!$C$6:$C$1000,"7",支出入力表!$G$6:$G$1000,"13")</f>
        <v>0</v>
      </c>
      <c r="F113" s="99" t="s">
        <v>77</v>
      </c>
      <c r="G113" s="483">
        <f>SUMIFS(支出入力表!$N$6:$N$1000,支出入力表!$C$6:$C$1000,"7",支出入力表!$G$6:$G$1000,"13")</f>
        <v>0</v>
      </c>
      <c r="H113" s="99" t="s">
        <v>77</v>
      </c>
      <c r="I113" s="483">
        <f>SUMIFS(支出入力表!$O$6:$O$1000,支出入力表!$C$6:$C$1000,"7",支出入力表!$G$6:$G$1000,"13")</f>
        <v>0</v>
      </c>
      <c r="J113" s="152" t="s">
        <v>77</v>
      </c>
    </row>
    <row r="114" spans="2:14" ht="19.5" thickBot="1" x14ac:dyDescent="0.45">
      <c r="B114" s="480">
        <f>団体基本情報!$D$19</f>
        <v>0</v>
      </c>
      <c r="C114" s="97" t="s">
        <v>51</v>
      </c>
      <c r="D114" s="98" t="s">
        <v>126</v>
      </c>
      <c r="E114" s="483">
        <f>SUMIFS(支出入力表!$M$6:$M$1000,支出入力表!$C$6:$C$1000,"7",支出入力表!$G$6:$G$1000,"14")</f>
        <v>0</v>
      </c>
      <c r="F114" s="99" t="s">
        <v>77</v>
      </c>
      <c r="G114" s="483">
        <f>SUMIFS(支出入力表!$N$6:$N$1000,支出入力表!$C$6:$C$1000,"7",支出入力表!$G$6:$G$1000,"14")</f>
        <v>0</v>
      </c>
      <c r="H114" s="99" t="s">
        <v>77</v>
      </c>
      <c r="I114" s="483">
        <f>SUMIFS(支出入力表!$O$6:$O$1000,支出入力表!$C$6:$C$1000,"7",支出入力表!$G$6:$G$1000,"14")</f>
        <v>0</v>
      </c>
      <c r="J114" s="152" t="s">
        <v>77</v>
      </c>
    </row>
    <row r="115" spans="2:14" ht="19.5" thickBot="1" x14ac:dyDescent="0.45">
      <c r="B115" s="481">
        <f>団体基本情報!$D$19</f>
        <v>0</v>
      </c>
      <c r="C115" s="100" t="s">
        <v>130</v>
      </c>
      <c r="D115" s="101" t="s">
        <v>131</v>
      </c>
      <c r="E115" s="484">
        <f>SUMIFS(支出入力表!$M$6:$M$1000,支出入力表!$C$6:$C$1000,"7",支出入力表!$G$6:$G$1000,"15")</f>
        <v>0</v>
      </c>
      <c r="F115" s="102" t="s">
        <v>26</v>
      </c>
      <c r="G115" s="485" t="s">
        <v>132</v>
      </c>
      <c r="H115" s="102" t="s">
        <v>26</v>
      </c>
      <c r="I115" s="484">
        <f>SUMIFS(支出入力表!$O$6:$O$1000,支出入力表!$C$6:$C$1000,"7",支出入力表!$G$6:$G$1000,"15")</f>
        <v>0</v>
      </c>
      <c r="J115" s="153" t="s">
        <v>26</v>
      </c>
    </row>
    <row r="116" spans="2:14" ht="20.25" thickTop="1" thickBot="1" x14ac:dyDescent="0.45">
      <c r="B116" s="114">
        <f>団体基本情報!$D$19</f>
        <v>0</v>
      </c>
      <c r="C116" s="361" t="s">
        <v>239</v>
      </c>
      <c r="D116" s="361"/>
      <c r="E116" s="115">
        <f>SUM(E101:E115)</f>
        <v>0</v>
      </c>
      <c r="F116" s="116" t="s">
        <v>77</v>
      </c>
      <c r="G116" s="115">
        <f>SUM(G101:G115)</f>
        <v>0</v>
      </c>
      <c r="H116" s="116" t="s">
        <v>77</v>
      </c>
      <c r="I116" s="115">
        <f>SUM(I101:I115)</f>
        <v>0</v>
      </c>
      <c r="J116" s="154" t="s">
        <v>77</v>
      </c>
    </row>
    <row r="117" spans="2:14" ht="19.5" thickBot="1" x14ac:dyDescent="0.45">
      <c r="B117" s="478">
        <f>団体基本情報!$D$20</f>
        <v>0</v>
      </c>
      <c r="C117" s="103" t="s">
        <v>53</v>
      </c>
      <c r="D117" s="104" t="s">
        <v>0</v>
      </c>
      <c r="E117" s="486">
        <f>SUMIFS(支出入力表!$M$6:$M$1000,支出入力表!$C$6:$C$1000,"8",支出入力表!$G$6:$G$1000,"1")</f>
        <v>0</v>
      </c>
      <c r="F117" s="105" t="s">
        <v>78</v>
      </c>
      <c r="G117" s="486">
        <f>SUMIFS(支出入力表!$N$6:$N$1000,支出入力表!$C$6:$C$1000,"8",支出入力表!$G$6:$G$1000,"1")</f>
        <v>0</v>
      </c>
      <c r="H117" s="105" t="s">
        <v>78</v>
      </c>
      <c r="I117" s="486">
        <f>SUMIFS(支出入力表!$O$6:$O$1000,支出入力表!$C$6:$C$1000,"8",支出入力表!$G$6:$G$1000,"1")</f>
        <v>0</v>
      </c>
      <c r="J117" s="155" t="s">
        <v>78</v>
      </c>
    </row>
    <row r="118" spans="2:14" ht="19.5" thickBot="1" x14ac:dyDescent="0.45">
      <c r="B118" s="479">
        <f>団体基本情報!$D$20</f>
        <v>0</v>
      </c>
      <c r="C118" s="97" t="s">
        <v>76</v>
      </c>
      <c r="D118" s="98" t="s">
        <v>2</v>
      </c>
      <c r="E118" s="483">
        <f>SUMIFS(支出入力表!$M$6:$M$1000,支出入力表!$C$6:$C$1000,"8",支出入力表!$G$6:$G$1000,"2")</f>
        <v>0</v>
      </c>
      <c r="F118" s="99" t="s">
        <v>26</v>
      </c>
      <c r="G118" s="483">
        <f>SUMIFS(支出入力表!$N$6:$N$1000,支出入力表!$C$6:$C$1000,"8",支出入力表!$G$6:$G$1000,"2")</f>
        <v>0</v>
      </c>
      <c r="H118" s="99" t="s">
        <v>78</v>
      </c>
      <c r="I118" s="483">
        <f>SUMIFS(支出入力表!$O$6:$O$1000,支出入力表!$C$6:$C$1000,"8",支出入力表!$G$6:$G$1000,"2")</f>
        <v>0</v>
      </c>
      <c r="J118" s="152" t="s">
        <v>78</v>
      </c>
    </row>
    <row r="119" spans="2:14" ht="19.5" thickBot="1" x14ac:dyDescent="0.45">
      <c r="B119" s="479">
        <f>団体基本情報!$D$20</f>
        <v>0</v>
      </c>
      <c r="C119" s="97" t="s">
        <v>55</v>
      </c>
      <c r="D119" s="98" t="s">
        <v>11</v>
      </c>
      <c r="E119" s="483">
        <f>SUMIFS(支出入力表!$M$6:$M$1000,支出入力表!$C$6:$C$1000,"8",支出入力表!$G$6:$G$1000,"3")</f>
        <v>0</v>
      </c>
      <c r="F119" s="99" t="s">
        <v>26</v>
      </c>
      <c r="G119" s="483">
        <f>SUMIFS(支出入力表!$N$6:$N$1000,支出入力表!$C$6:$C$1000,"8",支出入力表!$G$6:$G$1000,"3")</f>
        <v>0</v>
      </c>
      <c r="H119" s="99" t="s">
        <v>78</v>
      </c>
      <c r="I119" s="483">
        <f>SUMIFS(支出入力表!$O$6:$O$1000,支出入力表!$C$6:$C$1000,"8",支出入力表!$G$6:$G$1000,"3")</f>
        <v>0</v>
      </c>
      <c r="J119" s="152" t="s">
        <v>78</v>
      </c>
    </row>
    <row r="120" spans="2:14" ht="19.5" thickBot="1" x14ac:dyDescent="0.45">
      <c r="B120" s="479">
        <f>団体基本情報!$D$20</f>
        <v>0</v>
      </c>
      <c r="C120" s="97" t="s">
        <v>56</v>
      </c>
      <c r="D120" s="98" t="s">
        <v>10</v>
      </c>
      <c r="E120" s="483">
        <f>SUMIFS(支出入力表!$M$6:$M$1000,支出入力表!$C$6:$C$1000,"8",支出入力表!$G$6:$G$1000,"4")</f>
        <v>0</v>
      </c>
      <c r="F120" s="99" t="s">
        <v>26</v>
      </c>
      <c r="G120" s="483">
        <f>SUMIFS(支出入力表!$N$6:$N$1000,支出入力表!$C$6:$C$1000,"8",支出入力表!$G$6:$G$1000,"4")</f>
        <v>0</v>
      </c>
      <c r="H120" s="99" t="s">
        <v>78</v>
      </c>
      <c r="I120" s="483">
        <f>SUMIFS(支出入力表!$O$6:$O$1000,支出入力表!$C$6:$C$1000,"8",支出入力表!$G$6:$G$1000,"4")</f>
        <v>0</v>
      </c>
      <c r="J120" s="152" t="s">
        <v>78</v>
      </c>
    </row>
    <row r="121" spans="2:14" ht="19.5" thickBot="1" x14ac:dyDescent="0.45">
      <c r="B121" s="479">
        <f>団体基本情報!$D$20</f>
        <v>0</v>
      </c>
      <c r="C121" s="97" t="s">
        <v>57</v>
      </c>
      <c r="D121" s="98" t="s">
        <v>3</v>
      </c>
      <c r="E121" s="483">
        <f>SUMIFS(支出入力表!$M$6:$M$1000,支出入力表!$C$6:$C$1000,"8",支出入力表!$G$6:$G$1000,"5")</f>
        <v>0</v>
      </c>
      <c r="F121" s="99" t="s">
        <v>26</v>
      </c>
      <c r="G121" s="483">
        <f>SUMIFS(支出入力表!$N$6:$N$1000,支出入力表!$C$6:$C$1000,"8",支出入力表!$G$6:$G$1000,"5")</f>
        <v>0</v>
      </c>
      <c r="H121" s="99" t="s">
        <v>78</v>
      </c>
      <c r="I121" s="483">
        <f>SUMIFS(支出入力表!$O$6:$O$1000,支出入力表!$C$6:$C$1000,"8",支出入力表!$G$6:$G$1000,"5")</f>
        <v>0</v>
      </c>
      <c r="J121" s="152" t="s">
        <v>78</v>
      </c>
    </row>
    <row r="122" spans="2:14" ht="19.5" thickBot="1" x14ac:dyDescent="0.45">
      <c r="B122" s="479">
        <f>団体基本情報!$D$20</f>
        <v>0</v>
      </c>
      <c r="C122" s="97" t="s">
        <v>58</v>
      </c>
      <c r="D122" s="98" t="s">
        <v>7</v>
      </c>
      <c r="E122" s="483">
        <f>SUMIFS(支出入力表!$M$6:$M$1000,支出入力表!$C$6:$C$1000,"8",支出入力表!$G$6:$G$1000,"6")</f>
        <v>0</v>
      </c>
      <c r="F122" s="99" t="s">
        <v>26</v>
      </c>
      <c r="G122" s="483">
        <f>SUMIFS(支出入力表!$N$6:$N$1000,支出入力表!$C$6:$C$1000,"8",支出入力表!$G$6:$G$1000,"6")</f>
        <v>0</v>
      </c>
      <c r="H122" s="99" t="s">
        <v>78</v>
      </c>
      <c r="I122" s="483">
        <f>SUMIFS(支出入力表!$O$6:$O$1000,支出入力表!$C$6:$C$1000,"8",支出入力表!$G$6:$G$1000,"6")</f>
        <v>0</v>
      </c>
      <c r="J122" s="152" t="s">
        <v>78</v>
      </c>
      <c r="N122" s="27"/>
    </row>
    <row r="123" spans="2:14" ht="19.5" thickBot="1" x14ac:dyDescent="0.45">
      <c r="B123" s="479">
        <f>団体基本情報!$D$20</f>
        <v>0</v>
      </c>
      <c r="C123" s="97" t="s">
        <v>59</v>
      </c>
      <c r="D123" s="98" t="s">
        <v>1</v>
      </c>
      <c r="E123" s="483">
        <f>SUMIFS(支出入力表!$M$6:$M$1000,支出入力表!$C$6:$C$1000,"8",支出入力表!$G$6:$G$1000,"7")</f>
        <v>0</v>
      </c>
      <c r="F123" s="99" t="s">
        <v>26</v>
      </c>
      <c r="G123" s="483">
        <f>SUMIFS(支出入力表!$N$6:$N$1000,支出入力表!$C$6:$C$1000,"8",支出入力表!$G$6:$G$1000,"7")</f>
        <v>0</v>
      </c>
      <c r="H123" s="99" t="s">
        <v>78</v>
      </c>
      <c r="I123" s="483">
        <f>SUMIFS(支出入力表!$O$6:$O$1000,支出入力表!$C$6:$C$1000,"8",支出入力表!$G$6:$G$1000,"7")</f>
        <v>0</v>
      </c>
      <c r="J123" s="152" t="s">
        <v>78</v>
      </c>
    </row>
    <row r="124" spans="2:14" ht="19.5" thickBot="1" x14ac:dyDescent="0.45">
      <c r="B124" s="479">
        <f>団体基本情報!$D$20</f>
        <v>0</v>
      </c>
      <c r="C124" s="97" t="s">
        <v>60</v>
      </c>
      <c r="D124" s="98" t="s">
        <v>4</v>
      </c>
      <c r="E124" s="483">
        <f>SUMIFS(支出入力表!$M$6:$M$1000,支出入力表!$C$6:$C$1000,"8",支出入力表!$G$6:$G$1000,"8")</f>
        <v>0</v>
      </c>
      <c r="F124" s="99" t="s">
        <v>26</v>
      </c>
      <c r="G124" s="483">
        <f>SUMIFS(支出入力表!$N$6:$N$1000,支出入力表!$C$6:$C$1000,"8",支出入力表!$G$6:$G$1000,"8")</f>
        <v>0</v>
      </c>
      <c r="H124" s="99" t="s">
        <v>78</v>
      </c>
      <c r="I124" s="483">
        <f>SUMIFS(支出入力表!$O$6:$O$1000,支出入力表!$C$6:$C$1000,"8",支出入力表!$G$6:$G$1000,"8")</f>
        <v>0</v>
      </c>
      <c r="J124" s="152" t="s">
        <v>78</v>
      </c>
    </row>
    <row r="125" spans="2:14" ht="19.5" thickBot="1" x14ac:dyDescent="0.45">
      <c r="B125" s="479">
        <f>団体基本情報!$D$20</f>
        <v>0</v>
      </c>
      <c r="C125" s="97" t="s">
        <v>61</v>
      </c>
      <c r="D125" s="98" t="s">
        <v>8</v>
      </c>
      <c r="E125" s="483">
        <f>SUMIFS(支出入力表!$M$6:$M$1000,支出入力表!$C$6:$C$1000,"8",支出入力表!$G$6:$G$1000,"9")</f>
        <v>0</v>
      </c>
      <c r="F125" s="99" t="s">
        <v>26</v>
      </c>
      <c r="G125" s="483">
        <f>SUMIFS(支出入力表!$N$6:$N$1000,支出入力表!$C$6:$C$1000,"8",支出入力表!$G$6:$G$1000,"9")</f>
        <v>0</v>
      </c>
      <c r="H125" s="99" t="s">
        <v>78</v>
      </c>
      <c r="I125" s="483">
        <f>SUMIFS(支出入力表!$O$6:$O$1000,支出入力表!$C$6:$C$1000,"8",支出入力表!$G$6:$G$1000,"9")</f>
        <v>0</v>
      </c>
      <c r="J125" s="152" t="s">
        <v>78</v>
      </c>
    </row>
    <row r="126" spans="2:14" ht="19.5" thickBot="1" x14ac:dyDescent="0.45">
      <c r="B126" s="479">
        <f>団体基本情報!$D$20</f>
        <v>0</v>
      </c>
      <c r="C126" s="97" t="s">
        <v>62</v>
      </c>
      <c r="D126" s="98" t="s">
        <v>12</v>
      </c>
      <c r="E126" s="483">
        <f>SUMIFS(支出入力表!$M$6:$M$1000,支出入力表!$C$6:$C$1000,"8",支出入力表!$G$6:$G$1000,"10")</f>
        <v>0</v>
      </c>
      <c r="F126" s="99" t="s">
        <v>26</v>
      </c>
      <c r="G126" s="483">
        <f>SUMIFS(支出入力表!$N$6:$N$1000,支出入力表!$C$6:$C$1000,"8",支出入力表!$G$6:$G$1000,"10")</f>
        <v>0</v>
      </c>
      <c r="H126" s="99" t="s">
        <v>78</v>
      </c>
      <c r="I126" s="483">
        <f>SUMIFS(支出入力表!$O$6:$O$1000,支出入力表!$C$6:$C$1000,"8",支出入力表!$G$6:$G$1000,"10")</f>
        <v>0</v>
      </c>
      <c r="J126" s="152" t="s">
        <v>78</v>
      </c>
    </row>
    <row r="127" spans="2:14" ht="19.5" thickBot="1" x14ac:dyDescent="0.45">
      <c r="B127" s="479">
        <f>団体基本情報!$D$20</f>
        <v>0</v>
      </c>
      <c r="C127" s="97" t="s">
        <v>63</v>
      </c>
      <c r="D127" s="98" t="s">
        <v>13</v>
      </c>
      <c r="E127" s="483">
        <f>SUMIFS(支出入力表!$M$6:$M$1000,支出入力表!$C$6:$C$1000,"8",支出入力表!$G$6:$G$1000,"11")</f>
        <v>0</v>
      </c>
      <c r="F127" s="99" t="s">
        <v>26</v>
      </c>
      <c r="G127" s="483">
        <f>SUMIFS(支出入力表!$N$6:$N$1000,支出入力表!$C$6:$C$1000,"8",支出入力表!$G$6:$G$1000,"11")</f>
        <v>0</v>
      </c>
      <c r="H127" s="99" t="s">
        <v>78</v>
      </c>
      <c r="I127" s="483">
        <f>SUMIFS(支出入力表!$O$6:$O$1000,支出入力表!$C$6:$C$1000,"8",支出入力表!$G$6:$G$1000,"11")</f>
        <v>0</v>
      </c>
      <c r="J127" s="152" t="s">
        <v>78</v>
      </c>
    </row>
    <row r="128" spans="2:14" ht="19.5" thickBot="1" x14ac:dyDescent="0.45">
      <c r="B128" s="479">
        <f>団体基本情報!$D$20</f>
        <v>0</v>
      </c>
      <c r="C128" s="97" t="s">
        <v>64</v>
      </c>
      <c r="D128" s="98" t="s">
        <v>9</v>
      </c>
      <c r="E128" s="483">
        <f>SUMIFS(支出入力表!$M$6:$M$1000,支出入力表!$C$6:$C$1000,"8",支出入力表!$G$6:$G$1000,"12")</f>
        <v>0</v>
      </c>
      <c r="F128" s="99" t="s">
        <v>26</v>
      </c>
      <c r="G128" s="483">
        <f>SUMIFS(支出入力表!$N$6:$N$1000,支出入力表!$C$6:$C$1000,"8",支出入力表!$G$6:$G$1000,"12")</f>
        <v>0</v>
      </c>
      <c r="H128" s="99" t="s">
        <v>78</v>
      </c>
      <c r="I128" s="483">
        <f>SUMIFS(支出入力表!$O$6:$O$1000,支出入力表!$C$6:$C$1000,"8",支出入力表!$G$6:$G$1000,"12")</f>
        <v>0</v>
      </c>
      <c r="J128" s="152" t="s">
        <v>78</v>
      </c>
    </row>
    <row r="129" spans="2:10" ht="19.5" thickBot="1" x14ac:dyDescent="0.45">
      <c r="B129" s="479">
        <f>団体基本情報!$D$20</f>
        <v>0</v>
      </c>
      <c r="C129" s="97" t="s">
        <v>65</v>
      </c>
      <c r="D129" s="98" t="s">
        <v>5</v>
      </c>
      <c r="E129" s="483">
        <f>SUMIFS(支出入力表!$M$6:$M$1000,支出入力表!$C$6:$C$1000,"8",支出入力表!$G$6:$G$1000,"13")</f>
        <v>0</v>
      </c>
      <c r="F129" s="99" t="s">
        <v>26</v>
      </c>
      <c r="G129" s="483">
        <f>SUMIFS(支出入力表!$N$6:$N$1000,支出入力表!$C$6:$C$1000,"8",支出入力表!$G$6:$G$1000,"13")</f>
        <v>0</v>
      </c>
      <c r="H129" s="99" t="s">
        <v>78</v>
      </c>
      <c r="I129" s="483">
        <f>SUMIFS(支出入力表!$O$6:$O$1000,支出入力表!$C$6:$C$1000,"8",支出入力表!$G$6:$G$1000,"13")</f>
        <v>0</v>
      </c>
      <c r="J129" s="152" t="s">
        <v>78</v>
      </c>
    </row>
    <row r="130" spans="2:10" ht="19.5" thickBot="1" x14ac:dyDescent="0.45">
      <c r="B130" s="480">
        <f>団体基本情報!$D$20</f>
        <v>0</v>
      </c>
      <c r="C130" s="97" t="s">
        <v>51</v>
      </c>
      <c r="D130" s="98" t="s">
        <v>126</v>
      </c>
      <c r="E130" s="483">
        <f>SUMIFS(支出入力表!$M$6:$M$1000,支出入力表!$C$6:$C$1000,"8",支出入力表!$G$6:$G$1000,"14")</f>
        <v>0</v>
      </c>
      <c r="F130" s="99" t="s">
        <v>26</v>
      </c>
      <c r="G130" s="483">
        <f>SUMIFS(支出入力表!$N$6:$N$1000,支出入力表!$C$6:$C$1000,"8",支出入力表!$G$6:$G$1000,"14")</f>
        <v>0</v>
      </c>
      <c r="H130" s="99" t="s">
        <v>78</v>
      </c>
      <c r="I130" s="483">
        <f>SUMIFS(支出入力表!$O$6:$O$1000,支出入力表!$C$6:$C$1000,"8",支出入力表!$G$6:$G$1000,"14")</f>
        <v>0</v>
      </c>
      <c r="J130" s="152" t="s">
        <v>78</v>
      </c>
    </row>
    <row r="131" spans="2:10" ht="19.5" thickBot="1" x14ac:dyDescent="0.45">
      <c r="B131" s="481">
        <f>団体基本情報!$D$20</f>
        <v>0</v>
      </c>
      <c r="C131" s="100" t="s">
        <v>130</v>
      </c>
      <c r="D131" s="101" t="s">
        <v>131</v>
      </c>
      <c r="E131" s="484">
        <f>SUMIFS(支出入力表!$M$6:$M$1000,支出入力表!$C$6:$C$1000,"8",支出入力表!$G$6:$G$1000,"15")</f>
        <v>0</v>
      </c>
      <c r="F131" s="102" t="s">
        <v>26</v>
      </c>
      <c r="G131" s="485" t="s">
        <v>132</v>
      </c>
      <c r="H131" s="102" t="s">
        <v>26</v>
      </c>
      <c r="I131" s="484">
        <f>SUMIFS(支出入力表!$O$6:$O$1000,支出入力表!$C$6:$C$1000,"8",支出入力表!$G$6:$G$1000,"15")</f>
        <v>0</v>
      </c>
      <c r="J131" s="153" t="s">
        <v>26</v>
      </c>
    </row>
    <row r="132" spans="2:10" ht="20.25" thickTop="1" thickBot="1" x14ac:dyDescent="0.45">
      <c r="B132" s="114">
        <f>団体基本情報!$D$20</f>
        <v>0</v>
      </c>
      <c r="C132" s="361" t="s">
        <v>240</v>
      </c>
      <c r="D132" s="361"/>
      <c r="E132" s="115">
        <f>SUM(E117:E131)</f>
        <v>0</v>
      </c>
      <c r="F132" s="116" t="s">
        <v>78</v>
      </c>
      <c r="G132" s="115">
        <f>SUM(G117:G131)</f>
        <v>0</v>
      </c>
      <c r="H132" s="116" t="s">
        <v>78</v>
      </c>
      <c r="I132" s="115">
        <f>SUM(I117:I131)</f>
        <v>0</v>
      </c>
      <c r="J132" s="154" t="s">
        <v>78</v>
      </c>
    </row>
    <row r="133" spans="2:10" ht="19.5" thickBot="1" x14ac:dyDescent="0.45">
      <c r="B133" s="478">
        <f>団体基本情報!$D$21</f>
        <v>0</v>
      </c>
      <c r="C133" s="103" t="s">
        <v>53</v>
      </c>
      <c r="D133" s="104" t="s">
        <v>0</v>
      </c>
      <c r="E133" s="486">
        <f>SUMIFS(支出入力表!$M$6:$M$1000,支出入力表!$C$6:$C$1000,"9",支出入力表!$G$6:$G$1000,"1")</f>
        <v>0</v>
      </c>
      <c r="F133" s="105" t="s">
        <v>78</v>
      </c>
      <c r="G133" s="486">
        <f>SUMIFS(支出入力表!$N$6:$N$1000,支出入力表!$C$6:$C$1000,"9",支出入力表!$G$6:$G$1000,"1")</f>
        <v>0</v>
      </c>
      <c r="H133" s="105" t="s">
        <v>78</v>
      </c>
      <c r="I133" s="486">
        <f>SUMIFS(支出入力表!$O$6:$O$1000,支出入力表!$C$6:$C$1000,"9",支出入力表!$G$6:$G$1000,"1")</f>
        <v>0</v>
      </c>
      <c r="J133" s="155" t="s">
        <v>78</v>
      </c>
    </row>
    <row r="134" spans="2:10" ht="19.5" thickBot="1" x14ac:dyDescent="0.45">
      <c r="B134" s="479">
        <f>団体基本情報!$D$21</f>
        <v>0</v>
      </c>
      <c r="C134" s="97" t="s">
        <v>54</v>
      </c>
      <c r="D134" s="98" t="s">
        <v>2</v>
      </c>
      <c r="E134" s="483">
        <f>SUMIFS(支出入力表!$M$6:$M$1000,支出入力表!$C$6:$C$1000,"9",支出入力表!$G$6:$G$1000,"2")</f>
        <v>0</v>
      </c>
      <c r="F134" s="99" t="s">
        <v>78</v>
      </c>
      <c r="G134" s="483">
        <f>SUMIFS(支出入力表!$N$6:$N$1000,支出入力表!$C$6:$C$1000,"9",支出入力表!$G$6:$G$1000,"2")</f>
        <v>0</v>
      </c>
      <c r="H134" s="99" t="s">
        <v>78</v>
      </c>
      <c r="I134" s="483">
        <f>SUMIFS(支出入力表!$O$6:$O$1000,支出入力表!$C$6:$C$1000,"9",支出入力表!$G$6:$G$1000,"2")</f>
        <v>0</v>
      </c>
      <c r="J134" s="152" t="s">
        <v>78</v>
      </c>
    </row>
    <row r="135" spans="2:10" ht="19.5" thickBot="1" x14ac:dyDescent="0.45">
      <c r="B135" s="479">
        <f>団体基本情報!$D$21</f>
        <v>0</v>
      </c>
      <c r="C135" s="97" t="s">
        <v>55</v>
      </c>
      <c r="D135" s="98" t="s">
        <v>11</v>
      </c>
      <c r="E135" s="483">
        <f>SUMIFS(支出入力表!$M$6:$M$1000,支出入力表!$C$6:$C$1000,"9",支出入力表!$G$6:$G$1000,"3")</f>
        <v>0</v>
      </c>
      <c r="F135" s="99" t="s">
        <v>78</v>
      </c>
      <c r="G135" s="483">
        <f>SUMIFS(支出入力表!$N$6:$N$1000,支出入力表!$C$6:$C$1000,"9",支出入力表!$G$6:$G$1000,"3")</f>
        <v>0</v>
      </c>
      <c r="H135" s="99" t="s">
        <v>78</v>
      </c>
      <c r="I135" s="483">
        <f>SUMIFS(支出入力表!$O$6:$O$1000,支出入力表!$C$6:$C$1000,"9",支出入力表!$G$6:$G$1000,"3")</f>
        <v>0</v>
      </c>
      <c r="J135" s="152" t="s">
        <v>78</v>
      </c>
    </row>
    <row r="136" spans="2:10" ht="19.5" thickBot="1" x14ac:dyDescent="0.45">
      <c r="B136" s="479">
        <f>団体基本情報!$D$21</f>
        <v>0</v>
      </c>
      <c r="C136" s="97" t="s">
        <v>56</v>
      </c>
      <c r="D136" s="98" t="s">
        <v>10</v>
      </c>
      <c r="E136" s="483">
        <f>SUMIFS(支出入力表!$M$6:$M$1000,支出入力表!$C$6:$C$1000,"9",支出入力表!$G$6:$G$1000,"4")</f>
        <v>0</v>
      </c>
      <c r="F136" s="99" t="s">
        <v>78</v>
      </c>
      <c r="G136" s="483">
        <f>SUMIFS(支出入力表!$N$6:$N$1000,支出入力表!$C$6:$C$1000,"9",支出入力表!$G$6:$G$1000,"4")</f>
        <v>0</v>
      </c>
      <c r="H136" s="99" t="s">
        <v>78</v>
      </c>
      <c r="I136" s="483">
        <f>SUMIFS(支出入力表!$O$6:$O$1000,支出入力表!$C$6:$C$1000,"9",支出入力表!$G$6:$G$1000,"4")</f>
        <v>0</v>
      </c>
      <c r="J136" s="152" t="s">
        <v>78</v>
      </c>
    </row>
    <row r="137" spans="2:10" ht="19.5" thickBot="1" x14ac:dyDescent="0.45">
      <c r="B137" s="479">
        <f>団体基本情報!$D$21</f>
        <v>0</v>
      </c>
      <c r="C137" s="97" t="s">
        <v>57</v>
      </c>
      <c r="D137" s="98" t="s">
        <v>3</v>
      </c>
      <c r="E137" s="483">
        <f>SUMIFS(支出入力表!$M$6:$M$1000,支出入力表!$C$6:$C$1000,"9",支出入力表!$G$6:$G$1000,"5")</f>
        <v>0</v>
      </c>
      <c r="F137" s="99" t="s">
        <v>78</v>
      </c>
      <c r="G137" s="483">
        <f>SUMIFS(支出入力表!$N$6:$N$1000,支出入力表!$C$6:$C$1000,"9",支出入力表!$G$6:$G$1000,"5")</f>
        <v>0</v>
      </c>
      <c r="H137" s="99" t="s">
        <v>78</v>
      </c>
      <c r="I137" s="483">
        <f>SUMIFS(支出入力表!$O$6:$O$1000,支出入力表!$C$6:$C$1000,"9",支出入力表!$G$6:$G$1000,"5")</f>
        <v>0</v>
      </c>
      <c r="J137" s="152" t="s">
        <v>78</v>
      </c>
    </row>
    <row r="138" spans="2:10" ht="19.5" thickBot="1" x14ac:dyDescent="0.45">
      <c r="B138" s="479">
        <f>団体基本情報!$D$21</f>
        <v>0</v>
      </c>
      <c r="C138" s="97" t="s">
        <v>58</v>
      </c>
      <c r="D138" s="98" t="s">
        <v>7</v>
      </c>
      <c r="E138" s="483">
        <f>SUMIFS(支出入力表!$M$6:$M$1000,支出入力表!$C$6:$C$1000,"9",支出入力表!$G$6:$G$1000,"6")</f>
        <v>0</v>
      </c>
      <c r="F138" s="99" t="s">
        <v>78</v>
      </c>
      <c r="G138" s="483">
        <f>SUMIFS(支出入力表!$N$6:$N$1000,支出入力表!$C$6:$C$1000,"9",支出入力表!$G$6:$G$1000,"6")</f>
        <v>0</v>
      </c>
      <c r="H138" s="99" t="s">
        <v>78</v>
      </c>
      <c r="I138" s="483">
        <f>SUMIFS(支出入力表!$O$6:$O$1000,支出入力表!$C$6:$C$1000,"9",支出入力表!$G$6:$G$1000,"6")</f>
        <v>0</v>
      </c>
      <c r="J138" s="152" t="s">
        <v>78</v>
      </c>
    </row>
    <row r="139" spans="2:10" ht="19.5" thickBot="1" x14ac:dyDescent="0.45">
      <c r="B139" s="479">
        <f>団体基本情報!$D$21</f>
        <v>0</v>
      </c>
      <c r="C139" s="97" t="s">
        <v>59</v>
      </c>
      <c r="D139" s="98" t="s">
        <v>1</v>
      </c>
      <c r="E139" s="483">
        <f>SUMIFS(支出入力表!$M$6:$M$1000,支出入力表!$C$6:$C$1000,"9",支出入力表!$G$6:$G$1000,"7")</f>
        <v>0</v>
      </c>
      <c r="F139" s="99" t="s">
        <v>78</v>
      </c>
      <c r="G139" s="483">
        <f>SUMIFS(支出入力表!$N$6:$N$1000,支出入力表!$C$6:$C$1000,"9",支出入力表!$G$6:$G$1000,"7")</f>
        <v>0</v>
      </c>
      <c r="H139" s="99" t="s">
        <v>78</v>
      </c>
      <c r="I139" s="483">
        <f>SUMIFS(支出入力表!$O$6:$O$1000,支出入力表!$C$6:$C$1000,"9",支出入力表!$G$6:$G$1000,"7")</f>
        <v>0</v>
      </c>
      <c r="J139" s="152" t="s">
        <v>78</v>
      </c>
    </row>
    <row r="140" spans="2:10" ht="19.5" thickBot="1" x14ac:dyDescent="0.45">
      <c r="B140" s="479">
        <f>団体基本情報!$D$21</f>
        <v>0</v>
      </c>
      <c r="C140" s="97" t="s">
        <v>60</v>
      </c>
      <c r="D140" s="98" t="s">
        <v>4</v>
      </c>
      <c r="E140" s="483">
        <f>SUMIFS(支出入力表!$M$6:$M$1000,支出入力表!$C$6:$C$1000,"9",支出入力表!$G$6:$G$1000,"8")</f>
        <v>0</v>
      </c>
      <c r="F140" s="99" t="s">
        <v>78</v>
      </c>
      <c r="G140" s="483">
        <f>SUMIFS(支出入力表!$N$6:$N$1000,支出入力表!$C$6:$C$1000,"9",支出入力表!$G$6:$G$1000,"8")</f>
        <v>0</v>
      </c>
      <c r="H140" s="99" t="s">
        <v>78</v>
      </c>
      <c r="I140" s="483">
        <f>SUMIFS(支出入力表!$O$6:$O$1000,支出入力表!$C$6:$C$1000,"9",支出入力表!$G$6:$G$1000,"8")</f>
        <v>0</v>
      </c>
      <c r="J140" s="152" t="s">
        <v>78</v>
      </c>
    </row>
    <row r="141" spans="2:10" ht="19.5" thickBot="1" x14ac:dyDescent="0.45">
      <c r="B141" s="479">
        <f>団体基本情報!$D$21</f>
        <v>0</v>
      </c>
      <c r="C141" s="97" t="s">
        <v>61</v>
      </c>
      <c r="D141" s="98" t="s">
        <v>8</v>
      </c>
      <c r="E141" s="483">
        <f>SUMIFS(支出入力表!$M$6:$M$1000,支出入力表!$C$6:$C$1000,"9",支出入力表!$G$6:$G$1000,"9")</f>
        <v>0</v>
      </c>
      <c r="F141" s="99" t="s">
        <v>78</v>
      </c>
      <c r="G141" s="483">
        <f>SUMIFS(支出入力表!$N$6:$N$1000,支出入力表!$C$6:$C$1000,"9",支出入力表!$G$6:$G$1000,"9")</f>
        <v>0</v>
      </c>
      <c r="H141" s="99" t="s">
        <v>78</v>
      </c>
      <c r="I141" s="483">
        <f>SUMIFS(支出入力表!$O$6:$O$1000,支出入力表!$C$6:$C$1000,"9",支出入力表!$G$6:$G$1000,"9")</f>
        <v>0</v>
      </c>
      <c r="J141" s="152" t="s">
        <v>78</v>
      </c>
    </row>
    <row r="142" spans="2:10" ht="19.5" thickBot="1" x14ac:dyDescent="0.45">
      <c r="B142" s="479">
        <f>団体基本情報!$D$21</f>
        <v>0</v>
      </c>
      <c r="C142" s="97" t="s">
        <v>62</v>
      </c>
      <c r="D142" s="98" t="s">
        <v>12</v>
      </c>
      <c r="E142" s="483">
        <f>SUMIFS(支出入力表!$M$6:$M$1000,支出入力表!$C$6:$C$1000,"9",支出入力表!$G$6:$G$1000,"10")</f>
        <v>0</v>
      </c>
      <c r="F142" s="99" t="s">
        <v>78</v>
      </c>
      <c r="G142" s="483">
        <f>SUMIFS(支出入力表!$N$6:$N$1000,支出入力表!$C$6:$C$1000,"9",支出入力表!$G$6:$G$1000,"10")</f>
        <v>0</v>
      </c>
      <c r="H142" s="99" t="s">
        <v>78</v>
      </c>
      <c r="I142" s="483">
        <f>SUMIFS(支出入力表!$O$6:$O$1000,支出入力表!$C$6:$C$1000,"9",支出入力表!$G$6:$G$1000,"10")</f>
        <v>0</v>
      </c>
      <c r="J142" s="152" t="s">
        <v>78</v>
      </c>
    </row>
    <row r="143" spans="2:10" ht="19.5" thickBot="1" x14ac:dyDescent="0.45">
      <c r="B143" s="479">
        <f>団体基本情報!$D$21</f>
        <v>0</v>
      </c>
      <c r="C143" s="97" t="s">
        <v>63</v>
      </c>
      <c r="D143" s="98" t="s">
        <v>13</v>
      </c>
      <c r="E143" s="483">
        <f>SUMIFS(支出入力表!$M$6:$M$1000,支出入力表!$C$6:$C$1000,"9",支出入力表!$G$6:$G$1000,"11")</f>
        <v>0</v>
      </c>
      <c r="F143" s="99" t="s">
        <v>78</v>
      </c>
      <c r="G143" s="483">
        <f>SUMIFS(支出入力表!$N$6:$N$1000,支出入力表!$C$6:$C$1000,"9",支出入力表!$G$6:$G$1000,"11")</f>
        <v>0</v>
      </c>
      <c r="H143" s="99" t="s">
        <v>78</v>
      </c>
      <c r="I143" s="483">
        <f>SUMIFS(支出入力表!$O$6:$O$1000,支出入力表!$C$6:$C$1000,"9",支出入力表!$G$6:$G$1000,"11")</f>
        <v>0</v>
      </c>
      <c r="J143" s="152" t="s">
        <v>78</v>
      </c>
    </row>
    <row r="144" spans="2:10" ht="19.5" thickBot="1" x14ac:dyDescent="0.45">
      <c r="B144" s="479">
        <f>団体基本情報!$D$21</f>
        <v>0</v>
      </c>
      <c r="C144" s="97" t="s">
        <v>64</v>
      </c>
      <c r="D144" s="98" t="s">
        <v>9</v>
      </c>
      <c r="E144" s="483">
        <f>SUMIFS(支出入力表!$M$6:$M$1000,支出入力表!$C$6:$C$1000,"9",支出入力表!$G$6:$G$1000,"12")</f>
        <v>0</v>
      </c>
      <c r="F144" s="99" t="s">
        <v>78</v>
      </c>
      <c r="G144" s="483">
        <f>SUMIFS(支出入力表!$N$6:$N$1000,支出入力表!$C$6:$C$1000,"9",支出入力表!$G$6:$G$1000,"12")</f>
        <v>0</v>
      </c>
      <c r="H144" s="99" t="s">
        <v>78</v>
      </c>
      <c r="I144" s="483">
        <f>SUMIFS(支出入力表!$O$6:$O$1000,支出入力表!$C$6:$C$1000,"9",支出入力表!$G$6:$G$1000,"12")</f>
        <v>0</v>
      </c>
      <c r="J144" s="152" t="s">
        <v>78</v>
      </c>
    </row>
    <row r="145" spans="2:10" ht="19.5" thickBot="1" x14ac:dyDescent="0.45">
      <c r="B145" s="479">
        <f>団体基本情報!$D$21</f>
        <v>0</v>
      </c>
      <c r="C145" s="97" t="s">
        <v>65</v>
      </c>
      <c r="D145" s="98" t="s">
        <v>5</v>
      </c>
      <c r="E145" s="483">
        <f>SUMIFS(支出入力表!$M$6:$M$1000,支出入力表!$C$6:$C$1000,"9",支出入力表!$G$6:$G$1000,"13")</f>
        <v>0</v>
      </c>
      <c r="F145" s="99" t="s">
        <v>78</v>
      </c>
      <c r="G145" s="483">
        <f>SUMIFS(支出入力表!$N$6:$N$1000,支出入力表!$C$6:$C$1000,"9",支出入力表!$G$6:$G$1000,"13")</f>
        <v>0</v>
      </c>
      <c r="H145" s="99" t="s">
        <v>78</v>
      </c>
      <c r="I145" s="483">
        <f>SUMIFS(支出入力表!$O$6:$O$1000,支出入力表!$C$6:$C$1000,"9",支出入力表!$G$6:$G$1000,"13")</f>
        <v>0</v>
      </c>
      <c r="J145" s="152" t="s">
        <v>78</v>
      </c>
    </row>
    <row r="146" spans="2:10" ht="19.5" thickBot="1" x14ac:dyDescent="0.45">
      <c r="B146" s="480">
        <f>団体基本情報!$D$21</f>
        <v>0</v>
      </c>
      <c r="C146" s="97" t="s">
        <v>51</v>
      </c>
      <c r="D146" s="98" t="s">
        <v>126</v>
      </c>
      <c r="E146" s="483">
        <f>SUMIFS(支出入力表!$M$6:$M$1000,支出入力表!$C$6:$C$1000,"9",支出入力表!$G$6:$G$1000,"14")</f>
        <v>0</v>
      </c>
      <c r="F146" s="99" t="s">
        <v>78</v>
      </c>
      <c r="G146" s="483">
        <f>SUMIFS(支出入力表!$N$6:$N$1000,支出入力表!$C$6:$C$1000,"9",支出入力表!$G$6:$G$1000,"14")</f>
        <v>0</v>
      </c>
      <c r="H146" s="99" t="s">
        <v>78</v>
      </c>
      <c r="I146" s="483">
        <f>SUMIFS(支出入力表!$O$6:$O$1000,支出入力表!$C$6:$C$1000,"9",支出入力表!$G$6:$G$1000,"14")</f>
        <v>0</v>
      </c>
      <c r="J146" s="152" t="s">
        <v>78</v>
      </c>
    </row>
    <row r="147" spans="2:10" ht="19.5" thickBot="1" x14ac:dyDescent="0.45">
      <c r="B147" s="481">
        <f>団体基本情報!$D$21</f>
        <v>0</v>
      </c>
      <c r="C147" s="100" t="s">
        <v>130</v>
      </c>
      <c r="D147" s="101" t="s">
        <v>131</v>
      </c>
      <c r="E147" s="484">
        <f>SUMIFS(支出入力表!$M$6:$M$1000,支出入力表!$C$6:$C$1000,"9",支出入力表!$G$6:$G$1000,"15")</f>
        <v>0</v>
      </c>
      <c r="F147" s="102" t="s">
        <v>26</v>
      </c>
      <c r="G147" s="485" t="s">
        <v>132</v>
      </c>
      <c r="H147" s="102" t="s">
        <v>26</v>
      </c>
      <c r="I147" s="484">
        <f>SUMIFS(支出入力表!$O$6:$O$1000,支出入力表!$C$6:$C$1000,"9",支出入力表!$G$6:$G$1000,"15")</f>
        <v>0</v>
      </c>
      <c r="J147" s="153" t="s">
        <v>26</v>
      </c>
    </row>
    <row r="148" spans="2:10" ht="20.25" thickTop="1" thickBot="1" x14ac:dyDescent="0.45">
      <c r="B148" s="114">
        <f>団体基本情報!$D$21</f>
        <v>0</v>
      </c>
      <c r="C148" s="361" t="s">
        <v>241</v>
      </c>
      <c r="D148" s="361"/>
      <c r="E148" s="115">
        <f>SUM(E133:E147)</f>
        <v>0</v>
      </c>
      <c r="F148" s="116" t="s">
        <v>78</v>
      </c>
      <c r="G148" s="115">
        <f>SUM(G133:G147)</f>
        <v>0</v>
      </c>
      <c r="H148" s="116" t="s">
        <v>78</v>
      </c>
      <c r="I148" s="115">
        <f>SUM(I133:I147)</f>
        <v>0</v>
      </c>
      <c r="J148" s="154" t="s">
        <v>78</v>
      </c>
    </row>
    <row r="149" spans="2:10" ht="19.5" thickBot="1" x14ac:dyDescent="0.45">
      <c r="B149" s="478">
        <f>団体基本情報!$D$22</f>
        <v>0</v>
      </c>
      <c r="C149" s="103" t="s">
        <v>53</v>
      </c>
      <c r="D149" s="104" t="s">
        <v>0</v>
      </c>
      <c r="E149" s="486">
        <f>SUMIFS(支出入力表!$M$6:$M$1000,支出入力表!$C$6:$C$1000,"10",支出入力表!$G$6:$G$1000,"1")</f>
        <v>0</v>
      </c>
      <c r="F149" s="105" t="s">
        <v>78</v>
      </c>
      <c r="G149" s="486">
        <f>SUMIFS(支出入力表!$N$6:$N$1000,支出入力表!$C$6:$C$1000,"10",支出入力表!$G$6:$G$1000,"1")</f>
        <v>0</v>
      </c>
      <c r="H149" s="105" t="s">
        <v>78</v>
      </c>
      <c r="I149" s="486">
        <f>SUMIFS(支出入力表!$O$6:$O$1000,支出入力表!$C$6:$C$1000,"10",支出入力表!$G$6:$G$1000,"1")</f>
        <v>0</v>
      </c>
      <c r="J149" s="155" t="s">
        <v>78</v>
      </c>
    </row>
    <row r="150" spans="2:10" ht="19.5" thickBot="1" x14ac:dyDescent="0.45">
      <c r="B150" s="479">
        <f>団体基本情報!$D$22</f>
        <v>0</v>
      </c>
      <c r="C150" s="97" t="s">
        <v>54</v>
      </c>
      <c r="D150" s="98" t="s">
        <v>2</v>
      </c>
      <c r="E150" s="483">
        <f>SUMIFS(支出入力表!$M$6:$M$1000,支出入力表!$C$6:$C$1000,"10",支出入力表!$G$6:$G$1000,"2")</f>
        <v>0</v>
      </c>
      <c r="F150" s="99" t="s">
        <v>78</v>
      </c>
      <c r="G150" s="483">
        <f>SUMIFS(支出入力表!$N$6:$N$1000,支出入力表!$C$6:$C$1000,"10",支出入力表!$G$6:$G$1000,"2")</f>
        <v>0</v>
      </c>
      <c r="H150" s="99" t="s">
        <v>78</v>
      </c>
      <c r="I150" s="483">
        <f>SUMIFS(支出入力表!$O$6:$O$1000,支出入力表!$C$6:$C$1000,"10",支出入力表!$G$6:$G$1000,"2")</f>
        <v>0</v>
      </c>
      <c r="J150" s="152" t="s">
        <v>78</v>
      </c>
    </row>
    <row r="151" spans="2:10" ht="19.5" thickBot="1" x14ac:dyDescent="0.45">
      <c r="B151" s="479">
        <f>団体基本情報!$D$22</f>
        <v>0</v>
      </c>
      <c r="C151" s="106" t="s">
        <v>71</v>
      </c>
      <c r="D151" s="87" t="s">
        <v>11</v>
      </c>
      <c r="E151" s="487">
        <f>SUMIFS(支出入力表!$M$6:$M$1000,支出入力表!$C$6:$C$1000,"10",支出入力表!$G$6:$G$1000,"3")</f>
        <v>0</v>
      </c>
      <c r="F151" s="107" t="s">
        <v>78</v>
      </c>
      <c r="G151" s="487">
        <f>SUMIFS(支出入力表!$N$6:$N$1000,支出入力表!$C$6:$C$1000,"10",支出入力表!$G$6:$G$1000,"3")</f>
        <v>0</v>
      </c>
      <c r="H151" s="107" t="s">
        <v>78</v>
      </c>
      <c r="I151" s="487">
        <f>SUMIFS(支出入力表!$O$6:$O$1000,支出入力表!$C$6:$C$1000,"10",支出入力表!$G$6:$G$1000,"3")</f>
        <v>0</v>
      </c>
      <c r="J151" s="156" t="s">
        <v>78</v>
      </c>
    </row>
    <row r="152" spans="2:10" ht="19.5" thickBot="1" x14ac:dyDescent="0.45">
      <c r="B152" s="479">
        <f>団体基本情報!$D$22</f>
        <v>0</v>
      </c>
      <c r="C152" s="106" t="s">
        <v>56</v>
      </c>
      <c r="D152" s="87" t="s">
        <v>10</v>
      </c>
      <c r="E152" s="487">
        <f>SUMIFS(支出入力表!$M$6:$M$1000,支出入力表!$C$6:$C$1000,"10",支出入力表!$G$6:$G$1000,"4")</f>
        <v>0</v>
      </c>
      <c r="F152" s="107" t="s">
        <v>78</v>
      </c>
      <c r="G152" s="487">
        <f>SUMIFS(支出入力表!$N$6:$N$1000,支出入力表!$C$6:$C$1000,"10",支出入力表!$G$6:$G$1000,"4")</f>
        <v>0</v>
      </c>
      <c r="H152" s="107" t="s">
        <v>78</v>
      </c>
      <c r="I152" s="487">
        <f>SUMIFS(支出入力表!$O$6:$O$1000,支出入力表!$C$6:$C$1000,"10",支出入力表!$G$6:$G$1000,"4")</f>
        <v>0</v>
      </c>
      <c r="J152" s="156" t="s">
        <v>78</v>
      </c>
    </row>
    <row r="153" spans="2:10" ht="19.5" thickBot="1" x14ac:dyDescent="0.45">
      <c r="B153" s="479">
        <f>団体基本情報!$D$22</f>
        <v>0</v>
      </c>
      <c r="C153" s="106" t="s">
        <v>57</v>
      </c>
      <c r="D153" s="87" t="s">
        <v>3</v>
      </c>
      <c r="E153" s="487">
        <f>SUMIFS(支出入力表!$M$6:$M$1000,支出入力表!$C$6:$C$1000,"10",支出入力表!$G$6:$G$1000,"5")</f>
        <v>0</v>
      </c>
      <c r="F153" s="107" t="s">
        <v>78</v>
      </c>
      <c r="G153" s="487">
        <f>SUMIFS(支出入力表!$N$6:$N$1000,支出入力表!$C$6:$C$1000,"10",支出入力表!$G$6:$G$1000,"5")</f>
        <v>0</v>
      </c>
      <c r="H153" s="107" t="s">
        <v>78</v>
      </c>
      <c r="I153" s="487">
        <f>SUMIFS(支出入力表!$O$6:$O$1000,支出入力表!$C$6:$C$1000,"10",支出入力表!$G$6:$G$1000,"5")</f>
        <v>0</v>
      </c>
      <c r="J153" s="156" t="s">
        <v>78</v>
      </c>
    </row>
    <row r="154" spans="2:10" ht="19.5" thickBot="1" x14ac:dyDescent="0.45">
      <c r="B154" s="479">
        <f>団体基本情報!$D$22</f>
        <v>0</v>
      </c>
      <c r="C154" s="106" t="s">
        <v>58</v>
      </c>
      <c r="D154" s="87" t="s">
        <v>7</v>
      </c>
      <c r="E154" s="487">
        <f>SUMIFS(支出入力表!$M$6:$M$1000,支出入力表!$C$6:$C$1000,"10",支出入力表!$G$6:$G$1000,"6")</f>
        <v>0</v>
      </c>
      <c r="F154" s="107" t="s">
        <v>78</v>
      </c>
      <c r="G154" s="487">
        <f>SUMIFS(支出入力表!$N$6:$N$1000,支出入力表!$C$6:$C$1000,"10",支出入力表!$G$6:$G$1000,"6")</f>
        <v>0</v>
      </c>
      <c r="H154" s="107" t="s">
        <v>78</v>
      </c>
      <c r="I154" s="487">
        <f>SUMIFS(支出入力表!$O$6:$O$1000,支出入力表!$C$6:$C$1000,"10",支出入力表!$G$6:$G$1000,"6")</f>
        <v>0</v>
      </c>
      <c r="J154" s="156" t="s">
        <v>78</v>
      </c>
    </row>
    <row r="155" spans="2:10" ht="19.5" thickBot="1" x14ac:dyDescent="0.45">
      <c r="B155" s="479">
        <f>団体基本情報!$D$22</f>
        <v>0</v>
      </c>
      <c r="C155" s="106" t="s">
        <v>59</v>
      </c>
      <c r="D155" s="87" t="s">
        <v>1</v>
      </c>
      <c r="E155" s="487">
        <f>SUMIFS(支出入力表!$M$6:$M$1000,支出入力表!$C$6:$C$1000,"10",支出入力表!$G$6:$G$1000,"7")</f>
        <v>0</v>
      </c>
      <c r="F155" s="107" t="s">
        <v>78</v>
      </c>
      <c r="G155" s="487">
        <f>SUMIFS(支出入力表!$N$6:$N$1000,支出入力表!$C$6:$C$1000,"10",支出入力表!$G$6:$G$1000,"7")</f>
        <v>0</v>
      </c>
      <c r="H155" s="107" t="s">
        <v>78</v>
      </c>
      <c r="I155" s="487">
        <f>SUMIFS(支出入力表!$O$6:$O$1000,支出入力表!$C$6:$C$1000,"10",支出入力表!$G$6:$G$1000,"7")</f>
        <v>0</v>
      </c>
      <c r="J155" s="156" t="s">
        <v>78</v>
      </c>
    </row>
    <row r="156" spans="2:10" ht="19.5" thickBot="1" x14ac:dyDescent="0.45">
      <c r="B156" s="479">
        <f>団体基本情報!$D$22</f>
        <v>0</v>
      </c>
      <c r="C156" s="106" t="s">
        <v>60</v>
      </c>
      <c r="D156" s="87" t="s">
        <v>4</v>
      </c>
      <c r="E156" s="487">
        <f>SUMIFS(支出入力表!$M$6:$M$1000,支出入力表!$C$6:$C$1000,"10",支出入力表!$G$6:$G$1000,"8")</f>
        <v>0</v>
      </c>
      <c r="F156" s="107" t="s">
        <v>78</v>
      </c>
      <c r="G156" s="487">
        <f>SUMIFS(支出入力表!$N$6:$N$1000,支出入力表!$C$6:$C$1000,"10",支出入力表!$G$6:$G$1000,"8")</f>
        <v>0</v>
      </c>
      <c r="H156" s="107" t="s">
        <v>78</v>
      </c>
      <c r="I156" s="487">
        <f>SUMIFS(支出入力表!$O$6:$O$1000,支出入力表!$C$6:$C$1000,"10",支出入力表!$G$6:$G$1000,"8")</f>
        <v>0</v>
      </c>
      <c r="J156" s="156" t="s">
        <v>78</v>
      </c>
    </row>
    <row r="157" spans="2:10" ht="19.5" thickBot="1" x14ac:dyDescent="0.45">
      <c r="B157" s="479">
        <f>団体基本情報!$D$22</f>
        <v>0</v>
      </c>
      <c r="C157" s="106" t="s">
        <v>61</v>
      </c>
      <c r="D157" s="87" t="s">
        <v>8</v>
      </c>
      <c r="E157" s="487">
        <f>SUMIFS(支出入力表!$M$6:$M$1000,支出入力表!$C$6:$C$1000,"10",支出入力表!$G$6:$G$1000,"9")</f>
        <v>0</v>
      </c>
      <c r="F157" s="107" t="s">
        <v>78</v>
      </c>
      <c r="G157" s="487">
        <f>SUMIFS(支出入力表!$N$6:$N$1000,支出入力表!$C$6:$C$1000,"10",支出入力表!$G$6:$G$1000,"9")</f>
        <v>0</v>
      </c>
      <c r="H157" s="107" t="s">
        <v>78</v>
      </c>
      <c r="I157" s="487">
        <f>SUMIFS(支出入力表!$O$6:$O$1000,支出入力表!$C$6:$C$1000,"10",支出入力表!$G$6:$G$1000,"9")</f>
        <v>0</v>
      </c>
      <c r="J157" s="156" t="s">
        <v>78</v>
      </c>
    </row>
    <row r="158" spans="2:10" ht="19.5" thickBot="1" x14ac:dyDescent="0.45">
      <c r="B158" s="479">
        <f>団体基本情報!$D$22</f>
        <v>0</v>
      </c>
      <c r="C158" s="106" t="s">
        <v>62</v>
      </c>
      <c r="D158" s="87" t="s">
        <v>12</v>
      </c>
      <c r="E158" s="487">
        <f>SUMIFS(支出入力表!$M$6:$M$1000,支出入力表!$C$6:$C$1000,"10",支出入力表!$G$6:$G$1000,"10")</f>
        <v>0</v>
      </c>
      <c r="F158" s="107" t="s">
        <v>78</v>
      </c>
      <c r="G158" s="487">
        <f>SUMIFS(支出入力表!$N$6:$N$1000,支出入力表!$C$6:$C$1000,"10",支出入力表!$G$6:$G$1000,"10")</f>
        <v>0</v>
      </c>
      <c r="H158" s="107" t="s">
        <v>78</v>
      </c>
      <c r="I158" s="487">
        <f>SUMIFS(支出入力表!$O$6:$O$1000,支出入力表!$C$6:$C$1000,"10",支出入力表!$G$6:$G$1000,"10")</f>
        <v>0</v>
      </c>
      <c r="J158" s="156" t="s">
        <v>78</v>
      </c>
    </row>
    <row r="159" spans="2:10" ht="19.5" thickBot="1" x14ac:dyDescent="0.45">
      <c r="B159" s="479">
        <f>団体基本情報!$D$22</f>
        <v>0</v>
      </c>
      <c r="C159" s="106" t="s">
        <v>63</v>
      </c>
      <c r="D159" s="87" t="s">
        <v>13</v>
      </c>
      <c r="E159" s="487">
        <f>SUMIFS(支出入力表!$M$6:$M$1000,支出入力表!$C$6:$C$1000,"10",支出入力表!$G$6:$G$1000,"11")</f>
        <v>0</v>
      </c>
      <c r="F159" s="107" t="s">
        <v>78</v>
      </c>
      <c r="G159" s="487">
        <f>SUMIFS(支出入力表!$N$6:$N$1000,支出入力表!$C$6:$C$1000,"10",支出入力表!$G$6:$G$1000,"11")</f>
        <v>0</v>
      </c>
      <c r="H159" s="107" t="s">
        <v>78</v>
      </c>
      <c r="I159" s="487">
        <f>SUMIFS(支出入力表!$O$6:$O$1000,支出入力表!$C$6:$C$1000,"10",支出入力表!$G$6:$G$1000,"11")</f>
        <v>0</v>
      </c>
      <c r="J159" s="156" t="s">
        <v>78</v>
      </c>
    </row>
    <row r="160" spans="2:10" ht="19.5" thickBot="1" x14ac:dyDescent="0.45">
      <c r="B160" s="479">
        <f>団体基本情報!$D$22</f>
        <v>0</v>
      </c>
      <c r="C160" s="106" t="s">
        <v>64</v>
      </c>
      <c r="D160" s="87" t="s">
        <v>9</v>
      </c>
      <c r="E160" s="487">
        <f>SUMIFS(支出入力表!$M$6:$M$1000,支出入力表!$C$6:$C$1000,"10",支出入力表!$G$6:$G$1000,"12")</f>
        <v>0</v>
      </c>
      <c r="F160" s="107" t="s">
        <v>78</v>
      </c>
      <c r="G160" s="487">
        <f>SUMIFS(支出入力表!$N$6:$N$1000,支出入力表!$C$6:$C$1000,"10",支出入力表!$G$6:$G$1000,"12")</f>
        <v>0</v>
      </c>
      <c r="H160" s="107" t="s">
        <v>78</v>
      </c>
      <c r="I160" s="487">
        <f>SUMIFS(支出入力表!$O$6:$O$1000,支出入力表!$C$6:$C$1000,"10",支出入力表!$G$6:$G$1000,"12")</f>
        <v>0</v>
      </c>
      <c r="J160" s="156" t="s">
        <v>78</v>
      </c>
    </row>
    <row r="161" spans="2:10" ht="19.5" thickBot="1" x14ac:dyDescent="0.45">
      <c r="B161" s="479">
        <f>団体基本情報!$D$22</f>
        <v>0</v>
      </c>
      <c r="C161" s="106" t="s">
        <v>65</v>
      </c>
      <c r="D161" s="87" t="s">
        <v>5</v>
      </c>
      <c r="E161" s="487">
        <f>SUMIFS(支出入力表!$M$6:$M$1000,支出入力表!$C$6:$C$1000,"10",支出入力表!$G$6:$G$1000,"13")</f>
        <v>0</v>
      </c>
      <c r="F161" s="107" t="s">
        <v>78</v>
      </c>
      <c r="G161" s="487">
        <f>SUMIFS(支出入力表!$N$6:$N$1000,支出入力表!$C$6:$C$1000,"10",支出入力表!$G$6:$G$1000,"13")</f>
        <v>0</v>
      </c>
      <c r="H161" s="107" t="s">
        <v>78</v>
      </c>
      <c r="I161" s="487">
        <f>SUMIFS(支出入力表!$O$6:$O$1000,支出入力表!$C$6:$C$1000,"10",支出入力表!$G$6:$G$1000,"13")</f>
        <v>0</v>
      </c>
      <c r="J161" s="156" t="s">
        <v>78</v>
      </c>
    </row>
    <row r="162" spans="2:10" ht="19.5" thickBot="1" x14ac:dyDescent="0.45">
      <c r="B162" s="480">
        <f>団体基本情報!$D$22</f>
        <v>0</v>
      </c>
      <c r="C162" s="106" t="s">
        <v>51</v>
      </c>
      <c r="D162" s="87" t="s">
        <v>126</v>
      </c>
      <c r="E162" s="487">
        <f>SUMIFS(支出入力表!$M$6:$M$1000,支出入力表!$C$6:$C$1000,"10",支出入力表!$G$6:$G$1000,"14")</f>
        <v>0</v>
      </c>
      <c r="F162" s="107" t="s">
        <v>78</v>
      </c>
      <c r="G162" s="487">
        <f>SUMIFS(支出入力表!$N$6:$N$1000,支出入力表!$C$6:$C$1000,"10",支出入力表!$G$6:$G$1000,"14")</f>
        <v>0</v>
      </c>
      <c r="H162" s="107" t="s">
        <v>78</v>
      </c>
      <c r="I162" s="487">
        <f>SUMIFS(支出入力表!$O$6:$O$1000,支出入力表!$C$6:$C$1000,"10",支出入力表!$G$6:$G$1000,"14")</f>
        <v>0</v>
      </c>
      <c r="J162" s="156" t="s">
        <v>78</v>
      </c>
    </row>
    <row r="163" spans="2:10" ht="19.5" thickBot="1" x14ac:dyDescent="0.45">
      <c r="B163" s="481">
        <f>団体基本情報!$D$22</f>
        <v>0</v>
      </c>
      <c r="C163" s="108" t="s">
        <v>130</v>
      </c>
      <c r="D163" s="88" t="s">
        <v>131</v>
      </c>
      <c r="E163" s="488">
        <f>SUMIFS(支出入力表!$M$6:$M$1000,支出入力表!$C$6:$C$1000,"10",支出入力表!$G$6:$G$1000,"15")</f>
        <v>0</v>
      </c>
      <c r="F163" s="109" t="s">
        <v>26</v>
      </c>
      <c r="G163" s="489" t="s">
        <v>132</v>
      </c>
      <c r="H163" s="109" t="s">
        <v>26</v>
      </c>
      <c r="I163" s="488">
        <f>SUMIFS(支出入力表!$O$6:$O$1000,支出入力表!$C$6:$C$1000,"10",支出入力表!$G$6:$G$1000,"15")</f>
        <v>0</v>
      </c>
      <c r="J163" s="157" t="s">
        <v>26</v>
      </c>
    </row>
    <row r="164" spans="2:10" ht="20.25" thickTop="1" thickBot="1" x14ac:dyDescent="0.45">
      <c r="B164" s="117">
        <f>団体基本情報!$D$22</f>
        <v>0</v>
      </c>
      <c r="C164" s="362" t="s">
        <v>242</v>
      </c>
      <c r="D164" s="362"/>
      <c r="E164" s="118">
        <f>SUM(E149:E163)</f>
        <v>0</v>
      </c>
      <c r="F164" s="119" t="s">
        <v>78</v>
      </c>
      <c r="G164" s="118">
        <f>SUM(G149:G163)</f>
        <v>0</v>
      </c>
      <c r="H164" s="119" t="s">
        <v>78</v>
      </c>
      <c r="I164" s="118">
        <f>SUM(I149:I163)</f>
        <v>0</v>
      </c>
      <c r="J164" s="158" t="s">
        <v>78</v>
      </c>
    </row>
    <row r="165" spans="2:10" ht="20.25" thickTop="1" thickBot="1" x14ac:dyDescent="0.45">
      <c r="B165" s="359" t="s">
        <v>48</v>
      </c>
      <c r="C165" s="360"/>
      <c r="D165" s="360"/>
      <c r="E165" s="111">
        <f>SUBTOTAL(9,E20,E36,E52,E68,E84,E100,E116,E132,E148,E164)</f>
        <v>0</v>
      </c>
      <c r="F165" s="110" t="s">
        <v>26</v>
      </c>
      <c r="G165" s="111">
        <f>SUBTOTAL(9,G20,G36,G52,G68,G84,G100,G116,G132,G148,G164)</f>
        <v>0</v>
      </c>
      <c r="H165" s="110" t="s">
        <v>26</v>
      </c>
      <c r="I165" s="111">
        <f>SUBTOTAL(9,I20,I36,I52,I68,I84,I100,I116,I132,I148,I164)</f>
        <v>0</v>
      </c>
      <c r="J165" s="159" t="s">
        <v>26</v>
      </c>
    </row>
  </sheetData>
  <sheetProtection algorithmName="SHA-512" hashValue="+ctxvvONtfUYf9BEEsCEzGf/oMWC7OyIPYqVoEjN/d7Q41NNcpZUQO1buJQdDexjCr+XQ7T3FLmp8PBjZmKrCw==" saltValue="mJIFnLpI/dYbFnfuK/26ww==" spinCount="100000" sheet="1" formatCells="0" formatColumns="0" formatRows="0" autoFilter="0"/>
  <autoFilter ref="B4:J164" xr:uid="{00000000-0009-0000-0000-000009000000}">
    <filterColumn colId="1" showButton="0"/>
    <filterColumn colId="3" showButton="0"/>
    <filterColumn colId="5" showButton="0"/>
    <filterColumn colId="7" showButton="0"/>
  </autoFilter>
  <mergeCells count="17">
    <mergeCell ref="E2:H2"/>
    <mergeCell ref="D1:J1"/>
    <mergeCell ref="C116:D116"/>
    <mergeCell ref="E4:F4"/>
    <mergeCell ref="G4:H4"/>
    <mergeCell ref="I4:J4"/>
    <mergeCell ref="C4:D4"/>
    <mergeCell ref="B165:D165"/>
    <mergeCell ref="C132:D132"/>
    <mergeCell ref="C148:D148"/>
    <mergeCell ref="C164:D164"/>
    <mergeCell ref="C20:D20"/>
    <mergeCell ref="C36:D36"/>
    <mergeCell ref="C52:D52"/>
    <mergeCell ref="C68:D68"/>
    <mergeCell ref="C84:D84"/>
    <mergeCell ref="C100:D100"/>
  </mergeCells>
  <phoneticPr fontId="4"/>
  <dataValidations count="1">
    <dataValidation allowBlank="1" showErrorMessage="1" sqref="C4:D19 E4:J165 B4:B165 C21:D164" xr:uid="{00000000-0002-0000-0900-000000000000}"/>
  </dataValidations>
  <hyperlinks>
    <hyperlink ref="B1" location="メニュー画面!B6" display="メニュー画面へ" xr:uid="{00000000-0004-0000-0900-000000000000}"/>
    <hyperlink ref="B2" location="支出入力表!B5" display="支出入力表へ" xr:uid="{00000000-0004-0000-0900-000001000000}"/>
  </hyperlinks>
  <pageMargins left="0.7" right="0.7" top="0.75" bottom="0.75" header="0.3" footer="0.3"/>
  <pageSetup paperSize="9" scale="8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Q15"/>
  <sheetViews>
    <sheetView workbookViewId="0"/>
  </sheetViews>
  <sheetFormatPr defaultRowHeight="18.75" x14ac:dyDescent="0.4"/>
  <cols>
    <col min="1" max="1" width="17.5" customWidth="1"/>
    <col min="11" max="11" width="11.5" customWidth="1"/>
    <col min="12" max="12" width="12.625" customWidth="1"/>
    <col min="13" max="13" width="17.625" customWidth="1"/>
    <col min="15" max="15" width="28.625" customWidth="1"/>
    <col min="17" max="17" width="41.625" bestFit="1" customWidth="1"/>
  </cols>
  <sheetData>
    <row r="1" spans="1:17" x14ac:dyDescent="0.4">
      <c r="A1" s="8" t="s">
        <v>0</v>
      </c>
      <c r="B1" s="9"/>
      <c r="C1" s="10">
        <v>1</v>
      </c>
      <c r="D1" s="9"/>
      <c r="E1" s="10" t="s">
        <v>38</v>
      </c>
      <c r="F1" s="9"/>
      <c r="G1" s="10">
        <v>1</v>
      </c>
      <c r="H1" s="9"/>
      <c r="I1" s="10" t="s">
        <v>39</v>
      </c>
      <c r="J1" s="9"/>
      <c r="K1" s="10" t="s">
        <v>0</v>
      </c>
      <c r="L1" s="10">
        <v>1</v>
      </c>
      <c r="M1" s="10" t="s">
        <v>0</v>
      </c>
      <c r="N1" s="9"/>
      <c r="O1" s="10" t="s">
        <v>117</v>
      </c>
      <c r="Q1" s="11" t="s">
        <v>85</v>
      </c>
    </row>
    <row r="2" spans="1:17" x14ac:dyDescent="0.4">
      <c r="A2" s="8" t="s">
        <v>2</v>
      </c>
      <c r="B2" s="9"/>
      <c r="C2" s="10">
        <v>2</v>
      </c>
      <c r="D2" s="9"/>
      <c r="E2" s="10" t="s">
        <v>33</v>
      </c>
      <c r="F2" s="9"/>
      <c r="G2" s="10">
        <v>2</v>
      </c>
      <c r="H2" s="9"/>
      <c r="I2" s="9"/>
      <c r="J2" s="9"/>
      <c r="K2" s="10" t="s">
        <v>2</v>
      </c>
      <c r="L2" s="10">
        <v>2</v>
      </c>
      <c r="M2" s="10" t="s">
        <v>2</v>
      </c>
      <c r="N2" s="9"/>
      <c r="O2" s="10" t="s">
        <v>115</v>
      </c>
      <c r="Q2" s="11" t="s">
        <v>86</v>
      </c>
    </row>
    <row r="3" spans="1:17" x14ac:dyDescent="0.4">
      <c r="A3" s="8" t="s">
        <v>11</v>
      </c>
      <c r="B3" s="9"/>
      <c r="C3" s="10">
        <v>3</v>
      </c>
      <c r="D3" s="9"/>
      <c r="E3" s="10" t="s">
        <v>35</v>
      </c>
      <c r="F3" s="9"/>
      <c r="G3" s="10">
        <v>3</v>
      </c>
      <c r="H3" s="9"/>
      <c r="I3" s="9"/>
      <c r="J3" s="9"/>
      <c r="K3" s="10" t="s">
        <v>11</v>
      </c>
      <c r="L3" s="10">
        <v>3</v>
      </c>
      <c r="M3" s="10" t="s">
        <v>11</v>
      </c>
      <c r="N3" s="9"/>
      <c r="O3" s="10" t="s">
        <v>36</v>
      </c>
    </row>
    <row r="4" spans="1:17" x14ac:dyDescent="0.4">
      <c r="A4" s="8" t="s">
        <v>10</v>
      </c>
      <c r="B4" s="9"/>
      <c r="C4" s="10">
        <v>4</v>
      </c>
      <c r="D4" s="9"/>
      <c r="E4" s="10" t="s">
        <v>40</v>
      </c>
      <c r="F4" s="9"/>
      <c r="G4" s="9"/>
      <c r="H4" s="9"/>
      <c r="I4" s="9"/>
      <c r="J4" s="9"/>
      <c r="K4" s="10" t="s">
        <v>10</v>
      </c>
      <c r="L4" s="10">
        <v>4</v>
      </c>
      <c r="M4" s="10" t="s">
        <v>10</v>
      </c>
      <c r="N4" s="9"/>
      <c r="O4" s="10" t="s">
        <v>197</v>
      </c>
    </row>
    <row r="5" spans="1:17" x14ac:dyDescent="0.4">
      <c r="A5" s="8" t="s">
        <v>3</v>
      </c>
      <c r="B5" s="9"/>
      <c r="C5" s="10">
        <v>5</v>
      </c>
      <c r="D5" s="9"/>
      <c r="E5" s="9"/>
      <c r="F5" s="9"/>
      <c r="G5" s="9"/>
      <c r="H5" s="9"/>
      <c r="I5" s="9"/>
      <c r="J5" s="9"/>
      <c r="K5" s="10" t="s">
        <v>3</v>
      </c>
      <c r="L5" s="10">
        <v>5</v>
      </c>
      <c r="M5" s="10" t="s">
        <v>3</v>
      </c>
      <c r="N5" s="9"/>
      <c r="O5" s="10" t="s">
        <v>116</v>
      </c>
    </row>
    <row r="6" spans="1:17" x14ac:dyDescent="0.4">
      <c r="A6" s="8" t="s">
        <v>7</v>
      </c>
      <c r="B6" s="9"/>
      <c r="C6" s="10">
        <v>6</v>
      </c>
      <c r="D6" s="9"/>
      <c r="E6" s="10" t="s">
        <v>0</v>
      </c>
      <c r="F6" s="9"/>
      <c r="G6" s="368" t="s">
        <v>164</v>
      </c>
      <c r="H6" s="368"/>
      <c r="I6" s="9"/>
      <c r="J6" s="9"/>
      <c r="K6" s="10" t="s">
        <v>7</v>
      </c>
      <c r="L6" s="10">
        <v>6</v>
      </c>
      <c r="M6" s="10" t="s">
        <v>7</v>
      </c>
      <c r="N6" s="9"/>
      <c r="O6" s="9"/>
    </row>
    <row r="7" spans="1:17" x14ac:dyDescent="0.4">
      <c r="A7" s="8" t="s">
        <v>1</v>
      </c>
      <c r="B7" s="9"/>
      <c r="C7" s="10">
        <v>7</v>
      </c>
      <c r="D7" s="9"/>
      <c r="E7" s="10" t="s">
        <v>2</v>
      </c>
      <c r="F7" s="9"/>
      <c r="G7" s="113">
        <v>44621</v>
      </c>
      <c r="H7" s="113">
        <v>44651</v>
      </c>
      <c r="I7" s="113">
        <v>44652</v>
      </c>
      <c r="J7" s="9"/>
      <c r="K7" s="10" t="s">
        <v>1</v>
      </c>
      <c r="L7" s="10">
        <v>7</v>
      </c>
      <c r="M7" s="10" t="s">
        <v>1</v>
      </c>
      <c r="N7" s="9"/>
      <c r="O7" s="9"/>
    </row>
    <row r="8" spans="1:17" x14ac:dyDescent="0.4">
      <c r="A8" s="8" t="s">
        <v>4</v>
      </c>
      <c r="B8" s="9"/>
      <c r="C8" s="10">
        <v>8</v>
      </c>
      <c r="D8" s="9"/>
      <c r="E8" s="10" t="s">
        <v>41</v>
      </c>
      <c r="F8" s="9"/>
      <c r="G8" s="113">
        <v>45046</v>
      </c>
      <c r="H8" s="113">
        <v>45017</v>
      </c>
      <c r="I8" s="113">
        <v>45016</v>
      </c>
      <c r="J8" s="9"/>
      <c r="K8" s="10" t="s">
        <v>4</v>
      </c>
      <c r="L8" s="10">
        <v>8</v>
      </c>
      <c r="M8" s="10" t="s">
        <v>4</v>
      </c>
      <c r="N8" s="9"/>
      <c r="O8" s="9"/>
    </row>
    <row r="9" spans="1:17" x14ac:dyDescent="0.4">
      <c r="A9" s="8" t="s">
        <v>8</v>
      </c>
      <c r="B9" s="9"/>
      <c r="C9" s="10">
        <v>9</v>
      </c>
      <c r="D9" s="9"/>
      <c r="E9" s="10" t="s">
        <v>6</v>
      </c>
      <c r="F9" s="9"/>
      <c r="G9" s="9"/>
      <c r="H9" s="9"/>
      <c r="I9" s="9"/>
      <c r="J9" s="9"/>
      <c r="K9" s="10" t="s">
        <v>8</v>
      </c>
      <c r="L9" s="10">
        <v>9</v>
      </c>
      <c r="M9" s="10" t="s">
        <v>8</v>
      </c>
      <c r="N9" s="9"/>
      <c r="O9" s="9"/>
    </row>
    <row r="10" spans="1:17" x14ac:dyDescent="0.4">
      <c r="A10" s="8" t="s">
        <v>12</v>
      </c>
      <c r="B10" s="9"/>
      <c r="C10" s="10">
        <v>10</v>
      </c>
      <c r="D10" s="9"/>
      <c r="E10" s="9"/>
      <c r="F10" s="9"/>
      <c r="G10" s="9"/>
      <c r="H10" s="9"/>
      <c r="I10" s="9"/>
      <c r="J10" s="9"/>
      <c r="K10" s="10" t="s">
        <v>12</v>
      </c>
      <c r="L10" s="10">
        <v>10</v>
      </c>
      <c r="M10" s="10" t="s">
        <v>12</v>
      </c>
      <c r="N10" s="9"/>
      <c r="O10" s="9"/>
    </row>
    <row r="11" spans="1:17" x14ac:dyDescent="0.4">
      <c r="A11" s="8" t="s">
        <v>13</v>
      </c>
      <c r="B11" s="9"/>
      <c r="C11" s="10">
        <v>11</v>
      </c>
      <c r="D11" s="9"/>
      <c r="E11" s="9"/>
      <c r="F11" s="9"/>
      <c r="G11" s="9"/>
      <c r="H11" s="9"/>
      <c r="I11" s="9"/>
      <c r="J11" s="9"/>
      <c r="K11" s="10" t="s">
        <v>13</v>
      </c>
      <c r="L11" s="10">
        <v>11</v>
      </c>
      <c r="M11" s="10" t="s">
        <v>13</v>
      </c>
      <c r="N11" s="9"/>
      <c r="O11" s="9"/>
    </row>
    <row r="12" spans="1:17" x14ac:dyDescent="0.4">
      <c r="A12" s="8" t="s">
        <v>9</v>
      </c>
      <c r="B12" s="9"/>
      <c r="C12" s="10">
        <v>12</v>
      </c>
      <c r="D12" s="9"/>
      <c r="E12" s="9"/>
      <c r="F12" s="9"/>
      <c r="G12" s="9"/>
      <c r="H12" s="9"/>
      <c r="I12" s="9"/>
      <c r="J12" s="9"/>
      <c r="K12" s="10" t="s">
        <v>9</v>
      </c>
      <c r="L12" s="10">
        <v>12</v>
      </c>
      <c r="M12" s="10" t="s">
        <v>9</v>
      </c>
      <c r="N12" s="9"/>
      <c r="O12" s="9"/>
    </row>
    <row r="13" spans="1:17" x14ac:dyDescent="0.4">
      <c r="A13" s="8" t="s">
        <v>5</v>
      </c>
      <c r="B13" s="9"/>
      <c r="C13" s="10">
        <v>13</v>
      </c>
      <c r="D13" s="9"/>
      <c r="E13" s="9"/>
      <c r="F13" s="9"/>
      <c r="G13" s="9"/>
      <c r="H13" s="9"/>
      <c r="I13" s="9"/>
      <c r="J13" s="9"/>
      <c r="K13" s="10" t="s">
        <v>5</v>
      </c>
      <c r="L13" s="10">
        <v>13</v>
      </c>
      <c r="M13" s="10" t="s">
        <v>5</v>
      </c>
      <c r="N13" s="9"/>
      <c r="O13" s="9"/>
    </row>
    <row r="14" spans="1:17" x14ac:dyDescent="0.4">
      <c r="A14" s="8" t="s">
        <v>125</v>
      </c>
      <c r="B14" s="9"/>
      <c r="C14" s="10">
        <v>14</v>
      </c>
      <c r="D14" s="9"/>
      <c r="E14" s="9"/>
      <c r="F14" s="9"/>
      <c r="G14" s="9"/>
      <c r="H14" s="9"/>
      <c r="I14" s="9"/>
      <c r="J14" s="9"/>
      <c r="K14" s="10" t="s">
        <v>126</v>
      </c>
      <c r="L14" s="10">
        <v>14</v>
      </c>
      <c r="M14" s="10" t="s">
        <v>126</v>
      </c>
      <c r="N14" s="9"/>
      <c r="O14" s="9"/>
    </row>
    <row r="15" spans="1:17" x14ac:dyDescent="0.4">
      <c r="A15" s="8" t="s">
        <v>123</v>
      </c>
      <c r="B15" s="9"/>
      <c r="C15" s="10">
        <v>15</v>
      </c>
      <c r="D15" s="9"/>
      <c r="E15" s="9"/>
      <c r="F15" s="9"/>
      <c r="G15" s="9"/>
      <c r="H15" s="9"/>
      <c r="I15" s="9"/>
      <c r="J15" s="9"/>
      <c r="K15" s="10" t="s">
        <v>124</v>
      </c>
      <c r="L15" s="10">
        <v>15</v>
      </c>
      <c r="M15" s="10" t="s">
        <v>124</v>
      </c>
      <c r="N15" s="9"/>
      <c r="O15" s="9"/>
    </row>
  </sheetData>
  <sheetProtection formatCells="0" formatColumns="0" formatRows="0" autoFilter="0"/>
  <mergeCells count="1">
    <mergeCell ref="G6:H6"/>
  </mergeCells>
  <phoneticPr fontId="4"/>
  <conditionalFormatting sqref="N32">
    <cfRule type="cellIs" priority="1" operator="notEqual">
      <formula>$I$1</formula>
    </cfRule>
  </conditionalFormatting>
  <pageMargins left="0.7" right="0.7" top="0.75" bottom="0.75" header="0.3" footer="0.3"/>
  <pageSetup paperSize="9" scale="51"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3AB89-0A55-4B95-B11C-356AB846DF64}">
  <sheetPr codeName="Sheet5"/>
  <dimension ref="A6:AC37"/>
  <sheetViews>
    <sheetView showGridLines="0" view="pageBreakPreview" zoomScale="80" zoomScaleNormal="100" zoomScaleSheetLayoutView="80" workbookViewId="0">
      <selection activeCell="J17" sqref="J17:L17"/>
    </sheetView>
  </sheetViews>
  <sheetFormatPr defaultRowHeight="18.75" x14ac:dyDescent="0.4"/>
  <cols>
    <col min="1" max="1" width="2.125" style="9" customWidth="1"/>
    <col min="2" max="2" width="2.625" style="9" customWidth="1"/>
    <col min="3" max="3" width="9.625" style="9" customWidth="1"/>
    <col min="4" max="4" width="4" style="9" customWidth="1"/>
    <col min="5" max="5" width="8.625" style="9" customWidth="1"/>
    <col min="6" max="6" width="3.625" style="9" customWidth="1"/>
    <col min="7" max="7" width="3.125" style="9" customWidth="1"/>
    <col min="8" max="8" width="8.125" style="9" customWidth="1"/>
    <col min="9" max="9" width="2.125" style="9" customWidth="1"/>
    <col min="10" max="10" width="10.625" style="9" customWidth="1"/>
    <col min="11" max="11" width="3.5" style="9" customWidth="1"/>
    <col min="12" max="13" width="7.125" style="9" customWidth="1"/>
    <col min="14" max="14" width="5.125" style="9" customWidth="1"/>
    <col min="15" max="15" width="4.625" style="9" customWidth="1"/>
    <col min="16" max="16" width="6.625" style="9" customWidth="1"/>
    <col min="17" max="17" width="4.625" style="9" customWidth="1"/>
    <col min="18" max="18" width="5.125" style="9" customWidth="1"/>
    <col min="19" max="19" width="6.625" style="9" customWidth="1"/>
    <col min="20" max="20" width="3.625" style="9" customWidth="1"/>
    <col min="21" max="21" width="6.625" style="9" hidden="1" customWidth="1"/>
    <col min="22" max="22" width="10.5" style="9" hidden="1" customWidth="1"/>
    <col min="23" max="23" width="0" style="9" hidden="1" customWidth="1"/>
    <col min="24" max="25" width="20.5" style="9" hidden="1" customWidth="1"/>
    <col min="26" max="26" width="15.125" hidden="1" customWidth="1"/>
    <col min="27" max="30" width="0" hidden="1" customWidth="1"/>
  </cols>
  <sheetData>
    <row r="6" spans="2:26" x14ac:dyDescent="0.4">
      <c r="B6"/>
      <c r="C6"/>
      <c r="D6"/>
      <c r="E6"/>
      <c r="F6"/>
      <c r="G6"/>
      <c r="H6"/>
      <c r="I6"/>
      <c r="J6"/>
      <c r="K6"/>
      <c r="L6"/>
      <c r="M6"/>
      <c r="N6"/>
      <c r="O6"/>
      <c r="P6"/>
      <c r="Q6"/>
      <c r="R6"/>
      <c r="S6"/>
      <c r="T6"/>
      <c r="U6"/>
      <c r="V6"/>
    </row>
    <row r="7" spans="2:26" x14ac:dyDescent="0.4">
      <c r="B7"/>
      <c r="C7"/>
      <c r="D7"/>
      <c r="E7"/>
      <c r="F7"/>
      <c r="G7"/>
      <c r="H7"/>
      <c r="I7"/>
      <c r="J7"/>
      <c r="K7"/>
      <c r="L7"/>
      <c r="M7"/>
      <c r="N7"/>
      <c r="O7"/>
      <c r="P7"/>
      <c r="Q7"/>
      <c r="R7"/>
      <c r="S7"/>
      <c r="T7"/>
      <c r="U7"/>
      <c r="V7"/>
    </row>
    <row r="8" spans="2:26" x14ac:dyDescent="0.4">
      <c r="B8"/>
      <c r="C8"/>
      <c r="D8"/>
      <c r="E8"/>
      <c r="F8"/>
      <c r="G8"/>
      <c r="H8"/>
      <c r="I8"/>
      <c r="J8"/>
      <c r="K8"/>
      <c r="L8"/>
      <c r="M8"/>
      <c r="N8"/>
      <c r="O8"/>
      <c r="P8"/>
      <c r="Q8"/>
      <c r="R8"/>
      <c r="S8"/>
      <c r="T8"/>
      <c r="U8"/>
      <c r="V8"/>
    </row>
    <row r="9" spans="2:26" x14ac:dyDescent="0.4">
      <c r="B9"/>
      <c r="C9"/>
      <c r="D9"/>
      <c r="E9"/>
      <c r="F9"/>
      <c r="G9"/>
      <c r="H9"/>
      <c r="I9"/>
      <c r="J9"/>
      <c r="K9"/>
      <c r="L9"/>
      <c r="M9"/>
      <c r="N9"/>
      <c r="O9"/>
      <c r="P9"/>
      <c r="Q9"/>
      <c r="R9"/>
      <c r="S9"/>
      <c r="T9"/>
      <c r="U9"/>
      <c r="V9"/>
    </row>
    <row r="10" spans="2:26" x14ac:dyDescent="0.4">
      <c r="B10"/>
      <c r="C10"/>
      <c r="D10"/>
      <c r="E10"/>
      <c r="F10"/>
      <c r="G10"/>
      <c r="H10"/>
      <c r="I10"/>
      <c r="J10"/>
      <c r="K10"/>
      <c r="L10"/>
      <c r="M10"/>
      <c r="N10"/>
      <c r="O10"/>
      <c r="P10"/>
      <c r="Q10"/>
      <c r="R10"/>
      <c r="S10"/>
      <c r="T10"/>
      <c r="U10"/>
      <c r="V10"/>
    </row>
    <row r="11" spans="2:26" x14ac:dyDescent="0.4">
      <c r="B11"/>
      <c r="C11"/>
      <c r="D11"/>
      <c r="E11"/>
      <c r="F11"/>
      <c r="G11"/>
      <c r="H11"/>
      <c r="I11"/>
      <c r="J11"/>
      <c r="K11"/>
      <c r="L11"/>
      <c r="M11"/>
      <c r="N11"/>
      <c r="O11"/>
      <c r="P11"/>
      <c r="Q11"/>
      <c r="R11"/>
      <c r="S11"/>
      <c r="T11"/>
      <c r="U11"/>
      <c r="V11"/>
    </row>
    <row r="12" spans="2:26" ht="18.75" customHeight="1" x14ac:dyDescent="0.4">
      <c r="B12" s="369" t="s">
        <v>184</v>
      </c>
      <c r="C12" s="369"/>
      <c r="D12" s="369"/>
      <c r="E12" s="369"/>
      <c r="F12" s="369"/>
      <c r="G12" s="369"/>
      <c r="H12" s="369"/>
      <c r="I12" s="369"/>
      <c r="J12" s="395" t="str">
        <f>AC17</f>
        <v>変更可(相談不要)</v>
      </c>
      <c r="K12" s="395"/>
      <c r="L12" s="395"/>
      <c r="M12" s="395"/>
      <c r="N12" s="395"/>
      <c r="O12" s="395"/>
      <c r="P12" s="395"/>
      <c r="Q12" s="148"/>
    </row>
    <row r="13" spans="2:26" ht="24" customHeight="1" x14ac:dyDescent="0.4">
      <c r="B13" s="369"/>
      <c r="C13" s="369"/>
      <c r="D13" s="369"/>
      <c r="E13" s="369"/>
      <c r="F13" s="369"/>
      <c r="G13" s="369"/>
      <c r="H13" s="369"/>
      <c r="I13" s="369"/>
      <c r="J13" s="395"/>
      <c r="K13" s="395"/>
      <c r="L13" s="395"/>
      <c r="M13" s="395"/>
      <c r="N13" s="395"/>
      <c r="O13" s="395"/>
      <c r="P13" s="395"/>
      <c r="Q13" s="202" t="s">
        <v>227</v>
      </c>
      <c r="R13" s="201"/>
    </row>
    <row r="14" spans="2:26" s="9" customFormat="1" ht="19.5" thickBot="1" x14ac:dyDescent="0.45">
      <c r="B14" s="160" t="s">
        <v>114</v>
      </c>
      <c r="C14" s="160"/>
      <c r="D14" s="160"/>
      <c r="E14" s="160"/>
      <c r="F14" s="160"/>
      <c r="G14" s="160"/>
      <c r="H14" s="160"/>
      <c r="I14" s="160"/>
      <c r="J14" s="396"/>
      <c r="K14" s="396"/>
      <c r="L14" s="396"/>
      <c r="M14" s="396"/>
      <c r="N14" s="396"/>
      <c r="O14" s="396"/>
      <c r="P14" s="396"/>
      <c r="Q14" s="13"/>
      <c r="R14" s="13"/>
      <c r="S14" s="13"/>
      <c r="T14" s="13"/>
      <c r="U14" s="13"/>
      <c r="V14" s="9" t="s">
        <v>185</v>
      </c>
      <c r="Z14"/>
    </row>
    <row r="15" spans="2:26" s="9" customFormat="1" ht="19.5" thickBot="1" x14ac:dyDescent="0.45">
      <c r="B15" s="261" t="s">
        <v>31</v>
      </c>
      <c r="C15" s="262"/>
      <c r="D15" s="262"/>
      <c r="E15" s="262"/>
      <c r="F15" s="262"/>
      <c r="G15" s="262"/>
      <c r="H15" s="262"/>
      <c r="I15" s="262"/>
      <c r="J15" s="267" t="s">
        <v>32</v>
      </c>
      <c r="K15" s="268"/>
      <c r="L15" s="268"/>
      <c r="M15" s="268"/>
      <c r="N15" s="268"/>
      <c r="O15" s="268"/>
      <c r="P15" s="268"/>
      <c r="Q15" s="269"/>
      <c r="R15" s="270" t="s">
        <v>186</v>
      </c>
      <c r="S15" s="370"/>
      <c r="T15" s="371"/>
      <c r="U15" s="47"/>
      <c r="V15" s="149">
        <f>MIN(J17:L19)</f>
        <v>0</v>
      </c>
      <c r="Z15"/>
    </row>
    <row r="16" spans="2:26" s="9" customFormat="1" ht="19.5" thickBot="1" x14ac:dyDescent="0.45">
      <c r="B16" s="265"/>
      <c r="C16" s="266"/>
      <c r="D16" s="266"/>
      <c r="E16" s="266"/>
      <c r="F16" s="266"/>
      <c r="G16" s="266"/>
      <c r="H16" s="266"/>
      <c r="I16" s="266"/>
      <c r="J16" s="267" t="s">
        <v>139</v>
      </c>
      <c r="K16" s="268"/>
      <c r="L16" s="269"/>
      <c r="M16" s="315" t="s">
        <v>187</v>
      </c>
      <c r="N16" s="267" t="s">
        <v>188</v>
      </c>
      <c r="O16" s="268"/>
      <c r="P16" s="268"/>
      <c r="Q16" s="269"/>
      <c r="R16" s="372"/>
      <c r="S16" s="373"/>
      <c r="T16" s="374"/>
      <c r="U16" s="47"/>
      <c r="V16" s="9" t="s">
        <v>189</v>
      </c>
      <c r="X16" s="9" t="s">
        <v>190</v>
      </c>
      <c r="Y16" s="9" t="s">
        <v>191</v>
      </c>
      <c r="Z16" t="s">
        <v>192</v>
      </c>
    </row>
    <row r="17" spans="2:29" s="9" customFormat="1" ht="21.95" customHeight="1" x14ac:dyDescent="0.4">
      <c r="B17" s="348" t="s">
        <v>38</v>
      </c>
      <c r="C17" s="349"/>
      <c r="D17" s="349"/>
      <c r="E17" s="349"/>
      <c r="F17" s="349"/>
      <c r="G17" s="349"/>
      <c r="H17" s="349"/>
      <c r="I17" s="349"/>
      <c r="J17" s="350">
        <f>精算額計算書!J8</f>
        <v>0</v>
      </c>
      <c r="K17" s="351"/>
      <c r="L17" s="352"/>
      <c r="M17" s="316"/>
      <c r="N17" s="375"/>
      <c r="O17" s="376"/>
      <c r="P17" s="376"/>
      <c r="Q17" s="377"/>
      <c r="R17" s="353">
        <f>N17-J17</f>
        <v>0</v>
      </c>
      <c r="S17" s="354"/>
      <c r="T17" s="355"/>
      <c r="U17" s="142" t="str">
        <f>IF(J17=V$15,"○","")</f>
        <v>○</v>
      </c>
      <c r="V17" s="149">
        <f>J17*20%</f>
        <v>0</v>
      </c>
      <c r="X17" s="150">
        <f>ABS(R17)</f>
        <v>0</v>
      </c>
      <c r="Y17" s="9" t="str">
        <f>IF(X17&gt;=V17,"○","")</f>
        <v>○</v>
      </c>
      <c r="Z17" t="str">
        <f>IF(X17&gt;=200000,"○","")</f>
        <v/>
      </c>
      <c r="AA17" s="9">
        <f>COUNTIF(U17:Z17,"○")</f>
        <v>2</v>
      </c>
      <c r="AB17" s="9">
        <f>COUNTIF(AA17:AA19,3)</f>
        <v>0</v>
      </c>
      <c r="AC17" s="9" t="str">
        <f>IF(AB17=1,"要相談","変更可(相談不要)")</f>
        <v>変更可(相談不要)</v>
      </c>
    </row>
    <row r="18" spans="2:29" s="9" customFormat="1" ht="21.95" customHeight="1" x14ac:dyDescent="0.4">
      <c r="B18" s="348" t="s">
        <v>33</v>
      </c>
      <c r="C18" s="349"/>
      <c r="D18" s="349"/>
      <c r="E18" s="349"/>
      <c r="F18" s="349"/>
      <c r="G18" s="349"/>
      <c r="H18" s="349"/>
      <c r="I18" s="349"/>
      <c r="J18" s="378">
        <f>精算額計算書!J9</f>
        <v>0</v>
      </c>
      <c r="K18" s="379"/>
      <c r="L18" s="380"/>
      <c r="M18" s="316"/>
      <c r="N18" s="381"/>
      <c r="O18" s="382"/>
      <c r="P18" s="382"/>
      <c r="Q18" s="383"/>
      <c r="R18" s="341">
        <f>N18-J18</f>
        <v>0</v>
      </c>
      <c r="S18" s="342"/>
      <c r="T18" s="343"/>
      <c r="U18" s="142" t="str">
        <f t="shared" ref="U18:U19" si="0">IF(J18=V$15,"○","")</f>
        <v>○</v>
      </c>
      <c r="V18" s="149">
        <f t="shared" ref="V18:V19" si="1">J18*20%</f>
        <v>0</v>
      </c>
      <c r="X18" s="150">
        <f t="shared" ref="X18:X19" si="2">ABS(R18)</f>
        <v>0</v>
      </c>
      <c r="Y18" s="9" t="str">
        <f t="shared" ref="Y18:Y19" si="3">IF(X18&gt;=V18,"○","")</f>
        <v>○</v>
      </c>
      <c r="Z18" t="str">
        <f t="shared" ref="Z18:Z19" si="4">IF(X18&gt;=200000,"○","")</f>
        <v/>
      </c>
      <c r="AA18" s="9">
        <f t="shared" ref="AA18:AA19" si="5">COUNTIF(U18:Z18,"○")</f>
        <v>2</v>
      </c>
    </row>
    <row r="19" spans="2:29" s="9" customFormat="1" ht="21.95" customHeight="1" x14ac:dyDescent="0.4">
      <c r="B19" s="30"/>
      <c r="C19" s="31"/>
      <c r="D19" s="31"/>
      <c r="E19" s="344" t="s">
        <v>34</v>
      </c>
      <c r="F19" s="344"/>
      <c r="G19" s="344"/>
      <c r="H19" s="344"/>
      <c r="I19" s="344"/>
      <c r="J19" s="345">
        <f>SUM(J20:L31)</f>
        <v>0</v>
      </c>
      <c r="K19" s="346"/>
      <c r="L19" s="347"/>
      <c r="M19" s="316"/>
      <c r="N19" s="341">
        <f>SUM(N20:Q31)</f>
        <v>0</v>
      </c>
      <c r="O19" s="342"/>
      <c r="P19" s="342"/>
      <c r="Q19" s="343"/>
      <c r="R19" s="341">
        <f>N19-J19</f>
        <v>0</v>
      </c>
      <c r="S19" s="342"/>
      <c r="T19" s="343"/>
      <c r="U19" s="142" t="str">
        <f t="shared" si="0"/>
        <v>○</v>
      </c>
      <c r="V19" s="149">
        <f t="shared" si="1"/>
        <v>0</v>
      </c>
      <c r="X19" s="150">
        <f t="shared" si="2"/>
        <v>0</v>
      </c>
      <c r="Y19" s="9" t="str">
        <f t="shared" si="3"/>
        <v>○</v>
      </c>
      <c r="Z19" t="str">
        <f t="shared" si="4"/>
        <v/>
      </c>
      <c r="AA19" s="9">
        <f t="shared" si="5"/>
        <v>2</v>
      </c>
    </row>
    <row r="20" spans="2:29" s="9" customFormat="1" ht="21.95" customHeight="1" x14ac:dyDescent="0.4">
      <c r="B20" s="30"/>
      <c r="C20" s="31"/>
      <c r="D20" s="31"/>
      <c r="E20" s="329" t="s">
        <v>99</v>
      </c>
      <c r="F20" s="330"/>
      <c r="G20" s="330"/>
      <c r="H20" s="330"/>
      <c r="I20" s="330"/>
      <c r="J20" s="331">
        <f>精算額計算書!J11</f>
        <v>0</v>
      </c>
      <c r="K20" s="332"/>
      <c r="L20" s="333"/>
      <c r="M20" s="316"/>
      <c r="N20" s="384"/>
      <c r="O20" s="385"/>
      <c r="P20" s="385"/>
      <c r="Q20" s="386"/>
      <c r="R20" s="334">
        <f t="shared" ref="R20:R33" si="6">N20-J20</f>
        <v>0</v>
      </c>
      <c r="S20" s="335"/>
      <c r="T20" s="336"/>
      <c r="U20" s="142"/>
      <c r="W20" s="27"/>
      <c r="Z20"/>
    </row>
    <row r="21" spans="2:29" s="9" customFormat="1" ht="21.95" customHeight="1" x14ac:dyDescent="0.4">
      <c r="B21" s="30"/>
      <c r="C21" s="31"/>
      <c r="D21" s="31"/>
      <c r="E21" s="318" t="s">
        <v>100</v>
      </c>
      <c r="F21" s="246"/>
      <c r="G21" s="246"/>
      <c r="H21" s="246"/>
      <c r="I21" s="246"/>
      <c r="J21" s="331">
        <f>精算額計算書!J12</f>
        <v>0</v>
      </c>
      <c r="K21" s="332"/>
      <c r="L21" s="333"/>
      <c r="M21" s="316"/>
      <c r="N21" s="387"/>
      <c r="O21" s="388"/>
      <c r="P21" s="388"/>
      <c r="Q21" s="389"/>
      <c r="R21" s="257">
        <f t="shared" si="6"/>
        <v>0</v>
      </c>
      <c r="S21" s="258"/>
      <c r="T21" s="259"/>
      <c r="U21" s="142"/>
      <c r="Z21"/>
    </row>
    <row r="22" spans="2:29" s="9" customFormat="1" ht="21.95" customHeight="1" x14ac:dyDescent="0.4">
      <c r="B22" s="30"/>
      <c r="C22" s="31"/>
      <c r="D22" s="31"/>
      <c r="E22" s="324" t="s">
        <v>101</v>
      </c>
      <c r="F22" s="325"/>
      <c r="G22" s="325"/>
      <c r="H22" s="325"/>
      <c r="I22" s="325"/>
      <c r="J22" s="331">
        <f>精算額計算書!J13</f>
        <v>0</v>
      </c>
      <c r="K22" s="332"/>
      <c r="L22" s="333"/>
      <c r="M22" s="316"/>
      <c r="N22" s="387"/>
      <c r="O22" s="388"/>
      <c r="P22" s="388"/>
      <c r="Q22" s="389"/>
      <c r="R22" s="257">
        <f t="shared" si="6"/>
        <v>0</v>
      </c>
      <c r="S22" s="258"/>
      <c r="T22" s="259"/>
      <c r="U22" s="142"/>
      <c r="Z22"/>
    </row>
    <row r="23" spans="2:29" s="9" customFormat="1" ht="21.95" customHeight="1" x14ac:dyDescent="0.4">
      <c r="B23" s="30"/>
      <c r="C23" s="31"/>
      <c r="D23" s="31"/>
      <c r="E23" s="318" t="s">
        <v>102</v>
      </c>
      <c r="F23" s="246"/>
      <c r="G23" s="246"/>
      <c r="H23" s="246"/>
      <c r="I23" s="246"/>
      <c r="J23" s="331">
        <f>精算額計算書!J14</f>
        <v>0</v>
      </c>
      <c r="K23" s="332"/>
      <c r="L23" s="333"/>
      <c r="M23" s="316"/>
      <c r="N23" s="387"/>
      <c r="O23" s="388"/>
      <c r="P23" s="388"/>
      <c r="Q23" s="389"/>
      <c r="R23" s="257">
        <f t="shared" si="6"/>
        <v>0</v>
      </c>
      <c r="S23" s="258"/>
      <c r="T23" s="259"/>
      <c r="U23" s="142"/>
      <c r="Z23"/>
    </row>
    <row r="24" spans="2:29" s="9" customFormat="1" ht="21.95" customHeight="1" x14ac:dyDescent="0.4">
      <c r="B24" s="321"/>
      <c r="C24" s="322"/>
      <c r="D24" s="323"/>
      <c r="E24" s="318" t="s">
        <v>103</v>
      </c>
      <c r="F24" s="246"/>
      <c r="G24" s="246"/>
      <c r="H24" s="246"/>
      <c r="I24" s="246"/>
      <c r="J24" s="331">
        <f>精算額計算書!J15</f>
        <v>0</v>
      </c>
      <c r="K24" s="332"/>
      <c r="L24" s="333"/>
      <c r="M24" s="316"/>
      <c r="N24" s="387"/>
      <c r="O24" s="388"/>
      <c r="P24" s="388"/>
      <c r="Q24" s="389"/>
      <c r="R24" s="257">
        <f t="shared" si="6"/>
        <v>0</v>
      </c>
      <c r="S24" s="258"/>
      <c r="T24" s="259"/>
      <c r="U24" s="142"/>
      <c r="Z24"/>
    </row>
    <row r="25" spans="2:29" s="9" customFormat="1" ht="21.95" customHeight="1" x14ac:dyDescent="0.4">
      <c r="B25" s="326" t="s">
        <v>127</v>
      </c>
      <c r="C25" s="327"/>
      <c r="D25" s="328"/>
      <c r="E25" s="324" t="s">
        <v>104</v>
      </c>
      <c r="F25" s="325"/>
      <c r="G25" s="325"/>
      <c r="H25" s="325"/>
      <c r="I25" s="325"/>
      <c r="J25" s="331">
        <f>精算額計算書!J16</f>
        <v>0</v>
      </c>
      <c r="K25" s="332"/>
      <c r="L25" s="333"/>
      <c r="M25" s="316"/>
      <c r="N25" s="387"/>
      <c r="O25" s="388"/>
      <c r="P25" s="388"/>
      <c r="Q25" s="389"/>
      <c r="R25" s="257">
        <f t="shared" si="6"/>
        <v>0</v>
      </c>
      <c r="S25" s="258"/>
      <c r="T25" s="259"/>
      <c r="U25" s="142"/>
      <c r="Z25"/>
    </row>
    <row r="26" spans="2:29" ht="21.95" customHeight="1" x14ac:dyDescent="0.4">
      <c r="B26" s="30"/>
      <c r="C26" s="31"/>
      <c r="D26" s="31"/>
      <c r="E26" s="318" t="s">
        <v>105</v>
      </c>
      <c r="F26" s="246"/>
      <c r="G26" s="246"/>
      <c r="H26" s="246"/>
      <c r="I26" s="246"/>
      <c r="J26" s="331">
        <f>精算額計算書!J17</f>
        <v>0</v>
      </c>
      <c r="K26" s="332"/>
      <c r="L26" s="333"/>
      <c r="M26" s="316"/>
      <c r="N26" s="387"/>
      <c r="O26" s="388"/>
      <c r="P26" s="388"/>
      <c r="Q26" s="389"/>
      <c r="R26" s="257">
        <f t="shared" si="6"/>
        <v>0</v>
      </c>
      <c r="S26" s="258"/>
      <c r="T26" s="259"/>
      <c r="U26" s="142"/>
    </row>
    <row r="27" spans="2:29" ht="21.95" customHeight="1" x14ac:dyDescent="0.4">
      <c r="B27" s="30"/>
      <c r="C27" s="31"/>
      <c r="D27" s="32"/>
      <c r="E27" s="318" t="s">
        <v>106</v>
      </c>
      <c r="F27" s="246"/>
      <c r="G27" s="246"/>
      <c r="H27" s="246"/>
      <c r="I27" s="246"/>
      <c r="J27" s="331">
        <f>精算額計算書!J18</f>
        <v>0</v>
      </c>
      <c r="K27" s="332"/>
      <c r="L27" s="333"/>
      <c r="M27" s="316"/>
      <c r="N27" s="387"/>
      <c r="O27" s="388"/>
      <c r="P27" s="388"/>
      <c r="Q27" s="389"/>
      <c r="R27" s="257">
        <f t="shared" si="6"/>
        <v>0</v>
      </c>
      <c r="S27" s="258"/>
      <c r="T27" s="259"/>
      <c r="U27" s="142"/>
    </row>
    <row r="28" spans="2:29" ht="21.95" customHeight="1" x14ac:dyDescent="0.4">
      <c r="B28" s="30"/>
      <c r="C28" s="31"/>
      <c r="D28" s="32"/>
      <c r="E28" s="141" t="s">
        <v>160</v>
      </c>
      <c r="F28" s="147"/>
      <c r="G28" s="390">
        <f xml:space="preserve"> IF(N28+N34=0,0%,ROUNDDOWN(N28/N34,3))</f>
        <v>0</v>
      </c>
      <c r="H28" s="390"/>
      <c r="I28" s="391"/>
      <c r="J28" s="331">
        <f>精算額計算書!J19</f>
        <v>0</v>
      </c>
      <c r="K28" s="332"/>
      <c r="L28" s="333"/>
      <c r="M28" s="316"/>
      <c r="N28" s="387"/>
      <c r="O28" s="388"/>
      <c r="P28" s="388"/>
      <c r="Q28" s="389"/>
      <c r="R28" s="257">
        <f t="shared" si="6"/>
        <v>0</v>
      </c>
      <c r="S28" s="258"/>
      <c r="T28" s="259"/>
      <c r="U28" s="142"/>
      <c r="W28" s="27"/>
    </row>
    <row r="29" spans="2:29" ht="21.95" customHeight="1" x14ac:dyDescent="0.4">
      <c r="B29" s="30"/>
      <c r="C29" s="31"/>
      <c r="D29" s="32"/>
      <c r="E29" s="302" t="s">
        <v>107</v>
      </c>
      <c r="F29" s="240"/>
      <c r="G29" s="240"/>
      <c r="H29" s="240"/>
      <c r="I29" s="240"/>
      <c r="J29" s="331">
        <f>精算額計算書!J20</f>
        <v>0</v>
      </c>
      <c r="K29" s="332"/>
      <c r="L29" s="333"/>
      <c r="M29" s="316"/>
      <c r="N29" s="387"/>
      <c r="O29" s="388"/>
      <c r="P29" s="388"/>
      <c r="Q29" s="389"/>
      <c r="R29" s="257">
        <f t="shared" si="6"/>
        <v>0</v>
      </c>
      <c r="S29" s="258"/>
      <c r="T29" s="259"/>
      <c r="U29" s="142"/>
    </row>
    <row r="30" spans="2:29" ht="21.95" customHeight="1" x14ac:dyDescent="0.4">
      <c r="B30" s="30"/>
      <c r="C30" s="31"/>
      <c r="D30" s="32"/>
      <c r="E30" s="302" t="s">
        <v>108</v>
      </c>
      <c r="F30" s="240"/>
      <c r="G30" s="240"/>
      <c r="H30" s="240"/>
      <c r="I30" s="240"/>
      <c r="J30" s="331">
        <f>精算額計算書!J21</f>
        <v>0</v>
      </c>
      <c r="K30" s="332"/>
      <c r="L30" s="333"/>
      <c r="M30" s="316"/>
      <c r="N30" s="387"/>
      <c r="O30" s="388"/>
      <c r="P30" s="388"/>
      <c r="Q30" s="389"/>
      <c r="R30" s="257">
        <f t="shared" si="6"/>
        <v>0</v>
      </c>
      <c r="S30" s="258"/>
      <c r="T30" s="259"/>
      <c r="U30" s="142"/>
    </row>
    <row r="31" spans="2:29" ht="21.95" customHeight="1" thickBot="1" x14ac:dyDescent="0.45">
      <c r="B31" s="30"/>
      <c r="C31" s="31"/>
      <c r="D31" s="31"/>
      <c r="E31" s="302" t="s">
        <v>128</v>
      </c>
      <c r="F31" s="240"/>
      <c r="G31" s="240"/>
      <c r="H31" s="240"/>
      <c r="I31" s="311"/>
      <c r="J31" s="331">
        <f>精算額計算書!J22</f>
        <v>0</v>
      </c>
      <c r="K31" s="332"/>
      <c r="L31" s="333"/>
      <c r="M31" s="317"/>
      <c r="N31" s="288"/>
      <c r="O31" s="289"/>
      <c r="P31" s="289"/>
      <c r="Q31" s="290"/>
      <c r="R31" s="291">
        <f t="shared" si="6"/>
        <v>0</v>
      </c>
      <c r="S31" s="292"/>
      <c r="T31" s="293"/>
      <c r="U31" s="142"/>
    </row>
    <row r="32" spans="2:29" ht="25.35" customHeight="1" thickTop="1" x14ac:dyDescent="0.4">
      <c r="B32" s="306" t="s">
        <v>148</v>
      </c>
      <c r="C32" s="307"/>
      <c r="D32" s="307"/>
      <c r="E32" s="307"/>
      <c r="F32" s="307"/>
      <c r="G32" s="307"/>
      <c r="H32" s="307"/>
      <c r="I32" s="307"/>
      <c r="J32" s="308">
        <f>SUM(J17:L19)</f>
        <v>0</v>
      </c>
      <c r="K32" s="309"/>
      <c r="L32" s="310"/>
      <c r="M32" s="300" t="s">
        <v>187</v>
      </c>
      <c r="N32" s="392">
        <f>SUM(N17:Q19)</f>
        <v>0</v>
      </c>
      <c r="O32" s="393"/>
      <c r="P32" s="393"/>
      <c r="Q32" s="394"/>
      <c r="R32" s="392">
        <f t="shared" si="6"/>
        <v>0</v>
      </c>
      <c r="S32" s="393"/>
      <c r="T32" s="394"/>
      <c r="U32" s="142"/>
    </row>
    <row r="33" spans="2:26" ht="29.1" customHeight="1" thickBot="1" x14ac:dyDescent="0.45">
      <c r="B33" s="286" t="s">
        <v>193</v>
      </c>
      <c r="C33" s="287"/>
      <c r="D33" s="287"/>
      <c r="E33" s="287"/>
      <c r="F33" s="287"/>
      <c r="G33" s="287"/>
      <c r="H33" s="287"/>
      <c r="I33" s="287"/>
      <c r="J33" s="288">
        <f>精算額計算書!J24</f>
        <v>0</v>
      </c>
      <c r="K33" s="289"/>
      <c r="L33" s="290"/>
      <c r="M33" s="301"/>
      <c r="N33" s="288"/>
      <c r="O33" s="289"/>
      <c r="P33" s="289"/>
      <c r="Q33" s="290"/>
      <c r="R33" s="291">
        <f t="shared" si="6"/>
        <v>0</v>
      </c>
      <c r="S33" s="292"/>
      <c r="T33" s="293"/>
      <c r="U33" s="142"/>
      <c r="Z33" s="2"/>
    </row>
    <row r="34" spans="2:26" ht="25.35" customHeight="1" thickTop="1" thickBot="1" x14ac:dyDescent="0.45">
      <c r="B34" s="249" t="s">
        <v>154</v>
      </c>
      <c r="C34" s="250"/>
      <c r="D34" s="250"/>
      <c r="E34" s="250"/>
      <c r="F34" s="250"/>
      <c r="G34" s="250"/>
      <c r="H34" s="250"/>
      <c r="I34" s="250"/>
      <c r="J34" s="251">
        <f>SUM(J32:L33)</f>
        <v>0</v>
      </c>
      <c r="K34" s="252"/>
      <c r="L34" s="253"/>
      <c r="M34" s="143"/>
      <c r="N34" s="251">
        <f>SUM(N32:Q33)</f>
        <v>0</v>
      </c>
      <c r="O34" s="252"/>
      <c r="P34" s="252"/>
      <c r="Q34" s="253"/>
      <c r="R34" s="251">
        <f>N34-J34</f>
        <v>0</v>
      </c>
      <c r="S34" s="252"/>
      <c r="T34" s="253"/>
      <c r="U34" s="142"/>
      <c r="W34" s="27"/>
    </row>
    <row r="35" spans="2:26" ht="18" customHeight="1" x14ac:dyDescent="0.4">
      <c r="B35" s="397" t="s">
        <v>170</v>
      </c>
      <c r="C35" s="397"/>
      <c r="D35" s="397"/>
      <c r="E35" s="397"/>
      <c r="F35" s="397"/>
      <c r="G35" s="397"/>
      <c r="H35" s="397"/>
      <c r="I35" s="397"/>
      <c r="J35" s="397"/>
      <c r="K35" s="397"/>
      <c r="L35" s="397"/>
      <c r="M35" s="144"/>
      <c r="N35" s="398" t="str">
        <f>IF(G28&gt;=50%,"科目「11.委託費」 が５０％以上となっています。","")</f>
        <v/>
      </c>
      <c r="O35" s="398"/>
      <c r="P35" s="398"/>
      <c r="Q35" s="398"/>
      <c r="R35" s="398"/>
      <c r="S35" s="398"/>
      <c r="T35" s="398"/>
      <c r="U35" s="69"/>
      <c r="W35" s="27"/>
    </row>
    <row r="36" spans="2:26" ht="21" customHeight="1" x14ac:dyDescent="0.4">
      <c r="B36" s="13"/>
      <c r="C36" s="13"/>
      <c r="D36" s="13"/>
      <c r="E36" s="13"/>
      <c r="F36" s="31"/>
      <c r="G36" s="31"/>
      <c r="H36" s="13"/>
      <c r="I36" s="13"/>
      <c r="J36" s="13"/>
      <c r="K36" s="13"/>
      <c r="L36" s="13"/>
      <c r="M36" s="13"/>
      <c r="N36" s="13"/>
      <c r="O36" s="13"/>
      <c r="P36" s="13"/>
      <c r="Q36" s="13"/>
      <c r="R36" s="13"/>
      <c r="S36" s="13"/>
      <c r="T36" s="13"/>
      <c r="U36" s="13"/>
    </row>
    <row r="37" spans="2:26" x14ac:dyDescent="0.4">
      <c r="W37" s="27"/>
    </row>
  </sheetData>
  <sheetProtection algorithmName="SHA-512" hashValue="6+IkSgQ3ODZgToRtMj3ndxr91dvZsQHiEfu75Y06GStkEH+VrhDujnwk+v2OF6JWsLDdrunYXC26gh9oDxmSnQ==" saltValue="DiF9GOMvbXkVFSuStLdVOw==" spinCount="100000" sheet="1" formatCells="0" formatColumns="0" formatRows="0" autoFilter="0"/>
  <mergeCells count="85">
    <mergeCell ref="J12:P14"/>
    <mergeCell ref="B35:L35"/>
    <mergeCell ref="N35:T35"/>
    <mergeCell ref="J33:L33"/>
    <mergeCell ref="N33:Q33"/>
    <mergeCell ref="R33:T33"/>
    <mergeCell ref="B34:I34"/>
    <mergeCell ref="J34:L34"/>
    <mergeCell ref="N34:Q34"/>
    <mergeCell ref="R34:T34"/>
    <mergeCell ref="E31:I31"/>
    <mergeCell ref="J31:L31"/>
    <mergeCell ref="N31:Q31"/>
    <mergeCell ref="R31:T31"/>
    <mergeCell ref="B32:I32"/>
    <mergeCell ref="J32:L32"/>
    <mergeCell ref="M32:M33"/>
    <mergeCell ref="N32:Q32"/>
    <mergeCell ref="R32:T32"/>
    <mergeCell ref="B33:I33"/>
    <mergeCell ref="E29:I29"/>
    <mergeCell ref="J29:L29"/>
    <mergeCell ref="N29:Q29"/>
    <mergeCell ref="R29:T29"/>
    <mergeCell ref="E30:I30"/>
    <mergeCell ref="J30:L30"/>
    <mergeCell ref="N30:Q30"/>
    <mergeCell ref="R30:T30"/>
    <mergeCell ref="E27:I27"/>
    <mergeCell ref="J27:L27"/>
    <mergeCell ref="N27:Q27"/>
    <mergeCell ref="R27:T27"/>
    <mergeCell ref="G28:I28"/>
    <mergeCell ref="J28:L28"/>
    <mergeCell ref="N28:Q28"/>
    <mergeCell ref="R28:T28"/>
    <mergeCell ref="B25:D25"/>
    <mergeCell ref="E25:I25"/>
    <mergeCell ref="J25:L25"/>
    <mergeCell ref="N25:Q25"/>
    <mergeCell ref="R25:T25"/>
    <mergeCell ref="E26:I26"/>
    <mergeCell ref="J26:L26"/>
    <mergeCell ref="N26:Q26"/>
    <mergeCell ref="R26:T26"/>
    <mergeCell ref="E23:I23"/>
    <mergeCell ref="J23:L23"/>
    <mergeCell ref="N23:Q23"/>
    <mergeCell ref="R23:T23"/>
    <mergeCell ref="B24:D24"/>
    <mergeCell ref="E24:I24"/>
    <mergeCell ref="J24:L24"/>
    <mergeCell ref="N24:Q24"/>
    <mergeCell ref="R24:T24"/>
    <mergeCell ref="E21:I21"/>
    <mergeCell ref="J21:L21"/>
    <mergeCell ref="N21:Q21"/>
    <mergeCell ref="R21:T21"/>
    <mergeCell ref="E22:I22"/>
    <mergeCell ref="J22:L22"/>
    <mergeCell ref="N22:Q22"/>
    <mergeCell ref="R22:T22"/>
    <mergeCell ref="J20:L20"/>
    <mergeCell ref="N20:Q20"/>
    <mergeCell ref="R20:T20"/>
    <mergeCell ref="E19:I19"/>
    <mergeCell ref="J19:L19"/>
    <mergeCell ref="N19:Q19"/>
    <mergeCell ref="R19:T19"/>
    <mergeCell ref="B12:I13"/>
    <mergeCell ref="B15:I16"/>
    <mergeCell ref="J15:Q15"/>
    <mergeCell ref="R15:T16"/>
    <mergeCell ref="J16:L16"/>
    <mergeCell ref="M16:M31"/>
    <mergeCell ref="N16:Q16"/>
    <mergeCell ref="B17:I17"/>
    <mergeCell ref="J17:L17"/>
    <mergeCell ref="N17:Q17"/>
    <mergeCell ref="R17:T17"/>
    <mergeCell ref="B18:I18"/>
    <mergeCell ref="J18:L18"/>
    <mergeCell ref="N18:Q18"/>
    <mergeCell ref="R18:T18"/>
    <mergeCell ref="E20:I20"/>
  </mergeCells>
  <phoneticPr fontId="4"/>
  <conditionalFormatting sqref="J17:L18 J33:L33 N20:Q31 N33 N17:Q18 J20:L31">
    <cfRule type="cellIs" dxfId="9" priority="7" operator="equal">
      <formula>""</formula>
    </cfRule>
  </conditionalFormatting>
  <conditionalFormatting sqref="N35:T35">
    <cfRule type="expression" dxfId="8" priority="3">
      <formula>"$M$26=""委託費が50％を超えています"""</formula>
    </cfRule>
    <cfRule type="expression" dxfId="7" priority="4">
      <formula>IF(F28&gt;=50%,"委託費50％を超えています","")</formula>
    </cfRule>
  </conditionalFormatting>
  <conditionalFormatting sqref="G28:I28">
    <cfRule type="cellIs" dxfId="6" priority="1" operator="greaterThanOrEqual">
      <formula>0.5</formula>
    </cfRule>
  </conditionalFormatting>
  <dataValidations count="1">
    <dataValidation allowBlank="1" showErrorMessage="1" sqref="N33:Q33" xr:uid="{CBFB0658-533F-4C85-B7BC-1F6399AB667D}"/>
  </dataValidations>
  <hyperlinks>
    <hyperlink ref="Q13" location="メニュー画面!B8" display="メニュー画面へ" xr:uid="{045199AF-B5B5-46DC-A672-30919DA22F91}"/>
  </hyperlinks>
  <pageMargins left="0.70866141732283472" right="0.70866141732283472" top="0.74803149606299213" bottom="0.74803149606299213" header="0.31496062992125984" footer="0.31496062992125984"/>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B86"/>
  <sheetViews>
    <sheetView showGridLines="0" view="pageBreakPreview" zoomScale="80" zoomScaleNormal="100" zoomScaleSheetLayoutView="80" workbookViewId="0">
      <selection activeCell="O2" sqref="O2:R2"/>
    </sheetView>
  </sheetViews>
  <sheetFormatPr defaultRowHeight="18.75" x14ac:dyDescent="0.4"/>
  <cols>
    <col min="1" max="1" width="2.125" style="9" customWidth="1"/>
    <col min="2" max="2" width="3.125" style="9" customWidth="1"/>
    <col min="3" max="3" width="4.125" style="9" customWidth="1"/>
    <col min="4" max="4" width="6.625" style="9" customWidth="1"/>
    <col min="5" max="5" width="3.625" style="9" customWidth="1"/>
    <col min="6" max="6" width="10" style="9" customWidth="1"/>
    <col min="7" max="7" width="3.625" style="9" customWidth="1"/>
    <col min="8" max="8" width="9.125" style="9" customWidth="1"/>
    <col min="9" max="9" width="3.125" style="9" customWidth="1"/>
    <col min="10" max="10" width="7.625" style="9" customWidth="1"/>
    <col min="11" max="11" width="6.875" style="9" customWidth="1"/>
    <col min="12" max="12" width="7.125" style="9" customWidth="1"/>
    <col min="13" max="13" width="4.625" style="9" customWidth="1"/>
    <col min="14" max="14" width="3.5" style="9" customWidth="1"/>
    <col min="15" max="15" width="4.125" style="9" customWidth="1"/>
    <col min="16" max="16" width="5.125" style="9" customWidth="1"/>
    <col min="17" max="17" width="5.625" style="9" customWidth="1"/>
    <col min="18" max="18" width="4.125" style="9" customWidth="1"/>
    <col min="19" max="19" width="5.625" style="9" customWidth="1"/>
    <col min="20" max="20" width="3" style="9" customWidth="1"/>
    <col min="21" max="22" width="3" customWidth="1"/>
  </cols>
  <sheetData>
    <row r="1" spans="1:28" ht="22.35" customHeight="1" x14ac:dyDescent="0.4">
      <c r="A1" s="13"/>
      <c r="B1" s="399" t="s">
        <v>169</v>
      </c>
      <c r="C1" s="399"/>
      <c r="D1" s="399"/>
      <c r="E1" s="13"/>
      <c r="F1" s="13"/>
      <c r="G1" s="13"/>
      <c r="H1" s="13"/>
      <c r="I1" s="13"/>
      <c r="J1" s="13"/>
      <c r="K1" s="13"/>
      <c r="L1" s="13"/>
      <c r="M1" s="13"/>
      <c r="N1" s="13"/>
      <c r="O1" s="13"/>
      <c r="P1" s="13"/>
      <c r="Q1" s="13"/>
      <c r="R1" s="13"/>
      <c r="S1" s="13"/>
      <c r="U1" s="2"/>
      <c r="V1" s="2"/>
      <c r="W1" s="2"/>
      <c r="X1" s="2"/>
      <c r="Y1" s="2"/>
      <c r="Z1" s="2"/>
      <c r="AA1" s="2"/>
      <c r="AB1" s="2"/>
    </row>
    <row r="2" spans="1:28" ht="15.6" customHeight="1" x14ac:dyDescent="0.4">
      <c r="A2" s="13"/>
      <c r="F2" s="13"/>
      <c r="G2" s="13"/>
      <c r="H2" s="13"/>
      <c r="I2" s="13"/>
      <c r="J2" s="13"/>
      <c r="K2" s="13"/>
      <c r="L2" s="13"/>
      <c r="M2" s="424" t="s">
        <v>18</v>
      </c>
      <c r="N2" s="425"/>
      <c r="O2" s="496">
        <f>団体基本情報!D4</f>
        <v>0</v>
      </c>
      <c r="P2" s="497"/>
      <c r="Q2" s="497"/>
      <c r="R2" s="498"/>
      <c r="S2" s="13"/>
      <c r="U2" s="2"/>
      <c r="V2" s="2"/>
      <c r="W2" s="2"/>
      <c r="X2" s="2"/>
      <c r="Y2" s="2"/>
      <c r="Z2" s="2"/>
      <c r="AA2" s="2"/>
      <c r="AB2" s="2"/>
    </row>
    <row r="3" spans="1:28" ht="15.6" customHeight="1" x14ac:dyDescent="0.4">
      <c r="A3" s="13"/>
      <c r="B3" s="14"/>
      <c r="C3" s="14"/>
      <c r="D3" s="13"/>
      <c r="E3" s="13"/>
      <c r="F3" s="13"/>
      <c r="G3" s="13"/>
      <c r="H3" s="13"/>
      <c r="I3" s="13"/>
      <c r="J3" s="13"/>
      <c r="K3" s="13"/>
      <c r="L3" s="13"/>
      <c r="M3" s="15"/>
      <c r="N3" s="15"/>
      <c r="O3" s="15"/>
      <c r="P3" s="15"/>
      <c r="Q3" s="15"/>
      <c r="R3" s="15"/>
      <c r="S3" s="13"/>
      <c r="U3" s="2"/>
      <c r="V3" s="2"/>
      <c r="W3" s="2"/>
      <c r="X3" s="2"/>
      <c r="Y3" s="2"/>
      <c r="Z3" s="2"/>
      <c r="AA3" s="2"/>
      <c r="AB3" s="2"/>
    </row>
    <row r="4" spans="1:28" x14ac:dyDescent="0.4">
      <c r="A4" s="12"/>
      <c r="B4" s="12"/>
      <c r="C4" s="12"/>
      <c r="D4" s="12"/>
      <c r="E4" s="12"/>
      <c r="F4" s="12"/>
      <c r="G4" s="12"/>
      <c r="H4" s="12"/>
      <c r="I4" s="12"/>
      <c r="J4" s="12"/>
      <c r="K4" s="12"/>
      <c r="L4" s="16" t="s">
        <v>122</v>
      </c>
      <c r="M4" s="5"/>
      <c r="N4" s="12" t="s">
        <v>19</v>
      </c>
      <c r="O4" s="5"/>
      <c r="P4" s="17" t="s">
        <v>20</v>
      </c>
      <c r="Q4" s="5"/>
      <c r="R4" s="17" t="s">
        <v>21</v>
      </c>
      <c r="S4" s="12"/>
      <c r="U4" s="2"/>
      <c r="V4" s="2"/>
      <c r="W4" s="2"/>
      <c r="X4" s="2"/>
      <c r="Y4" s="2"/>
      <c r="Z4" s="2"/>
      <c r="AA4" s="2"/>
      <c r="AB4" s="2"/>
    </row>
    <row r="5" spans="1:28" x14ac:dyDescent="0.4">
      <c r="A5" s="12"/>
      <c r="B5" s="12"/>
      <c r="C5" s="12"/>
      <c r="D5" s="12"/>
      <c r="E5" s="12"/>
      <c r="F5" s="12"/>
      <c r="G5" s="12"/>
      <c r="H5" s="12"/>
      <c r="I5" s="12"/>
      <c r="J5" s="12"/>
      <c r="K5" s="12"/>
      <c r="L5" s="12"/>
      <c r="M5" s="12"/>
      <c r="N5" s="12"/>
      <c r="O5" s="12"/>
      <c r="P5" s="12"/>
      <c r="Q5" s="12"/>
      <c r="R5" s="12"/>
      <c r="S5" s="12"/>
      <c r="U5" s="2"/>
      <c r="V5" s="2"/>
      <c r="W5" s="2"/>
      <c r="X5" s="2"/>
      <c r="Y5" s="2"/>
      <c r="Z5" s="2"/>
      <c r="AA5" s="2"/>
      <c r="AB5" s="2"/>
    </row>
    <row r="6" spans="1:28" x14ac:dyDescent="0.4">
      <c r="A6" s="12"/>
      <c r="B6" s="12"/>
      <c r="C6" s="12"/>
      <c r="D6" s="12"/>
      <c r="E6" s="12"/>
      <c r="F6" s="12"/>
      <c r="G6" s="12"/>
      <c r="H6" s="12"/>
      <c r="I6" s="12"/>
      <c r="J6" s="12"/>
      <c r="K6" s="12"/>
      <c r="L6" s="12"/>
      <c r="M6" s="12"/>
      <c r="N6" s="12"/>
      <c r="O6" s="12"/>
      <c r="P6" s="12"/>
      <c r="Q6" s="12"/>
      <c r="R6" s="12"/>
      <c r="S6" s="12"/>
      <c r="U6" s="2"/>
      <c r="V6" s="2"/>
      <c r="W6" s="2"/>
      <c r="X6" s="2"/>
      <c r="Y6" s="2"/>
      <c r="Z6" s="2"/>
      <c r="AA6" s="2"/>
      <c r="AB6" s="2"/>
    </row>
    <row r="7" spans="1:28" x14ac:dyDescent="0.4">
      <c r="A7" s="12"/>
      <c r="B7" s="415" t="s">
        <v>22</v>
      </c>
      <c r="C7" s="415"/>
      <c r="D7" s="415"/>
      <c r="E7" s="415"/>
      <c r="F7" s="415"/>
      <c r="G7" s="415"/>
      <c r="H7" s="415"/>
      <c r="I7" s="12"/>
      <c r="J7" s="12"/>
      <c r="K7" s="12"/>
      <c r="L7" s="12"/>
      <c r="M7" s="12"/>
      <c r="N7" s="12"/>
      <c r="O7" s="12"/>
      <c r="P7" s="12"/>
      <c r="Q7" s="12"/>
      <c r="R7" s="12"/>
      <c r="S7" s="12"/>
      <c r="U7" s="2"/>
      <c r="V7" s="2"/>
      <c r="W7" s="2"/>
      <c r="X7" s="2"/>
      <c r="Y7" s="2"/>
      <c r="Z7" s="2"/>
      <c r="AA7" s="2"/>
      <c r="AB7" s="2"/>
    </row>
    <row r="8" spans="1:28" x14ac:dyDescent="0.4">
      <c r="A8" s="12"/>
      <c r="B8" s="12"/>
      <c r="C8" s="12"/>
      <c r="D8" s="12"/>
      <c r="E8" s="12"/>
      <c r="F8" s="12"/>
      <c r="G8" s="12"/>
      <c r="H8" s="12"/>
      <c r="I8" s="12"/>
      <c r="J8" s="12"/>
      <c r="K8" s="16" t="s">
        <v>46</v>
      </c>
      <c r="L8" s="495">
        <f>団体基本情報!D6</f>
        <v>0</v>
      </c>
      <c r="M8" s="495"/>
      <c r="N8" s="19"/>
      <c r="O8" s="19"/>
      <c r="P8" s="6"/>
      <c r="Q8" s="6"/>
      <c r="R8" s="6"/>
      <c r="S8" s="6"/>
      <c r="U8" s="2"/>
      <c r="V8" s="2"/>
      <c r="W8" s="2"/>
      <c r="X8" s="2"/>
      <c r="Y8" s="2"/>
      <c r="Z8" s="2"/>
      <c r="AA8" s="2"/>
      <c r="AB8" s="2"/>
    </row>
    <row r="9" spans="1:28" ht="40.35" customHeight="1" x14ac:dyDescent="0.4">
      <c r="A9" s="18"/>
      <c r="B9" s="18"/>
      <c r="C9" s="18"/>
      <c r="D9" s="18"/>
      <c r="E9" s="18"/>
      <c r="F9" s="18"/>
      <c r="G9" s="18"/>
      <c r="H9" s="18"/>
      <c r="I9" s="18"/>
      <c r="J9" s="400" t="s">
        <v>81</v>
      </c>
      <c r="K9" s="400"/>
      <c r="L9" s="494">
        <f>団体基本情報!D7</f>
        <v>0</v>
      </c>
      <c r="M9" s="494"/>
      <c r="N9" s="494"/>
      <c r="O9" s="494"/>
      <c r="P9" s="494"/>
      <c r="Q9" s="494"/>
      <c r="R9" s="494"/>
      <c r="S9" s="494"/>
      <c r="U9" s="2"/>
      <c r="V9" s="2"/>
      <c r="W9" s="2"/>
      <c r="X9" s="2"/>
      <c r="Y9" s="2"/>
      <c r="Z9" s="2"/>
      <c r="AA9" s="2"/>
      <c r="AB9" s="2"/>
    </row>
    <row r="10" spans="1:28" ht="40.35" customHeight="1" x14ac:dyDescent="0.4">
      <c r="A10" s="12"/>
      <c r="B10" s="12"/>
      <c r="C10" s="12"/>
      <c r="D10" s="12"/>
      <c r="E10" s="12"/>
      <c r="F10" s="12"/>
      <c r="G10" s="12"/>
      <c r="H10" s="12"/>
      <c r="I10" s="18"/>
      <c r="J10" s="400" t="s">
        <v>82</v>
      </c>
      <c r="K10" s="400"/>
      <c r="L10" s="494">
        <f>団体基本情報!D5</f>
        <v>0</v>
      </c>
      <c r="M10" s="494"/>
      <c r="N10" s="494"/>
      <c r="O10" s="494"/>
      <c r="P10" s="494"/>
      <c r="Q10" s="494"/>
      <c r="R10" s="494"/>
      <c r="S10" s="494"/>
      <c r="U10" s="2"/>
      <c r="V10" s="2"/>
      <c r="W10" s="2"/>
      <c r="X10" s="2"/>
      <c r="Y10" s="2"/>
      <c r="Z10" s="2"/>
      <c r="AA10" s="2"/>
      <c r="AB10" s="2"/>
    </row>
    <row r="11" spans="1:28" x14ac:dyDescent="0.4">
      <c r="A11" s="12"/>
      <c r="B11" s="12"/>
      <c r="C11" s="12"/>
      <c r="D11" s="12"/>
      <c r="E11" s="12"/>
      <c r="F11" s="12"/>
      <c r="G11" s="12"/>
      <c r="H11" s="12"/>
      <c r="I11" s="18"/>
      <c r="J11" s="400" t="s">
        <v>16</v>
      </c>
      <c r="K11" s="400"/>
      <c r="L11" s="495">
        <f>団体基本情報!D8</f>
        <v>0</v>
      </c>
      <c r="M11" s="495"/>
      <c r="N11" s="495"/>
      <c r="O11" s="495"/>
      <c r="P11" s="495"/>
      <c r="Q11" s="495"/>
      <c r="R11" s="6"/>
      <c r="S11" s="6"/>
      <c r="U11" s="2"/>
      <c r="V11" s="2"/>
      <c r="W11" s="2"/>
      <c r="X11" s="2"/>
      <c r="Y11" s="2"/>
      <c r="Z11" s="2"/>
      <c r="AA11" s="2"/>
      <c r="AB11" s="2"/>
    </row>
    <row r="12" spans="1:28" x14ac:dyDescent="0.4">
      <c r="A12" s="12"/>
      <c r="B12" s="12"/>
      <c r="C12" s="12"/>
      <c r="D12" s="12"/>
      <c r="E12" s="12"/>
      <c r="F12" s="12"/>
      <c r="G12" s="12"/>
      <c r="H12" s="12"/>
      <c r="I12" s="18"/>
      <c r="J12" s="400" t="s">
        <v>83</v>
      </c>
      <c r="K12" s="400"/>
      <c r="L12" s="495">
        <f>団体基本情報!D9</f>
        <v>0</v>
      </c>
      <c r="M12" s="495"/>
      <c r="N12" s="495"/>
      <c r="O12" s="495"/>
      <c r="P12" s="495"/>
      <c r="Q12" s="495"/>
      <c r="R12" s="7" t="s">
        <v>23</v>
      </c>
      <c r="S12" s="6"/>
      <c r="U12" s="2"/>
      <c r="V12" s="2"/>
      <c r="W12" s="2"/>
      <c r="X12" s="2"/>
      <c r="Y12" s="2"/>
      <c r="Z12" s="2"/>
      <c r="AA12" s="2"/>
      <c r="AB12" s="2"/>
    </row>
    <row r="13" spans="1:28" x14ac:dyDescent="0.4">
      <c r="A13" s="12"/>
      <c r="B13" s="12"/>
      <c r="C13" s="12"/>
      <c r="D13" s="12"/>
      <c r="E13" s="12"/>
      <c r="F13" s="12"/>
      <c r="G13" s="12"/>
      <c r="H13" s="12"/>
      <c r="I13" s="12"/>
      <c r="J13" s="12"/>
      <c r="K13" s="12"/>
      <c r="L13" s="12"/>
      <c r="M13" s="12"/>
      <c r="N13" s="12"/>
      <c r="O13" s="12"/>
      <c r="P13" s="12"/>
      <c r="Q13" s="12"/>
      <c r="R13" s="12"/>
      <c r="S13" s="12"/>
      <c r="U13" s="2"/>
      <c r="V13" s="2"/>
      <c r="W13" s="2"/>
      <c r="X13" s="2"/>
      <c r="Y13" s="2"/>
      <c r="Z13" s="2"/>
      <c r="AA13" s="2"/>
      <c r="AB13" s="2"/>
    </row>
    <row r="14" spans="1:28" x14ac:dyDescent="0.4">
      <c r="F14" s="414" t="s">
        <v>122</v>
      </c>
      <c r="G14" s="414"/>
      <c r="H14" s="70">
        <f>団体基本情報!D3</f>
        <v>4</v>
      </c>
      <c r="I14" s="68" t="s">
        <v>147</v>
      </c>
      <c r="K14" s="68"/>
      <c r="L14" s="68"/>
      <c r="M14" s="68"/>
      <c r="N14" s="68"/>
      <c r="O14" s="68"/>
      <c r="P14" s="68"/>
      <c r="Q14" s="68"/>
      <c r="R14" s="68"/>
      <c r="S14" s="68"/>
      <c r="U14" s="2"/>
      <c r="V14" s="2"/>
      <c r="W14" s="2"/>
      <c r="X14" s="2"/>
      <c r="Y14" s="2"/>
      <c r="Z14" s="2"/>
      <c r="AA14" s="2"/>
      <c r="AB14" s="2"/>
    </row>
    <row r="15" spans="1:28" x14ac:dyDescent="0.4">
      <c r="A15" s="12"/>
      <c r="B15" s="12"/>
      <c r="C15" s="12"/>
      <c r="D15" s="12"/>
      <c r="E15" s="12"/>
      <c r="F15" s="12"/>
      <c r="G15" s="12"/>
      <c r="H15" s="12"/>
      <c r="I15" s="12"/>
      <c r="J15" s="12"/>
      <c r="K15" s="12"/>
      <c r="L15" s="12"/>
      <c r="M15" s="12"/>
      <c r="N15" s="12"/>
      <c r="O15" s="12"/>
      <c r="P15" s="12"/>
      <c r="Q15" s="12"/>
      <c r="R15" s="12"/>
      <c r="S15" s="12"/>
      <c r="U15" s="2"/>
      <c r="V15" s="2"/>
      <c r="W15" s="2"/>
      <c r="X15" s="2"/>
      <c r="Y15" s="2"/>
      <c r="Z15" s="2"/>
      <c r="AA15" s="2"/>
      <c r="AB15" s="2"/>
    </row>
    <row r="16" spans="1:28" x14ac:dyDescent="0.4">
      <c r="A16" s="12"/>
      <c r="B16" s="12"/>
      <c r="C16" s="12"/>
      <c r="D16" s="415" t="s">
        <v>84</v>
      </c>
      <c r="E16" s="415"/>
      <c r="F16" s="415"/>
      <c r="G16" s="415"/>
      <c r="H16" s="415"/>
      <c r="I16" s="12"/>
      <c r="J16" s="12"/>
      <c r="K16" s="12"/>
      <c r="L16" s="12"/>
      <c r="M16" s="12"/>
      <c r="N16" s="12"/>
      <c r="O16" s="12"/>
      <c r="P16" s="12"/>
      <c r="Q16" s="12"/>
      <c r="R16" s="12"/>
      <c r="S16" s="12"/>
      <c r="U16" s="2"/>
      <c r="V16" s="2"/>
      <c r="W16" s="2"/>
      <c r="X16" s="2"/>
      <c r="Y16" s="2"/>
      <c r="Z16" s="2"/>
      <c r="AA16" s="2"/>
      <c r="AB16" s="2"/>
    </row>
    <row r="17" spans="1:28" x14ac:dyDescent="0.4">
      <c r="A17" s="12"/>
      <c r="B17" s="12"/>
      <c r="C17" s="12"/>
      <c r="D17" s="12"/>
      <c r="E17" s="12"/>
      <c r="F17" s="12"/>
      <c r="G17" s="12"/>
      <c r="H17" s="12"/>
      <c r="I17" s="12"/>
      <c r="J17" s="12"/>
      <c r="K17" s="12"/>
      <c r="L17" s="12"/>
      <c r="M17" s="12"/>
      <c r="N17" s="12"/>
      <c r="O17" s="12"/>
      <c r="P17" s="12"/>
      <c r="Q17" s="12"/>
      <c r="R17" s="12"/>
      <c r="S17" s="12"/>
      <c r="U17" s="2"/>
      <c r="V17" s="2"/>
      <c r="W17" s="2"/>
      <c r="X17" s="2"/>
      <c r="Y17" s="2"/>
      <c r="Z17" s="2"/>
      <c r="AA17" s="2"/>
      <c r="AB17" s="2"/>
    </row>
    <row r="18" spans="1:28" ht="26.1" customHeight="1" x14ac:dyDescent="0.4">
      <c r="A18" s="12"/>
      <c r="B18" s="12"/>
      <c r="C18" s="415" t="s">
        <v>146</v>
      </c>
      <c r="D18" s="415"/>
      <c r="E18" s="415"/>
      <c r="F18" s="494">
        <f>団体基本情報!D12</f>
        <v>0</v>
      </c>
      <c r="G18" s="494"/>
      <c r="H18" s="494"/>
      <c r="I18" s="494"/>
      <c r="J18" s="494"/>
      <c r="K18" s="494"/>
      <c r="L18" s="494"/>
      <c r="M18" s="63" t="s">
        <v>137</v>
      </c>
      <c r="N18" s="63"/>
      <c r="O18" s="63"/>
      <c r="P18" s="20" t="s">
        <v>25</v>
      </c>
      <c r="Q18" s="12"/>
      <c r="R18" s="12"/>
      <c r="S18" s="12"/>
      <c r="U18" s="2"/>
      <c r="V18" s="2"/>
      <c r="W18" s="2"/>
      <c r="X18" s="2"/>
      <c r="Y18" s="2"/>
      <c r="Z18" s="2"/>
      <c r="AA18" s="2"/>
      <c r="AB18" s="2"/>
    </row>
    <row r="19" spans="1:28" x14ac:dyDescent="0.4">
      <c r="A19" s="12"/>
      <c r="B19" s="12"/>
      <c r="C19" s="12"/>
      <c r="D19" s="12"/>
      <c r="E19" s="12"/>
      <c r="F19" s="12"/>
      <c r="G19" s="12"/>
      <c r="H19" s="12"/>
      <c r="I19" s="12"/>
      <c r="J19" s="12"/>
      <c r="K19" s="12"/>
      <c r="L19" s="12"/>
      <c r="M19" s="12"/>
      <c r="N19" s="12"/>
      <c r="O19" s="12"/>
      <c r="P19" s="12"/>
      <c r="Q19" s="12"/>
      <c r="R19" s="12"/>
      <c r="S19" s="12"/>
      <c r="U19" s="2"/>
      <c r="V19" s="2"/>
      <c r="W19" s="2"/>
      <c r="X19" s="2"/>
      <c r="Y19" s="2"/>
      <c r="Z19" s="2"/>
      <c r="AA19" s="2"/>
      <c r="AB19" s="2"/>
    </row>
    <row r="20" spans="1:28" x14ac:dyDescent="0.4">
      <c r="A20" s="12"/>
      <c r="B20" s="12"/>
      <c r="C20" s="415" t="s">
        <v>145</v>
      </c>
      <c r="D20" s="415"/>
      <c r="E20" s="415"/>
      <c r="F20" s="493">
        <f>N24</f>
        <v>0</v>
      </c>
      <c r="G20" s="493"/>
      <c r="H20" s="12" t="s">
        <v>42</v>
      </c>
      <c r="I20" s="12"/>
      <c r="J20" s="12"/>
      <c r="K20" s="12"/>
      <c r="L20" s="12"/>
      <c r="M20" s="12"/>
      <c r="N20" s="12"/>
      <c r="O20" s="12"/>
      <c r="P20" s="12"/>
      <c r="Q20" s="12"/>
      <c r="R20" s="12"/>
      <c r="S20" s="12"/>
      <c r="U20" s="2"/>
      <c r="V20" s="2"/>
      <c r="W20" s="2"/>
      <c r="X20" s="2"/>
      <c r="Y20" s="2"/>
      <c r="Z20" s="2"/>
      <c r="AA20" s="2"/>
      <c r="AB20" s="2"/>
    </row>
    <row r="21" spans="1:28" x14ac:dyDescent="0.4">
      <c r="A21" s="12"/>
      <c r="B21" s="12"/>
      <c r="C21" s="12"/>
      <c r="D21" s="12"/>
      <c r="E21" s="12"/>
      <c r="F21" s="12"/>
      <c r="G21" s="12"/>
      <c r="H21" s="12"/>
      <c r="I21" s="12"/>
      <c r="J21" s="12"/>
      <c r="K21" s="12"/>
      <c r="L21" s="12"/>
      <c r="M21" s="12"/>
      <c r="N21" s="12"/>
      <c r="O21" s="12"/>
      <c r="P21" s="12"/>
      <c r="Q21" s="12"/>
      <c r="R21" s="12"/>
      <c r="S21" s="12"/>
      <c r="U21" s="2"/>
      <c r="V21" s="2"/>
      <c r="W21" s="2"/>
      <c r="X21" s="2"/>
      <c r="Y21" s="2"/>
      <c r="Z21" s="2"/>
      <c r="AA21" s="2"/>
      <c r="AB21" s="2"/>
    </row>
    <row r="22" spans="1:28" x14ac:dyDescent="0.4">
      <c r="A22" s="12"/>
      <c r="B22" s="12"/>
      <c r="C22" s="416" t="s">
        <v>144</v>
      </c>
      <c r="D22" s="416"/>
      <c r="E22" s="416"/>
      <c r="F22" s="417"/>
      <c r="G22" s="12"/>
      <c r="H22" s="12"/>
      <c r="I22" s="12"/>
      <c r="J22" s="12"/>
      <c r="K22" s="12"/>
      <c r="L22" s="12"/>
      <c r="M22" s="12"/>
      <c r="N22" s="12"/>
      <c r="O22" s="12"/>
      <c r="P22" s="12"/>
      <c r="Q22" s="12"/>
      <c r="R22" s="12"/>
      <c r="S22" s="12"/>
      <c r="T22" s="27"/>
      <c r="U22" s="2"/>
      <c r="V22" s="2"/>
      <c r="W22" s="2"/>
      <c r="X22" s="2"/>
      <c r="Y22" s="2"/>
      <c r="Z22" s="2"/>
      <c r="AA22" s="2"/>
      <c r="AB22" s="2"/>
    </row>
    <row r="23" spans="1:28" ht="60" customHeight="1" x14ac:dyDescent="0.4">
      <c r="A23" s="12"/>
      <c r="B23" s="12"/>
      <c r="C23" s="401" t="s">
        <v>149</v>
      </c>
      <c r="D23" s="402"/>
      <c r="E23" s="402"/>
      <c r="F23" s="401" t="s">
        <v>155</v>
      </c>
      <c r="G23" s="402"/>
      <c r="H23" s="401" t="s">
        <v>151</v>
      </c>
      <c r="I23" s="402"/>
      <c r="J23" s="412" t="s">
        <v>162</v>
      </c>
      <c r="K23" s="412"/>
      <c r="L23" s="401" t="s">
        <v>156</v>
      </c>
      <c r="M23" s="402"/>
      <c r="N23" s="401" t="s">
        <v>161</v>
      </c>
      <c r="O23" s="402"/>
      <c r="P23" s="402"/>
      <c r="Q23" s="401" t="s">
        <v>159</v>
      </c>
      <c r="R23" s="402"/>
      <c r="S23" s="402"/>
      <c r="U23" s="2"/>
      <c r="V23" s="2"/>
      <c r="W23" s="2"/>
      <c r="X23" s="2"/>
      <c r="Y23" s="2"/>
      <c r="Z23" s="2"/>
      <c r="AA23" s="2"/>
      <c r="AB23" s="2"/>
    </row>
    <row r="24" spans="1:28" ht="35.1" customHeight="1" x14ac:dyDescent="0.4">
      <c r="A24" s="12"/>
      <c r="B24" s="12"/>
      <c r="C24" s="490">
        <f>精算額計算書!B41</f>
        <v>0</v>
      </c>
      <c r="D24" s="491"/>
      <c r="E24" s="21" t="s">
        <v>26</v>
      </c>
      <c r="F24" s="492">
        <f>精算額計算書!E41</f>
        <v>0</v>
      </c>
      <c r="G24" s="22" t="s">
        <v>26</v>
      </c>
      <c r="H24" s="492">
        <f>精算額計算書!H41</f>
        <v>0</v>
      </c>
      <c r="I24" s="23" t="s">
        <v>26</v>
      </c>
      <c r="J24" s="492">
        <f>ROUNDDOWN(H24/1000,0)</f>
        <v>0</v>
      </c>
      <c r="K24" s="22" t="s">
        <v>24</v>
      </c>
      <c r="L24" s="492">
        <f>精算額計算書!L41</f>
        <v>0</v>
      </c>
      <c r="M24" s="22" t="s">
        <v>24</v>
      </c>
      <c r="N24" s="490">
        <f>精算額計算書!P41</f>
        <v>0</v>
      </c>
      <c r="O24" s="491"/>
      <c r="P24" s="22" t="s">
        <v>24</v>
      </c>
      <c r="Q24" s="490">
        <f>精算額計算書!R41</f>
        <v>0</v>
      </c>
      <c r="R24" s="491"/>
      <c r="S24" s="22" t="s">
        <v>24</v>
      </c>
      <c r="U24" s="2"/>
      <c r="V24" s="2"/>
      <c r="W24" s="2"/>
      <c r="X24" s="2"/>
      <c r="Y24" s="2"/>
      <c r="Z24" s="2"/>
      <c r="AA24" s="2"/>
      <c r="AB24" s="2"/>
    </row>
    <row r="25" spans="1:28" ht="10.35" customHeight="1" x14ac:dyDescent="0.4">
      <c r="A25" s="12"/>
      <c r="B25" s="12"/>
      <c r="C25" s="12"/>
      <c r="D25" s="12"/>
      <c r="E25" s="12"/>
      <c r="F25" s="12"/>
      <c r="G25" s="12"/>
      <c r="H25" s="12"/>
      <c r="I25" s="24"/>
      <c r="J25" s="12"/>
      <c r="K25" s="12"/>
      <c r="L25" s="12"/>
      <c r="M25" s="12"/>
      <c r="N25" s="12"/>
      <c r="O25" s="12"/>
      <c r="P25" s="12"/>
      <c r="Q25" s="12"/>
      <c r="R25" s="12"/>
      <c r="S25" s="12"/>
      <c r="U25" s="2"/>
      <c r="V25" s="2"/>
      <c r="W25" s="2"/>
      <c r="X25" s="2"/>
      <c r="Y25" s="2"/>
      <c r="Z25" s="2"/>
      <c r="AA25" s="2"/>
      <c r="AB25" s="2"/>
    </row>
    <row r="26" spans="1:28" ht="9.6" customHeight="1" x14ac:dyDescent="0.4">
      <c r="A26" s="12"/>
      <c r="B26" s="12"/>
      <c r="C26" s="12"/>
      <c r="D26" s="12"/>
      <c r="E26" s="12"/>
      <c r="F26" s="12"/>
      <c r="G26" s="12"/>
      <c r="H26" s="12"/>
      <c r="I26" s="12"/>
      <c r="J26" s="12"/>
      <c r="K26" s="12"/>
      <c r="L26" s="12"/>
      <c r="M26" s="12"/>
      <c r="N26" s="12"/>
      <c r="O26" s="12"/>
      <c r="P26" s="12"/>
      <c r="Q26" s="12"/>
      <c r="R26" s="12"/>
      <c r="S26" s="12"/>
      <c r="U26" s="2"/>
      <c r="V26" s="2"/>
      <c r="W26" s="2"/>
      <c r="X26" s="2"/>
      <c r="Y26" s="2"/>
      <c r="Z26" s="2"/>
      <c r="AA26" s="2"/>
      <c r="AB26" s="2"/>
    </row>
    <row r="27" spans="1:28" x14ac:dyDescent="0.4">
      <c r="A27" s="12"/>
      <c r="B27" s="12"/>
      <c r="C27" s="12"/>
      <c r="D27" s="12"/>
      <c r="E27" s="12"/>
      <c r="F27" s="12"/>
      <c r="G27" s="12"/>
      <c r="H27" s="12"/>
      <c r="I27" s="12"/>
      <c r="J27" s="12"/>
      <c r="K27" s="12"/>
      <c r="L27" s="12"/>
      <c r="M27" s="12"/>
      <c r="N27" s="12"/>
      <c r="O27" s="12"/>
      <c r="P27" s="12"/>
      <c r="Q27" s="12"/>
      <c r="R27" s="12"/>
      <c r="S27" s="12"/>
      <c r="U27" s="2"/>
      <c r="V27" s="2"/>
      <c r="W27" s="2"/>
      <c r="X27" s="2"/>
      <c r="Y27" s="2"/>
      <c r="Z27" s="2"/>
      <c r="AA27" s="2"/>
      <c r="AB27" s="2"/>
    </row>
    <row r="28" spans="1:28" x14ac:dyDescent="0.4">
      <c r="A28" s="12"/>
      <c r="B28" s="12"/>
      <c r="C28" s="415" t="s">
        <v>152</v>
      </c>
      <c r="D28" s="415"/>
      <c r="E28" s="415"/>
      <c r="F28" s="12"/>
      <c r="G28" s="12"/>
      <c r="H28" s="12"/>
      <c r="I28" s="12"/>
      <c r="J28" s="12"/>
      <c r="K28" s="12"/>
      <c r="L28" s="12"/>
      <c r="M28" s="12"/>
      <c r="N28" s="12"/>
      <c r="O28" s="12"/>
      <c r="P28" s="12"/>
      <c r="Q28" s="12"/>
      <c r="R28" s="12"/>
      <c r="S28" s="12"/>
      <c r="U28" s="2"/>
      <c r="V28" s="2"/>
      <c r="W28" s="2"/>
      <c r="X28" s="2"/>
      <c r="Y28" s="2"/>
      <c r="Z28" s="2"/>
      <c r="AA28" s="2"/>
      <c r="AB28" s="2"/>
    </row>
    <row r="29" spans="1:28" x14ac:dyDescent="0.4">
      <c r="A29" s="12"/>
      <c r="B29" s="12"/>
      <c r="C29" s="25">
        <v>-1</v>
      </c>
      <c r="D29" s="46" t="s">
        <v>141</v>
      </c>
      <c r="E29" s="46"/>
      <c r="F29" s="46"/>
      <c r="G29" s="46"/>
      <c r="H29" s="18"/>
      <c r="I29" s="12"/>
      <c r="J29" s="12"/>
      <c r="K29" s="12"/>
      <c r="L29" s="12"/>
      <c r="M29" s="12"/>
      <c r="N29" s="12"/>
      <c r="O29" s="12"/>
      <c r="P29" s="12"/>
      <c r="Q29" s="12"/>
      <c r="R29" s="12"/>
      <c r="S29" s="12"/>
      <c r="U29" s="2"/>
      <c r="V29" s="2"/>
      <c r="W29" s="2"/>
      <c r="X29" s="2"/>
      <c r="Y29" s="2"/>
      <c r="Z29" s="2"/>
      <c r="AA29" s="2"/>
      <c r="AB29" s="2"/>
    </row>
    <row r="30" spans="1:28" x14ac:dyDescent="0.4">
      <c r="A30" s="12"/>
      <c r="B30" s="12"/>
      <c r="C30" s="25">
        <v>-2</v>
      </c>
      <c r="D30" s="46" t="s">
        <v>142</v>
      </c>
      <c r="E30" s="46"/>
      <c r="F30" s="46"/>
      <c r="G30" s="46"/>
      <c r="H30" s="18"/>
      <c r="I30" s="12"/>
      <c r="J30" s="12"/>
      <c r="K30" s="12"/>
      <c r="L30" s="12"/>
      <c r="M30" s="12"/>
      <c r="N30" s="12"/>
      <c r="O30" s="12"/>
      <c r="P30" s="12"/>
      <c r="Q30" s="12"/>
      <c r="R30" s="12"/>
      <c r="S30" s="12"/>
      <c r="U30" s="2"/>
      <c r="V30" s="2"/>
      <c r="W30" s="2"/>
      <c r="X30" s="2"/>
      <c r="Y30" s="2"/>
      <c r="Z30" s="2"/>
      <c r="AA30" s="2"/>
      <c r="AB30" s="2"/>
    </row>
    <row r="31" spans="1:28" x14ac:dyDescent="0.4">
      <c r="A31" s="12"/>
      <c r="B31" s="12"/>
      <c r="C31" s="25">
        <v>-3</v>
      </c>
      <c r="D31" s="46" t="s">
        <v>143</v>
      </c>
      <c r="E31" s="46"/>
      <c r="F31" s="46"/>
      <c r="G31" s="46"/>
      <c r="H31" s="18"/>
      <c r="I31" s="12"/>
      <c r="J31" s="12"/>
      <c r="K31" s="12"/>
      <c r="L31" s="12"/>
      <c r="M31" s="12"/>
      <c r="N31" s="12"/>
      <c r="O31" s="12"/>
      <c r="P31" s="12"/>
      <c r="Q31" s="12"/>
      <c r="R31" s="12"/>
      <c r="S31" s="12"/>
      <c r="U31" s="2"/>
      <c r="V31" s="2"/>
      <c r="W31" s="2"/>
      <c r="X31" s="2"/>
      <c r="Y31" s="2"/>
      <c r="Z31" s="2"/>
      <c r="AA31" s="2"/>
      <c r="AB31" s="2"/>
    </row>
    <row r="32" spans="1:28" ht="10.35" customHeight="1" x14ac:dyDescent="0.4">
      <c r="A32" s="12"/>
      <c r="B32" s="12"/>
      <c r="C32" s="12"/>
      <c r="D32" s="12"/>
      <c r="E32" s="26"/>
      <c r="F32" s="12"/>
      <c r="G32" s="12"/>
      <c r="H32" s="12"/>
      <c r="I32" s="12"/>
      <c r="J32" s="12"/>
      <c r="K32" s="12"/>
      <c r="L32" s="12"/>
      <c r="M32" s="12"/>
      <c r="N32" s="12"/>
      <c r="O32" s="12"/>
      <c r="P32" s="12"/>
      <c r="Q32" s="12"/>
      <c r="R32" s="12"/>
      <c r="S32" s="12"/>
      <c r="U32" s="2"/>
      <c r="V32" s="2"/>
      <c r="W32" s="2"/>
      <c r="X32" s="2"/>
      <c r="Y32" s="2"/>
      <c r="Z32" s="2"/>
      <c r="AA32" s="2"/>
      <c r="AB32" s="2"/>
    </row>
    <row r="33" spans="1:28" x14ac:dyDescent="0.4">
      <c r="A33" s="12"/>
      <c r="B33" s="12"/>
      <c r="C33" s="403" t="s">
        <v>27</v>
      </c>
      <c r="D33" s="404"/>
      <c r="E33" s="409" t="s">
        <v>44</v>
      </c>
      <c r="F33" s="410"/>
      <c r="G33" s="411"/>
      <c r="H33" s="411"/>
      <c r="I33" s="411"/>
      <c r="J33" s="411"/>
      <c r="K33" s="411"/>
      <c r="L33" s="409" t="s">
        <v>43</v>
      </c>
      <c r="M33" s="413"/>
      <c r="N33" s="410"/>
      <c r="O33" s="411"/>
      <c r="P33" s="411"/>
      <c r="Q33" s="411"/>
      <c r="R33" s="411"/>
      <c r="S33" s="411"/>
      <c r="U33" s="2"/>
      <c r="V33" s="2"/>
      <c r="W33" s="2"/>
      <c r="X33" s="2"/>
      <c r="Y33" s="2"/>
      <c r="Z33" s="2"/>
      <c r="AA33" s="2"/>
      <c r="AB33" s="2"/>
    </row>
    <row r="34" spans="1:28" ht="14.1" customHeight="1" x14ac:dyDescent="0.4">
      <c r="A34" s="12"/>
      <c r="B34" s="12"/>
      <c r="C34" s="405"/>
      <c r="D34" s="406"/>
      <c r="E34" s="403" t="s">
        <v>45</v>
      </c>
      <c r="F34" s="404"/>
      <c r="G34" s="411"/>
      <c r="H34" s="411"/>
      <c r="I34" s="411"/>
      <c r="J34" s="411"/>
      <c r="K34" s="411"/>
      <c r="L34" s="418" t="s">
        <v>28</v>
      </c>
      <c r="M34" s="419"/>
      <c r="N34" s="420"/>
      <c r="O34" s="411"/>
      <c r="P34" s="411"/>
      <c r="Q34" s="411"/>
      <c r="R34" s="411"/>
      <c r="S34" s="411"/>
      <c r="U34" s="2"/>
      <c r="V34" s="2"/>
      <c r="W34" s="2"/>
      <c r="X34" s="2"/>
      <c r="Y34" s="2"/>
      <c r="Z34" s="2"/>
      <c r="AA34" s="2"/>
      <c r="AB34" s="2"/>
    </row>
    <row r="35" spans="1:28" ht="6" customHeight="1" x14ac:dyDescent="0.4">
      <c r="A35" s="12"/>
      <c r="B35" s="12"/>
      <c r="C35" s="407"/>
      <c r="D35" s="408"/>
      <c r="E35" s="407"/>
      <c r="F35" s="408"/>
      <c r="G35" s="411"/>
      <c r="H35" s="411"/>
      <c r="I35" s="411"/>
      <c r="J35" s="411"/>
      <c r="K35" s="411"/>
      <c r="L35" s="421"/>
      <c r="M35" s="422"/>
      <c r="N35" s="423"/>
      <c r="O35" s="411"/>
      <c r="P35" s="411"/>
      <c r="Q35" s="411"/>
      <c r="R35" s="411"/>
      <c r="S35" s="411"/>
      <c r="U35" s="2"/>
      <c r="V35" s="2"/>
      <c r="W35" s="2"/>
      <c r="X35" s="2"/>
      <c r="Y35" s="2"/>
      <c r="Z35" s="2"/>
      <c r="AA35" s="2"/>
      <c r="AB35" s="2"/>
    </row>
    <row r="36" spans="1:28" x14ac:dyDescent="0.4">
      <c r="A36" s="12"/>
      <c r="B36" s="12"/>
      <c r="C36" s="12"/>
      <c r="D36" s="12"/>
      <c r="E36" s="12"/>
      <c r="F36" s="12"/>
      <c r="G36" s="12"/>
      <c r="H36" s="12"/>
      <c r="I36" s="12"/>
      <c r="J36" s="12"/>
      <c r="K36" s="12"/>
      <c r="L36" s="12"/>
      <c r="M36" s="12"/>
      <c r="N36" s="12"/>
      <c r="O36" s="12"/>
      <c r="P36" s="12"/>
      <c r="Q36" s="12"/>
      <c r="R36" s="12"/>
      <c r="S36" s="12"/>
      <c r="U36" s="2"/>
      <c r="V36" s="2"/>
      <c r="AA36" s="2"/>
      <c r="AB36" s="2"/>
    </row>
    <row r="38" spans="1:28" x14ac:dyDescent="0.4">
      <c r="A38" s="27"/>
      <c r="B38" s="27"/>
      <c r="C38" s="27"/>
      <c r="D38" s="27"/>
      <c r="E38" s="27"/>
      <c r="F38" s="27"/>
      <c r="G38" s="27"/>
      <c r="H38" s="27"/>
      <c r="I38" s="27"/>
      <c r="J38" s="27"/>
      <c r="K38" s="27"/>
      <c r="L38" s="27"/>
      <c r="M38" s="27"/>
      <c r="N38" s="27"/>
      <c r="O38" s="27"/>
      <c r="P38" s="27"/>
      <c r="Q38" s="27"/>
      <c r="R38" s="27"/>
      <c r="S38" s="27"/>
    </row>
    <row r="39" spans="1:28" x14ac:dyDescent="0.4">
      <c r="A39" s="27"/>
      <c r="B39" s="27"/>
      <c r="C39" s="27"/>
      <c r="D39" s="27"/>
      <c r="E39" s="27"/>
      <c r="F39" s="27"/>
      <c r="G39" s="27"/>
      <c r="H39" s="27"/>
      <c r="I39" s="27"/>
      <c r="J39" s="27"/>
      <c r="K39" s="27"/>
      <c r="L39" s="27"/>
      <c r="M39" s="27"/>
      <c r="N39" s="27"/>
      <c r="O39" s="27"/>
      <c r="P39" s="27"/>
      <c r="Q39" s="27"/>
      <c r="R39" s="27"/>
      <c r="S39" s="27"/>
    </row>
    <row r="40" spans="1:28" x14ac:dyDescent="0.4">
      <c r="A40" s="27"/>
      <c r="B40" s="27"/>
      <c r="C40" s="27"/>
      <c r="D40" s="27"/>
      <c r="E40" s="27"/>
      <c r="F40" s="27"/>
      <c r="G40" s="27"/>
      <c r="H40" s="27"/>
      <c r="I40" s="27"/>
      <c r="J40" s="27"/>
      <c r="K40" s="27"/>
      <c r="L40" s="27"/>
      <c r="M40" s="27"/>
      <c r="N40" s="27"/>
      <c r="O40" s="27"/>
      <c r="P40" s="27"/>
      <c r="Q40" s="27"/>
      <c r="R40" s="27"/>
      <c r="S40" s="27"/>
    </row>
    <row r="41" spans="1:28" x14ac:dyDescent="0.4">
      <c r="A41" s="27"/>
      <c r="B41" s="27"/>
      <c r="C41" s="27"/>
      <c r="D41" s="27"/>
      <c r="E41" s="27"/>
      <c r="F41" s="27"/>
      <c r="G41" s="27"/>
      <c r="H41" s="27"/>
      <c r="I41" s="27"/>
      <c r="J41" s="27"/>
      <c r="K41" s="27"/>
      <c r="L41" s="27"/>
      <c r="M41" s="27"/>
      <c r="N41" s="27"/>
      <c r="O41" s="27"/>
      <c r="P41" s="27"/>
      <c r="Q41" s="27"/>
      <c r="R41" s="27"/>
      <c r="S41" s="27"/>
    </row>
    <row r="42" spans="1:28" x14ac:dyDescent="0.4">
      <c r="A42" s="27"/>
      <c r="B42" s="27"/>
      <c r="C42" s="27"/>
      <c r="D42" s="27"/>
      <c r="E42" s="27"/>
      <c r="F42" s="27"/>
      <c r="G42" s="27"/>
      <c r="H42" s="27"/>
      <c r="I42" s="27"/>
      <c r="J42" s="27"/>
      <c r="K42" s="27"/>
      <c r="L42" s="27"/>
      <c r="M42" s="27"/>
      <c r="N42" s="27"/>
      <c r="O42" s="27"/>
      <c r="P42" s="27"/>
      <c r="Q42" s="27"/>
      <c r="R42" s="27"/>
      <c r="S42" s="27"/>
    </row>
    <row r="43" spans="1:28" x14ac:dyDescent="0.4">
      <c r="A43" s="27"/>
      <c r="B43" s="27"/>
      <c r="C43" s="27"/>
      <c r="D43" s="27"/>
      <c r="E43" s="27"/>
      <c r="F43" s="27"/>
      <c r="G43" s="27"/>
      <c r="H43" s="27"/>
      <c r="I43" s="27"/>
      <c r="J43" s="27"/>
      <c r="K43" s="27"/>
      <c r="L43" s="27"/>
      <c r="M43" s="27"/>
      <c r="N43" s="27"/>
      <c r="O43" s="27"/>
      <c r="P43" s="27"/>
      <c r="Q43" s="27"/>
      <c r="R43" s="27"/>
      <c r="S43" s="27"/>
    </row>
    <row r="44" spans="1:28" x14ac:dyDescent="0.4">
      <c r="A44" s="27"/>
      <c r="B44" s="27"/>
      <c r="C44" s="27"/>
      <c r="D44" s="27"/>
      <c r="E44" s="27"/>
      <c r="F44" s="27"/>
      <c r="G44" s="27"/>
      <c r="H44" s="27"/>
      <c r="I44" s="27"/>
      <c r="J44" s="27"/>
      <c r="K44" s="27"/>
      <c r="L44" s="27"/>
      <c r="M44" s="27"/>
      <c r="N44" s="27"/>
      <c r="O44" s="27"/>
      <c r="P44" s="27"/>
      <c r="Q44" s="27"/>
      <c r="R44" s="27"/>
      <c r="S44" s="27"/>
    </row>
    <row r="45" spans="1:28" x14ac:dyDescent="0.4">
      <c r="A45" s="27"/>
      <c r="B45" s="27"/>
      <c r="C45" s="27"/>
      <c r="D45" s="27"/>
      <c r="E45" s="27"/>
      <c r="F45" s="27"/>
      <c r="G45" s="27"/>
      <c r="H45" s="27"/>
      <c r="I45" s="27"/>
      <c r="J45" s="27"/>
      <c r="K45" s="27"/>
      <c r="L45" s="27"/>
      <c r="M45" s="27"/>
      <c r="N45" s="27"/>
      <c r="O45" s="27"/>
      <c r="P45" s="27"/>
      <c r="Q45" s="27"/>
      <c r="R45" s="27"/>
      <c r="S45" s="27"/>
    </row>
    <row r="46" spans="1:28" x14ac:dyDescent="0.4">
      <c r="A46" s="27"/>
      <c r="B46" s="27"/>
      <c r="C46" s="27"/>
      <c r="D46" s="27"/>
      <c r="E46" s="27"/>
      <c r="F46" s="27"/>
      <c r="G46" s="27"/>
      <c r="H46" s="27"/>
      <c r="I46" s="27"/>
      <c r="J46" s="27"/>
      <c r="K46" s="27"/>
      <c r="L46" s="27"/>
      <c r="M46" s="27"/>
      <c r="N46" s="27"/>
      <c r="O46" s="27"/>
      <c r="P46" s="27"/>
      <c r="Q46" s="27"/>
      <c r="R46" s="27"/>
      <c r="S46" s="27"/>
    </row>
    <row r="47" spans="1:28" x14ac:dyDescent="0.4">
      <c r="A47" s="27"/>
      <c r="B47" s="27"/>
      <c r="C47" s="27"/>
      <c r="D47" s="27"/>
      <c r="E47" s="27"/>
      <c r="F47" s="27"/>
      <c r="G47" s="27"/>
      <c r="H47" s="27"/>
      <c r="I47" s="27"/>
      <c r="J47" s="27"/>
      <c r="K47" s="27"/>
      <c r="L47" s="27"/>
      <c r="M47" s="27"/>
      <c r="N47" s="27"/>
      <c r="O47" s="27"/>
      <c r="P47" s="27"/>
      <c r="Q47" s="27"/>
      <c r="R47" s="27"/>
      <c r="S47" s="27"/>
    </row>
    <row r="48" spans="1:28" x14ac:dyDescent="0.4">
      <c r="A48" s="27"/>
      <c r="B48" s="27"/>
      <c r="C48" s="27"/>
      <c r="D48" s="27"/>
      <c r="E48" s="27"/>
      <c r="F48" s="27"/>
      <c r="G48" s="27"/>
      <c r="H48" s="27"/>
      <c r="I48" s="27"/>
      <c r="J48" s="27"/>
      <c r="K48" s="27"/>
      <c r="L48" s="27"/>
      <c r="M48" s="27"/>
      <c r="N48" s="27"/>
      <c r="O48" s="27"/>
      <c r="P48" s="27"/>
      <c r="Q48" s="27"/>
      <c r="R48" s="27"/>
      <c r="S48" s="27"/>
    </row>
    <row r="49" spans="1:19" x14ac:dyDescent="0.4">
      <c r="A49" s="27"/>
      <c r="B49" s="27"/>
      <c r="C49" s="27"/>
      <c r="D49" s="27"/>
      <c r="E49" s="27"/>
      <c r="F49" s="27"/>
      <c r="G49" s="27"/>
      <c r="H49" s="27"/>
      <c r="I49" s="27"/>
      <c r="J49" s="27"/>
      <c r="K49" s="27"/>
      <c r="L49" s="27"/>
      <c r="M49" s="27"/>
      <c r="N49" s="27"/>
      <c r="O49" s="27"/>
      <c r="P49" s="27"/>
      <c r="Q49" s="27"/>
      <c r="R49" s="27"/>
      <c r="S49" s="27"/>
    </row>
    <row r="50" spans="1:19" x14ac:dyDescent="0.4">
      <c r="A50" s="27"/>
      <c r="B50" s="27"/>
      <c r="C50" s="27"/>
      <c r="D50" s="27"/>
      <c r="E50" s="27"/>
      <c r="F50" s="27"/>
      <c r="G50" s="27"/>
      <c r="H50" s="27"/>
      <c r="I50" s="27"/>
      <c r="J50" s="27"/>
      <c r="K50" s="27"/>
      <c r="L50" s="27"/>
      <c r="M50" s="27"/>
      <c r="N50" s="27"/>
      <c r="O50" s="27"/>
      <c r="P50" s="27"/>
      <c r="Q50" s="27"/>
      <c r="R50" s="27"/>
      <c r="S50" s="27"/>
    </row>
    <row r="51" spans="1:19" x14ac:dyDescent="0.4">
      <c r="A51" s="27"/>
      <c r="B51" s="27"/>
      <c r="C51" s="27"/>
      <c r="D51" s="27"/>
      <c r="E51" s="27"/>
      <c r="F51" s="27"/>
      <c r="G51" s="27"/>
      <c r="H51" s="27"/>
      <c r="I51" s="27"/>
      <c r="J51" s="27"/>
      <c r="K51" s="27"/>
      <c r="L51" s="27"/>
      <c r="M51" s="27"/>
      <c r="N51" s="27"/>
      <c r="O51" s="27"/>
      <c r="P51" s="27"/>
      <c r="Q51" s="27"/>
      <c r="R51" s="27"/>
      <c r="S51" s="27"/>
    </row>
    <row r="52" spans="1:19" x14ac:dyDescent="0.4">
      <c r="A52" s="27"/>
      <c r="B52" s="27"/>
      <c r="C52" s="27"/>
      <c r="D52" s="27"/>
      <c r="E52" s="27"/>
      <c r="F52" s="27"/>
      <c r="G52" s="27"/>
      <c r="H52" s="27"/>
      <c r="I52" s="27"/>
      <c r="J52" s="27"/>
      <c r="K52" s="27"/>
      <c r="L52" s="27"/>
      <c r="M52" s="27"/>
      <c r="N52" s="27"/>
      <c r="O52" s="27"/>
      <c r="P52" s="27"/>
      <c r="Q52" s="27"/>
      <c r="R52" s="27"/>
      <c r="S52" s="27"/>
    </row>
    <row r="53" spans="1:19" x14ac:dyDescent="0.4">
      <c r="A53" s="27"/>
      <c r="B53" s="27"/>
      <c r="C53" s="27"/>
      <c r="D53" s="27"/>
      <c r="E53" s="27"/>
      <c r="F53" s="27"/>
      <c r="G53" s="27"/>
      <c r="H53" s="27"/>
      <c r="I53" s="27"/>
      <c r="J53" s="27"/>
      <c r="K53" s="27"/>
      <c r="L53" s="27"/>
      <c r="M53" s="27"/>
      <c r="N53" s="27"/>
      <c r="O53" s="27"/>
      <c r="P53" s="27"/>
      <c r="Q53" s="27"/>
      <c r="R53" s="27"/>
      <c r="S53" s="27"/>
    </row>
    <row r="54" spans="1:19" x14ac:dyDescent="0.4">
      <c r="A54" s="27"/>
      <c r="B54" s="27"/>
      <c r="C54" s="27"/>
      <c r="D54" s="27"/>
      <c r="E54" s="27"/>
      <c r="F54" s="27"/>
      <c r="G54" s="27"/>
      <c r="H54" s="27"/>
      <c r="I54" s="27"/>
      <c r="J54" s="27"/>
      <c r="K54" s="27"/>
      <c r="L54" s="27"/>
      <c r="M54" s="27"/>
      <c r="N54" s="27"/>
      <c r="O54" s="27"/>
      <c r="P54" s="27"/>
      <c r="Q54" s="27"/>
      <c r="R54" s="27"/>
      <c r="S54" s="27"/>
    </row>
    <row r="55" spans="1:19" x14ac:dyDescent="0.4">
      <c r="A55" s="27"/>
      <c r="B55" s="27"/>
      <c r="C55" s="27"/>
      <c r="D55" s="27"/>
      <c r="E55" s="27"/>
      <c r="F55" s="27"/>
      <c r="G55" s="27"/>
      <c r="H55" s="27"/>
      <c r="I55" s="27"/>
      <c r="J55" s="27"/>
      <c r="K55" s="27"/>
      <c r="L55" s="27"/>
      <c r="M55" s="27"/>
      <c r="N55" s="27"/>
      <c r="O55" s="27"/>
      <c r="P55" s="27"/>
      <c r="Q55" s="27"/>
      <c r="R55" s="27"/>
      <c r="S55" s="27"/>
    </row>
    <row r="56" spans="1:19" x14ac:dyDescent="0.4">
      <c r="A56" s="27"/>
      <c r="B56" s="27"/>
      <c r="C56" s="27"/>
      <c r="D56" s="27"/>
      <c r="E56" s="27"/>
      <c r="F56" s="27"/>
      <c r="G56" s="27"/>
      <c r="H56" s="27"/>
      <c r="I56" s="27"/>
      <c r="J56" s="27"/>
      <c r="K56" s="27"/>
      <c r="L56" s="27"/>
      <c r="M56" s="27"/>
      <c r="N56" s="27"/>
      <c r="O56" s="27"/>
      <c r="P56" s="27"/>
      <c r="Q56" s="27"/>
      <c r="R56" s="27"/>
      <c r="S56" s="27"/>
    </row>
    <row r="57" spans="1:19" x14ac:dyDescent="0.4">
      <c r="A57" s="27"/>
      <c r="B57" s="27"/>
      <c r="C57" s="27"/>
      <c r="D57" s="27"/>
      <c r="E57" s="27"/>
      <c r="F57" s="27"/>
      <c r="G57" s="27"/>
      <c r="H57" s="27"/>
      <c r="I57" s="27"/>
      <c r="J57" s="27"/>
      <c r="K57" s="27"/>
      <c r="L57" s="27"/>
      <c r="M57" s="27"/>
      <c r="N57" s="27"/>
      <c r="O57" s="27"/>
      <c r="P57" s="27"/>
      <c r="Q57" s="27"/>
      <c r="R57" s="27"/>
      <c r="S57" s="27"/>
    </row>
    <row r="58" spans="1:19" x14ac:dyDescent="0.4">
      <c r="A58" s="27"/>
      <c r="B58" s="27"/>
      <c r="C58" s="27"/>
      <c r="D58" s="27"/>
      <c r="E58" s="27"/>
      <c r="F58" s="27"/>
      <c r="G58" s="27"/>
      <c r="H58" s="27"/>
      <c r="I58" s="27"/>
      <c r="J58" s="27"/>
      <c r="K58" s="27"/>
      <c r="L58" s="27"/>
      <c r="M58" s="27"/>
      <c r="N58" s="27"/>
      <c r="O58" s="27"/>
      <c r="P58" s="27"/>
      <c r="Q58" s="27"/>
      <c r="R58" s="27"/>
      <c r="S58" s="27"/>
    </row>
    <row r="59" spans="1:19" x14ac:dyDescent="0.4">
      <c r="A59" s="27"/>
      <c r="B59" s="27"/>
      <c r="C59" s="27"/>
      <c r="D59" s="27"/>
      <c r="E59" s="27"/>
      <c r="F59" s="27"/>
      <c r="G59" s="27"/>
      <c r="H59" s="27"/>
      <c r="I59" s="27"/>
      <c r="J59" s="27"/>
      <c r="K59" s="27"/>
      <c r="L59" s="27"/>
      <c r="M59" s="27"/>
      <c r="N59" s="27"/>
      <c r="O59" s="27"/>
      <c r="P59" s="27"/>
      <c r="Q59" s="27"/>
      <c r="R59" s="27"/>
      <c r="S59" s="27"/>
    </row>
    <row r="60" spans="1:19" x14ac:dyDescent="0.4">
      <c r="A60" s="27"/>
      <c r="B60" s="27"/>
      <c r="C60" s="27"/>
      <c r="D60" s="27"/>
      <c r="E60" s="27"/>
      <c r="F60" s="27"/>
      <c r="G60" s="27"/>
      <c r="H60" s="27"/>
      <c r="I60" s="27"/>
      <c r="J60" s="27"/>
      <c r="K60" s="27"/>
      <c r="L60" s="27"/>
      <c r="M60" s="27"/>
      <c r="N60" s="27"/>
      <c r="O60" s="27"/>
      <c r="P60" s="27"/>
      <c r="Q60" s="27"/>
      <c r="R60" s="27"/>
      <c r="S60" s="27"/>
    </row>
    <row r="61" spans="1:19" x14ac:dyDescent="0.4">
      <c r="A61" s="27"/>
      <c r="B61" s="27"/>
      <c r="C61" s="27"/>
      <c r="D61" s="27"/>
      <c r="E61" s="27"/>
      <c r="F61" s="27"/>
      <c r="G61" s="27"/>
      <c r="H61" s="27"/>
      <c r="I61" s="27"/>
      <c r="J61" s="27"/>
      <c r="K61" s="27"/>
      <c r="L61" s="27"/>
      <c r="M61" s="27"/>
      <c r="N61" s="27"/>
      <c r="O61" s="27"/>
      <c r="P61" s="27"/>
      <c r="Q61" s="27"/>
      <c r="R61" s="27"/>
      <c r="S61" s="27"/>
    </row>
    <row r="62" spans="1:19" x14ac:dyDescent="0.4">
      <c r="A62" s="27"/>
      <c r="B62" s="27"/>
      <c r="C62" s="27"/>
      <c r="D62" s="27"/>
      <c r="E62" s="27"/>
      <c r="F62" s="27"/>
      <c r="G62" s="27"/>
      <c r="H62" s="27"/>
      <c r="I62" s="27"/>
      <c r="J62" s="27"/>
      <c r="K62" s="27"/>
      <c r="L62" s="27"/>
      <c r="M62" s="27"/>
      <c r="N62" s="27"/>
      <c r="O62" s="27"/>
      <c r="P62" s="27"/>
      <c r="Q62" s="27"/>
      <c r="R62" s="27"/>
      <c r="S62" s="27"/>
    </row>
    <row r="63" spans="1:19" x14ac:dyDescent="0.4">
      <c r="A63" s="27"/>
      <c r="B63" s="27"/>
      <c r="C63" s="27"/>
      <c r="D63" s="27"/>
      <c r="E63" s="27"/>
      <c r="F63" s="27"/>
      <c r="G63" s="27"/>
      <c r="H63" s="27"/>
      <c r="I63" s="27"/>
      <c r="J63" s="27"/>
      <c r="K63" s="27"/>
      <c r="L63" s="27"/>
      <c r="M63" s="27"/>
      <c r="N63" s="27"/>
      <c r="O63" s="27"/>
      <c r="P63" s="27"/>
      <c r="Q63" s="27"/>
      <c r="R63" s="27"/>
      <c r="S63" s="27"/>
    </row>
    <row r="64" spans="1:19" x14ac:dyDescent="0.4">
      <c r="A64" s="27"/>
      <c r="B64" s="27"/>
      <c r="C64" s="27"/>
      <c r="D64" s="27"/>
      <c r="E64" s="27"/>
      <c r="F64" s="27"/>
      <c r="G64" s="27"/>
      <c r="H64" s="27"/>
      <c r="I64" s="27"/>
      <c r="J64" s="27"/>
      <c r="K64" s="27"/>
      <c r="L64" s="27"/>
      <c r="M64" s="27"/>
      <c r="N64" s="27"/>
      <c r="O64" s="27"/>
      <c r="P64" s="27"/>
      <c r="Q64" s="27"/>
      <c r="R64" s="27"/>
      <c r="S64" s="27"/>
    </row>
    <row r="65" spans="1:19" x14ac:dyDescent="0.4">
      <c r="A65" s="27"/>
      <c r="B65" s="27"/>
      <c r="C65" s="27"/>
      <c r="D65" s="27"/>
      <c r="E65" s="27"/>
      <c r="F65" s="27"/>
      <c r="G65" s="27"/>
      <c r="H65" s="27"/>
      <c r="I65" s="27"/>
      <c r="J65" s="27"/>
      <c r="K65" s="27"/>
      <c r="L65" s="27"/>
      <c r="M65" s="27"/>
      <c r="N65" s="27"/>
      <c r="O65" s="27"/>
      <c r="P65" s="27"/>
      <c r="Q65" s="27"/>
      <c r="R65" s="27"/>
      <c r="S65" s="27"/>
    </row>
    <row r="66" spans="1:19" x14ac:dyDescent="0.4">
      <c r="A66" s="27"/>
      <c r="B66" s="27"/>
      <c r="C66" s="27"/>
      <c r="D66" s="27"/>
      <c r="E66" s="27"/>
      <c r="F66" s="27"/>
      <c r="G66" s="27"/>
      <c r="H66" s="27"/>
      <c r="I66" s="27"/>
      <c r="J66" s="27"/>
      <c r="K66" s="27"/>
      <c r="L66" s="27"/>
      <c r="M66" s="27"/>
      <c r="N66" s="27"/>
      <c r="O66" s="27"/>
      <c r="P66" s="27"/>
      <c r="Q66" s="27"/>
      <c r="R66" s="27"/>
      <c r="S66" s="27"/>
    </row>
    <row r="67" spans="1:19" x14ac:dyDescent="0.4">
      <c r="A67" s="27"/>
      <c r="B67" s="27"/>
      <c r="C67" s="27"/>
      <c r="D67" s="27"/>
      <c r="E67" s="27"/>
      <c r="F67" s="27"/>
      <c r="G67" s="27"/>
      <c r="H67" s="27"/>
      <c r="I67" s="27"/>
      <c r="J67" s="27"/>
      <c r="K67" s="27"/>
      <c r="L67" s="27"/>
      <c r="M67" s="27"/>
      <c r="N67" s="27"/>
      <c r="O67" s="27"/>
      <c r="P67" s="27"/>
      <c r="Q67" s="27"/>
      <c r="R67" s="27"/>
      <c r="S67" s="27"/>
    </row>
    <row r="68" spans="1:19" x14ac:dyDescent="0.4">
      <c r="A68" s="27"/>
      <c r="B68" s="27"/>
      <c r="C68" s="27"/>
      <c r="D68" s="27"/>
      <c r="E68" s="27"/>
      <c r="F68" s="27"/>
      <c r="G68" s="27"/>
      <c r="H68" s="27"/>
      <c r="I68" s="27"/>
      <c r="J68" s="27"/>
      <c r="K68" s="27"/>
      <c r="L68" s="27"/>
      <c r="M68" s="27"/>
      <c r="N68" s="27"/>
      <c r="O68" s="27"/>
      <c r="P68" s="27"/>
      <c r="Q68" s="27"/>
      <c r="R68" s="27"/>
      <c r="S68" s="27"/>
    </row>
    <row r="69" spans="1:19" x14ac:dyDescent="0.4">
      <c r="A69" s="27"/>
      <c r="B69" s="27"/>
      <c r="C69" s="27"/>
      <c r="D69" s="27"/>
      <c r="E69" s="27"/>
      <c r="F69" s="27"/>
      <c r="G69" s="27"/>
      <c r="H69" s="27"/>
      <c r="I69" s="27"/>
      <c r="J69" s="27"/>
      <c r="K69" s="27"/>
      <c r="L69" s="27"/>
      <c r="M69" s="27"/>
      <c r="N69" s="27"/>
      <c r="O69" s="27"/>
      <c r="P69" s="27"/>
      <c r="Q69" s="27"/>
      <c r="R69" s="27"/>
      <c r="S69" s="27"/>
    </row>
    <row r="70" spans="1:19" x14ac:dyDescent="0.4">
      <c r="A70" s="27"/>
      <c r="B70" s="27"/>
      <c r="C70" s="27"/>
      <c r="D70" s="27"/>
      <c r="E70" s="27"/>
      <c r="F70" s="27"/>
      <c r="G70" s="27"/>
      <c r="H70" s="27"/>
      <c r="I70" s="27"/>
      <c r="J70" s="27"/>
      <c r="K70" s="27"/>
      <c r="L70" s="27"/>
      <c r="M70" s="27"/>
      <c r="N70" s="27"/>
      <c r="O70" s="27"/>
      <c r="P70" s="27"/>
      <c r="Q70" s="27"/>
      <c r="R70" s="27"/>
      <c r="S70" s="27"/>
    </row>
    <row r="71" spans="1:19" x14ac:dyDescent="0.4">
      <c r="A71" s="27"/>
      <c r="B71" s="27"/>
      <c r="C71" s="27"/>
      <c r="D71" s="27"/>
      <c r="E71" s="27"/>
      <c r="F71" s="27"/>
      <c r="G71" s="27"/>
      <c r="H71" s="27"/>
      <c r="I71" s="27"/>
      <c r="J71" s="27"/>
      <c r="K71" s="27"/>
      <c r="L71" s="27"/>
      <c r="M71" s="27"/>
      <c r="N71" s="27"/>
      <c r="O71" s="27"/>
      <c r="P71" s="27"/>
      <c r="Q71" s="27"/>
      <c r="R71" s="27"/>
      <c r="S71" s="27"/>
    </row>
    <row r="72" spans="1:19" x14ac:dyDescent="0.4">
      <c r="A72" s="27"/>
      <c r="B72" s="27"/>
      <c r="C72" s="27"/>
      <c r="D72" s="27"/>
      <c r="E72" s="27"/>
      <c r="F72" s="27"/>
      <c r="G72" s="27"/>
      <c r="H72" s="27"/>
      <c r="I72" s="27"/>
      <c r="J72" s="27"/>
      <c r="K72" s="27"/>
      <c r="L72" s="27"/>
      <c r="M72" s="27"/>
      <c r="N72" s="27"/>
      <c r="O72" s="27"/>
      <c r="P72" s="27"/>
      <c r="Q72" s="27"/>
      <c r="R72" s="27"/>
      <c r="S72" s="27"/>
    </row>
    <row r="73" spans="1:19" x14ac:dyDescent="0.4">
      <c r="A73" s="27"/>
      <c r="B73" s="27"/>
      <c r="C73" s="27"/>
      <c r="D73" s="27"/>
      <c r="E73" s="27"/>
      <c r="F73" s="27"/>
      <c r="G73" s="27"/>
      <c r="H73" s="27"/>
      <c r="I73" s="27"/>
      <c r="J73" s="27"/>
      <c r="K73" s="27"/>
      <c r="L73" s="27"/>
      <c r="M73" s="27"/>
      <c r="N73" s="27"/>
      <c r="O73" s="27"/>
      <c r="P73" s="27"/>
      <c r="Q73" s="27"/>
      <c r="R73" s="27"/>
      <c r="S73" s="27"/>
    </row>
    <row r="74" spans="1:19" x14ac:dyDescent="0.4">
      <c r="A74" s="27"/>
      <c r="B74" s="27"/>
      <c r="C74" s="27"/>
      <c r="D74" s="27"/>
      <c r="E74" s="27"/>
      <c r="F74" s="27"/>
      <c r="G74" s="27"/>
      <c r="H74" s="27"/>
      <c r="I74" s="27"/>
      <c r="J74" s="27"/>
      <c r="K74" s="27"/>
      <c r="L74" s="27"/>
      <c r="M74" s="27"/>
      <c r="N74" s="27"/>
      <c r="O74" s="27"/>
      <c r="P74" s="27"/>
      <c r="Q74" s="27"/>
      <c r="R74" s="27"/>
      <c r="S74" s="27"/>
    </row>
    <row r="75" spans="1:19" x14ac:dyDescent="0.4">
      <c r="A75" s="27"/>
      <c r="B75" s="27"/>
      <c r="C75" s="27"/>
      <c r="D75" s="27"/>
      <c r="E75" s="27"/>
      <c r="F75" s="27"/>
      <c r="G75" s="27"/>
      <c r="H75" s="27"/>
      <c r="I75" s="27"/>
      <c r="J75" s="27"/>
      <c r="K75" s="27"/>
      <c r="L75" s="27"/>
      <c r="M75" s="27"/>
      <c r="N75" s="27"/>
      <c r="O75" s="27"/>
      <c r="P75" s="27"/>
      <c r="Q75" s="27"/>
      <c r="R75" s="27"/>
      <c r="S75" s="27"/>
    </row>
    <row r="76" spans="1:19" x14ac:dyDescent="0.4">
      <c r="A76" s="27"/>
      <c r="B76" s="27"/>
      <c r="C76" s="27"/>
      <c r="D76" s="27"/>
      <c r="E76" s="27"/>
      <c r="F76" s="27"/>
      <c r="G76" s="27"/>
      <c r="H76" s="27"/>
      <c r="I76" s="27"/>
      <c r="J76" s="27"/>
      <c r="K76" s="27"/>
      <c r="L76" s="27"/>
      <c r="M76" s="27"/>
      <c r="N76" s="27"/>
      <c r="O76" s="27"/>
      <c r="P76" s="27"/>
      <c r="Q76" s="27"/>
      <c r="R76" s="27"/>
      <c r="S76" s="27"/>
    </row>
    <row r="77" spans="1:19" x14ac:dyDescent="0.4">
      <c r="A77" s="27"/>
      <c r="B77" s="27"/>
      <c r="C77" s="27"/>
      <c r="D77" s="27"/>
      <c r="E77" s="27"/>
      <c r="F77" s="27"/>
      <c r="G77" s="27"/>
      <c r="H77" s="27"/>
      <c r="I77" s="27"/>
      <c r="J77" s="27"/>
      <c r="K77" s="27"/>
      <c r="L77" s="27"/>
      <c r="M77" s="27"/>
      <c r="N77" s="27"/>
      <c r="O77" s="27"/>
      <c r="P77" s="27"/>
      <c r="Q77" s="27"/>
      <c r="R77" s="27"/>
      <c r="S77" s="27"/>
    </row>
    <row r="78" spans="1:19" x14ac:dyDescent="0.4">
      <c r="A78" s="27"/>
      <c r="B78" s="27"/>
      <c r="C78" s="27"/>
      <c r="D78" s="27"/>
      <c r="E78" s="27"/>
      <c r="F78" s="27"/>
      <c r="G78" s="27"/>
      <c r="H78" s="27"/>
      <c r="I78" s="27"/>
      <c r="J78" s="27"/>
      <c r="K78" s="27"/>
      <c r="L78" s="27"/>
      <c r="M78" s="27"/>
      <c r="N78" s="27"/>
      <c r="O78" s="27"/>
      <c r="P78" s="27"/>
      <c r="Q78" s="27"/>
      <c r="R78" s="27"/>
      <c r="S78" s="27"/>
    </row>
    <row r="79" spans="1:19" x14ac:dyDescent="0.4">
      <c r="A79" s="27"/>
      <c r="B79" s="27"/>
      <c r="C79" s="27"/>
      <c r="D79" s="27"/>
      <c r="E79" s="27"/>
      <c r="F79" s="27"/>
      <c r="G79" s="27"/>
      <c r="H79" s="27"/>
      <c r="I79" s="27"/>
      <c r="J79" s="27"/>
      <c r="K79" s="27"/>
      <c r="L79" s="27"/>
      <c r="M79" s="27"/>
      <c r="N79" s="27"/>
      <c r="O79" s="27"/>
      <c r="P79" s="27"/>
      <c r="Q79" s="27"/>
      <c r="R79" s="27"/>
      <c r="S79" s="27"/>
    </row>
    <row r="80" spans="1:19" x14ac:dyDescent="0.4">
      <c r="A80" s="27"/>
      <c r="B80" s="27"/>
      <c r="C80" s="27"/>
      <c r="D80" s="27"/>
      <c r="E80" s="27"/>
      <c r="F80" s="27"/>
      <c r="G80" s="27"/>
      <c r="H80" s="27"/>
      <c r="I80" s="27"/>
      <c r="J80" s="27"/>
      <c r="K80" s="27"/>
      <c r="L80" s="27"/>
      <c r="M80" s="27"/>
      <c r="N80" s="27"/>
      <c r="O80" s="27"/>
      <c r="P80" s="27"/>
      <c r="Q80" s="27"/>
      <c r="R80" s="27"/>
      <c r="S80" s="27"/>
    </row>
    <row r="81" spans="1:19" x14ac:dyDescent="0.4">
      <c r="A81" s="27"/>
      <c r="B81" s="27"/>
      <c r="C81" s="27"/>
      <c r="D81" s="27"/>
      <c r="E81" s="27"/>
      <c r="F81" s="27"/>
      <c r="G81" s="27"/>
      <c r="H81" s="27"/>
      <c r="I81" s="27"/>
      <c r="J81" s="27"/>
      <c r="K81" s="27"/>
      <c r="L81" s="27"/>
      <c r="M81" s="27"/>
      <c r="N81" s="27"/>
      <c r="O81" s="27"/>
      <c r="P81" s="27"/>
      <c r="Q81" s="27"/>
      <c r="R81" s="27"/>
      <c r="S81" s="27"/>
    </row>
    <row r="82" spans="1:19" x14ac:dyDescent="0.4">
      <c r="A82" s="27"/>
      <c r="B82" s="27"/>
      <c r="C82" s="27"/>
      <c r="D82" s="27"/>
      <c r="E82" s="27"/>
      <c r="F82" s="27"/>
      <c r="G82" s="27"/>
      <c r="H82" s="27"/>
      <c r="I82" s="27"/>
      <c r="J82" s="27"/>
      <c r="K82" s="27"/>
      <c r="L82" s="27"/>
      <c r="M82" s="27"/>
      <c r="N82" s="27"/>
      <c r="O82" s="27"/>
      <c r="P82" s="27"/>
      <c r="Q82" s="27"/>
      <c r="R82" s="27"/>
      <c r="S82" s="27"/>
    </row>
    <row r="83" spans="1:19" x14ac:dyDescent="0.4">
      <c r="A83" s="27"/>
      <c r="B83" s="27"/>
      <c r="C83" s="27"/>
      <c r="D83" s="27"/>
      <c r="E83" s="27"/>
      <c r="F83" s="27"/>
      <c r="G83" s="27"/>
      <c r="H83" s="27"/>
      <c r="I83" s="27"/>
      <c r="J83" s="27"/>
      <c r="K83" s="27"/>
      <c r="L83" s="27"/>
      <c r="M83" s="27"/>
      <c r="N83" s="27"/>
      <c r="O83" s="27"/>
      <c r="P83" s="27"/>
      <c r="Q83" s="27"/>
      <c r="R83" s="27"/>
      <c r="S83" s="27"/>
    </row>
    <row r="84" spans="1:19" x14ac:dyDescent="0.4">
      <c r="A84" s="27"/>
      <c r="B84" s="27"/>
      <c r="C84" s="27"/>
      <c r="D84" s="27"/>
      <c r="E84" s="27"/>
      <c r="F84" s="27"/>
      <c r="G84" s="27"/>
      <c r="H84" s="27"/>
      <c r="I84" s="27"/>
      <c r="J84" s="27"/>
      <c r="K84" s="27"/>
      <c r="L84" s="27"/>
      <c r="M84" s="27"/>
      <c r="N84" s="27"/>
      <c r="O84" s="27"/>
      <c r="P84" s="27"/>
      <c r="Q84" s="27"/>
      <c r="R84" s="27"/>
      <c r="S84" s="27"/>
    </row>
    <row r="85" spans="1:19" x14ac:dyDescent="0.4">
      <c r="A85" s="27"/>
      <c r="B85" s="27"/>
      <c r="C85" s="27"/>
      <c r="D85" s="27"/>
      <c r="E85" s="27"/>
      <c r="F85" s="27"/>
      <c r="G85" s="27"/>
      <c r="H85" s="27"/>
      <c r="I85" s="27"/>
      <c r="J85" s="27"/>
      <c r="K85" s="27"/>
      <c r="L85" s="27"/>
      <c r="M85" s="27"/>
      <c r="N85" s="27"/>
      <c r="O85" s="27"/>
      <c r="P85" s="27"/>
      <c r="Q85" s="27"/>
      <c r="R85" s="27"/>
      <c r="S85" s="27"/>
    </row>
    <row r="86" spans="1:19" x14ac:dyDescent="0.4">
      <c r="A86" s="27"/>
      <c r="B86" s="27"/>
      <c r="C86" s="27"/>
      <c r="D86" s="27"/>
      <c r="E86" s="27"/>
      <c r="F86" s="27"/>
      <c r="G86" s="27"/>
      <c r="H86" s="27"/>
      <c r="I86" s="27"/>
      <c r="J86" s="27"/>
      <c r="K86" s="27"/>
      <c r="L86" s="27"/>
      <c r="M86" s="27"/>
      <c r="N86" s="27"/>
      <c r="O86" s="27"/>
      <c r="P86" s="27"/>
      <c r="Q86" s="27"/>
      <c r="R86" s="27"/>
      <c r="S86" s="27"/>
    </row>
  </sheetData>
  <sheetProtection algorithmName="SHA-512" hashValue="3FjTJPO6mopo44zoxM+wa58ASIgGBaWrIElzLq/VaQjXSczBJJPMdScRt2SPj+GcL/Lhm7LwUxXdCjQKEO7wMg==" saltValue="6ElWT4sfL41kBpc5UsESWA==" spinCount="100000" sheet="1" formatCells="0" formatColumns="0" formatRows="0" autoFilter="0"/>
  <dataConsolidate/>
  <mergeCells count="40">
    <mergeCell ref="E34:F35"/>
    <mergeCell ref="L34:N35"/>
    <mergeCell ref="F18:L18"/>
    <mergeCell ref="M2:N2"/>
    <mergeCell ref="O2:R2"/>
    <mergeCell ref="C18:E18"/>
    <mergeCell ref="B7:H7"/>
    <mergeCell ref="D16:H16"/>
    <mergeCell ref="L8:M8"/>
    <mergeCell ref="L9:S9"/>
    <mergeCell ref="L10:S10"/>
    <mergeCell ref="L11:Q11"/>
    <mergeCell ref="L12:Q12"/>
    <mergeCell ref="J11:K11"/>
    <mergeCell ref="J9:K9"/>
    <mergeCell ref="C28:E28"/>
    <mergeCell ref="J10:K10"/>
    <mergeCell ref="F14:G14"/>
    <mergeCell ref="C20:E20"/>
    <mergeCell ref="C23:E23"/>
    <mergeCell ref="F23:G23"/>
    <mergeCell ref="H23:I23"/>
    <mergeCell ref="F20:G20"/>
    <mergeCell ref="C22:F22"/>
    <mergeCell ref="B1:D1"/>
    <mergeCell ref="J12:K12"/>
    <mergeCell ref="Q23:S23"/>
    <mergeCell ref="C33:D35"/>
    <mergeCell ref="E33:F33"/>
    <mergeCell ref="G34:K35"/>
    <mergeCell ref="O34:S35"/>
    <mergeCell ref="G33:K33"/>
    <mergeCell ref="C24:D24"/>
    <mergeCell ref="N24:O24"/>
    <mergeCell ref="Q24:R24"/>
    <mergeCell ref="J23:K23"/>
    <mergeCell ref="L23:M23"/>
    <mergeCell ref="N23:P23"/>
    <mergeCell ref="O33:S33"/>
    <mergeCell ref="L33:N33"/>
  </mergeCells>
  <phoneticPr fontId="4"/>
  <conditionalFormatting sqref="M4 O4 Q4">
    <cfRule type="cellIs" dxfId="5" priority="18" operator="equal">
      <formula>""</formula>
    </cfRule>
  </conditionalFormatting>
  <conditionalFormatting sqref="G33:K35 O33:S35">
    <cfRule type="cellIs" dxfId="4" priority="14" operator="equal">
      <formula>""</formula>
    </cfRule>
  </conditionalFormatting>
  <conditionalFormatting sqref="Q4">
    <cfRule type="cellIs" dxfId="3" priority="12" operator="equal">
      <formula>""</formula>
    </cfRule>
  </conditionalFormatting>
  <conditionalFormatting sqref="F20:G20">
    <cfRule type="cellIs" dxfId="2" priority="10" operator="equal">
      <formula>""</formula>
    </cfRule>
  </conditionalFormatting>
  <conditionalFormatting sqref="L24">
    <cfRule type="cellIs" dxfId="1" priority="8" operator="equal">
      <formula>""</formula>
    </cfRule>
  </conditionalFormatting>
  <conditionalFormatting sqref="O2:R2">
    <cfRule type="cellIs" dxfId="0" priority="7" operator="equal">
      <formula>""</formula>
    </cfRule>
  </conditionalFormatting>
  <dataValidations count="4">
    <dataValidation allowBlank="1" showErrorMessage="1" prompt="_x000a_" sqref="L24" xr:uid="{00000000-0002-0000-0A00-000000000000}"/>
    <dataValidation type="whole" allowBlank="1" showErrorMessage="1" sqref="M4" xr:uid="{00000000-0002-0000-0A00-000001000000}">
      <formula1>4</formula1>
      <formula2>5</formula2>
    </dataValidation>
    <dataValidation type="whole" allowBlank="1" showInputMessage="1" showErrorMessage="1" sqref="O4" xr:uid="{82F4C550-81A0-41A4-A664-E3662EE91EBD}">
      <formula1>1</formula1>
      <formula2>12</formula2>
    </dataValidation>
    <dataValidation type="whole" allowBlank="1" showInputMessage="1" showErrorMessage="1" sqref="Q4" xr:uid="{C0D14259-355A-41A1-A39C-BAF449E5AE4C}">
      <formula1>1</formula1>
      <formula2>31</formula2>
    </dataValidation>
  </dataValidations>
  <pageMargins left="0.70866141732283472" right="0.70866141732283472" top="0.74803149606299213" bottom="0.74803149606299213"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メニュー画面</vt:lpstr>
      <vt:lpstr>団体基本情報</vt:lpstr>
      <vt:lpstr>支出入力表</vt:lpstr>
      <vt:lpstr>収入入力表</vt:lpstr>
      <vt:lpstr>精算額計算書</vt:lpstr>
      <vt:lpstr>総事業費の支出額内訳</vt:lpstr>
      <vt:lpstr>プルダウン用リスト</vt:lpstr>
      <vt:lpstr>予算変更確認</vt:lpstr>
      <vt:lpstr>事業完了報告書</vt:lpstr>
      <vt:lpstr>メニュー画面!Print_Area</vt:lpstr>
      <vt:lpstr>支出入力表!Print_Area</vt:lpstr>
      <vt:lpstr>事業完了報告書!Print_Area</vt:lpstr>
      <vt:lpstr>収入入力表!Print_Area</vt:lpstr>
      <vt:lpstr>精算額計算書!Print_Area</vt:lpstr>
      <vt:lpstr>総事業費の支出額内訳!Print_Area</vt:lpstr>
      <vt:lpstr>団体基本情報!Print_Area</vt:lpstr>
      <vt:lpstr>予算変更確認!Print_Area</vt:lpstr>
      <vt:lpstr>支出入力表!Print_Titles</vt:lpstr>
      <vt:lpstr>収入入力表!Print_Titles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2022-03-04T02:00:22Z</cp:lastPrinted>
  <dcterms:created xsi:type="dcterms:W3CDTF">2018-07-18T02:18:54Z</dcterms:created>
  <dcterms:modified xsi:type="dcterms:W3CDTF">2022-04-18T05:30:42Z</dcterms:modified>
</cp:coreProperties>
</file>