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svr26101\Redirect$\yokoyama202312\Download\"/>
    </mc:Choice>
  </mc:AlternateContent>
  <xr:revisionPtr revIDLastSave="0" documentId="13_ncr:1_{05E79739-E746-4386-8A63-5CAAB7A61A53}" xr6:coauthVersionLast="36" xr6:coauthVersionMax="36" xr10:uidLastSave="{00000000-0000-0000-0000-000000000000}"/>
  <workbookProtection workbookAlgorithmName="SHA-512" workbookHashValue="PatT+i9N+1jRTBBlzGXt8Kv/tW53AGUXogDs9QHjqVOTh0iR99Fg3u+4VeRprmbsuKh/9DyZciBco2hN02NQVw==" workbookSaltValue="8DajoqBmakb0mquLd+9Guw==" workbookSpinCount="100000" lockStructure="1"/>
  <bookViews>
    <workbookView xWindow="0" yWindow="0" windowWidth="28800" windowHeight="11385" xr2:uid="{3A9BCA5F-37EE-410B-8055-1AC5379BBFC8}"/>
  </bookViews>
  <sheets>
    <sheet name="メニュー画面" sheetId="13" r:id="rId1"/>
    <sheet name="団体基本情報入力" sheetId="8" r:id="rId2"/>
    <sheet name="支出入力表" sheetId="1" r:id="rId3"/>
    <sheet name="収入入力表" sheetId="12" r:id="rId4"/>
    <sheet name="精算額計算書" sheetId="6" r:id="rId5"/>
    <sheet name="総事業費の支出額内訳" sheetId="11" state="hidden" r:id="rId6"/>
    <sheet name="プルダウン用リスト" sheetId="4" state="hidden" r:id="rId7"/>
    <sheet name="事業完了報告書" sheetId="7" r:id="rId8"/>
  </sheets>
  <definedNames>
    <definedName name="_xlnm._FilterDatabase" localSheetId="6" hidden="1">プルダウン用リスト!$C$1:$C$16</definedName>
    <definedName name="_xlnm._FilterDatabase" localSheetId="2" hidden="1">支出入力表!$B$5:$N$1005</definedName>
    <definedName name="_xlnm._FilterDatabase" localSheetId="3" hidden="1">収入入力表!$B$5:$E$200</definedName>
    <definedName name="_xlnm._FilterDatabase" localSheetId="5" hidden="1">総事業費の支出額内訳!$B$4:$J$164</definedName>
    <definedName name="_xlnm._FilterDatabase" localSheetId="1" hidden="1">団体基本情報入力!$B$1:$E$11</definedName>
    <definedName name="_xlnm.Print_Area" localSheetId="0">メニュー画面!$A$1:$M$9</definedName>
    <definedName name="_xlnm.Print_Area" localSheetId="2">支出入力表!$A$1:$N$1006</definedName>
    <definedName name="_xlnm.Print_Area" localSheetId="7">事業完了報告書!$A$1:$U$38</definedName>
    <definedName name="_xlnm.Print_Area" localSheetId="3">収入入力表!$A$1:$E$201</definedName>
    <definedName name="_xlnm.Print_Area" localSheetId="4">精算額計算書!$A$1:$V$53</definedName>
    <definedName name="_xlnm.Print_Area" localSheetId="5">総事業費の支出額内訳!$A$1:$K$166</definedName>
    <definedName name="_xlnm.Print_Area" localSheetId="1">団体基本情報入力!$A$1:$E$25</definedName>
    <definedName name="_xlnm.Print_Titles" localSheetId="2">支出入力表!$1:$5</definedName>
    <definedName name="_xlnm.Print_Titles" localSheetId="3">収入入力表!$1:$5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6" i="1"/>
  <c r="E7" i="1"/>
  <c r="E8" i="1"/>
  <c r="E9" i="1"/>
  <c r="E10" i="1"/>
  <c r="E11" i="1"/>
  <c r="E12" i="1"/>
  <c r="E13" i="1"/>
  <c r="E14" i="1"/>
  <c r="E15" i="1"/>
  <c r="E16" i="1"/>
  <c r="E17" i="1"/>
  <c r="E18" i="1"/>
  <c r="E19" i="1"/>
  <c r="E20" i="1"/>
  <c r="E21" i="1"/>
  <c r="E22" i="1"/>
  <c r="O10" i="1" l="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6" i="1"/>
  <c r="F7" i="1"/>
  <c r="F8" i="1"/>
  <c r="F9" i="1"/>
  <c r="F10" i="1"/>
  <c r="F11" i="1"/>
  <c r="F12" i="1"/>
  <c r="F13" i="1"/>
  <c r="F14" i="1"/>
  <c r="F15" i="1"/>
  <c r="F16" i="1"/>
  <c r="F17" i="1"/>
  <c r="F18" i="1"/>
  <c r="F19" i="1"/>
  <c r="F20" i="1"/>
  <c r="F21" i="1"/>
  <c r="F22" i="1"/>
  <c r="F23" i="1"/>
  <c r="F6" i="1"/>
  <c r="O8" i="1"/>
  <c r="O9" i="1"/>
  <c r="O7" i="1"/>
  <c r="N22" i="6" l="1"/>
  <c r="N21" i="6"/>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6" i="1"/>
  <c r="G16" i="12" l="1"/>
  <c r="G20" i="12"/>
  <c r="G24" i="12"/>
  <c r="G28" i="12"/>
  <c r="G32" i="12"/>
  <c r="G36" i="12"/>
  <c r="G40" i="12"/>
  <c r="G44" i="12"/>
  <c r="G48" i="12"/>
  <c r="G52" i="12"/>
  <c r="G56" i="12"/>
  <c r="G60" i="12"/>
  <c r="G64" i="12"/>
  <c r="G68" i="12"/>
  <c r="G72" i="12"/>
  <c r="G76" i="12"/>
  <c r="G80" i="12"/>
  <c r="G84" i="12"/>
  <c r="G88" i="12"/>
  <c r="G92" i="12"/>
  <c r="G96" i="12"/>
  <c r="G100" i="12"/>
  <c r="G104" i="12"/>
  <c r="G108" i="12"/>
  <c r="G112" i="12"/>
  <c r="G116" i="12"/>
  <c r="G120" i="12"/>
  <c r="G124" i="12"/>
  <c r="G128" i="12"/>
  <c r="G132" i="12"/>
  <c r="G136" i="12"/>
  <c r="G140" i="12"/>
  <c r="G144" i="12"/>
  <c r="G148" i="12"/>
  <c r="G152" i="12"/>
  <c r="G156" i="12"/>
  <c r="G160" i="12"/>
  <c r="G164" i="12"/>
  <c r="G168" i="12"/>
  <c r="G172" i="12"/>
  <c r="G176" i="12"/>
  <c r="G180" i="12"/>
  <c r="G184" i="12"/>
  <c r="G188" i="12"/>
  <c r="G192" i="12"/>
  <c r="G196" i="12"/>
  <c r="G200" i="12"/>
  <c r="F7" i="12"/>
  <c r="G7" i="12" s="1"/>
  <c r="F8" i="12"/>
  <c r="G8" i="12" s="1"/>
  <c r="F9" i="12"/>
  <c r="G9" i="12" s="1"/>
  <c r="F10" i="12"/>
  <c r="G10" i="12" s="1"/>
  <c r="F11" i="12"/>
  <c r="G11" i="12" s="1"/>
  <c r="F12" i="12"/>
  <c r="G12" i="12" s="1"/>
  <c r="F13" i="12"/>
  <c r="G13" i="12" s="1"/>
  <c r="F14" i="12"/>
  <c r="G14" i="12" s="1"/>
  <c r="F15" i="12"/>
  <c r="G15" i="12" s="1"/>
  <c r="F16" i="12"/>
  <c r="F17" i="12"/>
  <c r="G17" i="12" s="1"/>
  <c r="F18" i="12"/>
  <c r="G18" i="12" s="1"/>
  <c r="F19" i="12"/>
  <c r="G19" i="12" s="1"/>
  <c r="F20" i="12"/>
  <c r="F21" i="12"/>
  <c r="G21" i="12" s="1"/>
  <c r="F22" i="12"/>
  <c r="G22" i="12" s="1"/>
  <c r="F23" i="12"/>
  <c r="G23" i="12" s="1"/>
  <c r="F24" i="12"/>
  <c r="F25" i="12"/>
  <c r="G25" i="12" s="1"/>
  <c r="F26" i="12"/>
  <c r="G26" i="12" s="1"/>
  <c r="F27" i="12"/>
  <c r="G27" i="12" s="1"/>
  <c r="F28" i="12"/>
  <c r="F29" i="12"/>
  <c r="G29" i="12" s="1"/>
  <c r="F30" i="12"/>
  <c r="G30" i="12" s="1"/>
  <c r="F31" i="12"/>
  <c r="G31" i="12" s="1"/>
  <c r="F32" i="12"/>
  <c r="F33" i="12"/>
  <c r="G33" i="12" s="1"/>
  <c r="F34" i="12"/>
  <c r="G34" i="12" s="1"/>
  <c r="F35" i="12"/>
  <c r="G35" i="12" s="1"/>
  <c r="F36" i="12"/>
  <c r="F37" i="12"/>
  <c r="G37" i="12" s="1"/>
  <c r="F38" i="12"/>
  <c r="G38" i="12" s="1"/>
  <c r="F39" i="12"/>
  <c r="G39" i="12" s="1"/>
  <c r="F40" i="12"/>
  <c r="F41" i="12"/>
  <c r="G41" i="12" s="1"/>
  <c r="F42" i="12"/>
  <c r="G42" i="12" s="1"/>
  <c r="F43" i="12"/>
  <c r="G43" i="12" s="1"/>
  <c r="F44" i="12"/>
  <c r="F45" i="12"/>
  <c r="G45" i="12" s="1"/>
  <c r="F46" i="12"/>
  <c r="G46" i="12" s="1"/>
  <c r="F47" i="12"/>
  <c r="G47" i="12" s="1"/>
  <c r="F48" i="12"/>
  <c r="F49" i="12"/>
  <c r="G49" i="12" s="1"/>
  <c r="F50" i="12"/>
  <c r="G50" i="12" s="1"/>
  <c r="F51" i="12"/>
  <c r="G51" i="12" s="1"/>
  <c r="F52" i="12"/>
  <c r="F53" i="12"/>
  <c r="G53" i="12" s="1"/>
  <c r="F54" i="12"/>
  <c r="G54" i="12" s="1"/>
  <c r="F55" i="12"/>
  <c r="G55" i="12" s="1"/>
  <c r="F56" i="12"/>
  <c r="F57" i="12"/>
  <c r="G57" i="12" s="1"/>
  <c r="F58" i="12"/>
  <c r="G58" i="12" s="1"/>
  <c r="F59" i="12"/>
  <c r="G59" i="12" s="1"/>
  <c r="F60" i="12"/>
  <c r="F61" i="12"/>
  <c r="G61" i="12" s="1"/>
  <c r="F62" i="12"/>
  <c r="G62" i="12" s="1"/>
  <c r="F63" i="12"/>
  <c r="G63" i="12" s="1"/>
  <c r="F64" i="12"/>
  <c r="F65" i="12"/>
  <c r="G65" i="12" s="1"/>
  <c r="F66" i="12"/>
  <c r="G66" i="12" s="1"/>
  <c r="F67" i="12"/>
  <c r="G67" i="12" s="1"/>
  <c r="F68" i="12"/>
  <c r="F69" i="12"/>
  <c r="G69" i="12" s="1"/>
  <c r="F70" i="12"/>
  <c r="G70" i="12" s="1"/>
  <c r="F71" i="12"/>
  <c r="G71" i="12" s="1"/>
  <c r="F72" i="12"/>
  <c r="F73" i="12"/>
  <c r="G73" i="12" s="1"/>
  <c r="F74" i="12"/>
  <c r="G74" i="12" s="1"/>
  <c r="F75" i="12"/>
  <c r="G75" i="12" s="1"/>
  <c r="F76" i="12"/>
  <c r="F77" i="12"/>
  <c r="G77" i="12" s="1"/>
  <c r="F78" i="12"/>
  <c r="G78" i="12" s="1"/>
  <c r="F79" i="12"/>
  <c r="G79" i="12" s="1"/>
  <c r="F80" i="12"/>
  <c r="F81" i="12"/>
  <c r="G81" i="12" s="1"/>
  <c r="F82" i="12"/>
  <c r="G82" i="12" s="1"/>
  <c r="F83" i="12"/>
  <c r="G83" i="12" s="1"/>
  <c r="F84" i="12"/>
  <c r="F85" i="12"/>
  <c r="G85" i="12" s="1"/>
  <c r="F86" i="12"/>
  <c r="G86" i="12" s="1"/>
  <c r="F87" i="12"/>
  <c r="G87" i="12" s="1"/>
  <c r="F88" i="12"/>
  <c r="F89" i="12"/>
  <c r="G89" i="12" s="1"/>
  <c r="F90" i="12"/>
  <c r="G90" i="12" s="1"/>
  <c r="F91" i="12"/>
  <c r="G91" i="12" s="1"/>
  <c r="F92" i="12"/>
  <c r="F93" i="12"/>
  <c r="G93" i="12" s="1"/>
  <c r="F94" i="12"/>
  <c r="G94" i="12" s="1"/>
  <c r="F95" i="12"/>
  <c r="G95" i="12" s="1"/>
  <c r="F96" i="12"/>
  <c r="F97" i="12"/>
  <c r="G97" i="12" s="1"/>
  <c r="F98" i="12"/>
  <c r="G98" i="12" s="1"/>
  <c r="F99" i="12"/>
  <c r="G99" i="12" s="1"/>
  <c r="F100" i="12"/>
  <c r="F101" i="12"/>
  <c r="G101" i="12" s="1"/>
  <c r="F102" i="12"/>
  <c r="G102" i="12" s="1"/>
  <c r="F103" i="12"/>
  <c r="G103" i="12" s="1"/>
  <c r="F104" i="12"/>
  <c r="F105" i="12"/>
  <c r="G105" i="12" s="1"/>
  <c r="F106" i="12"/>
  <c r="G106" i="12" s="1"/>
  <c r="F107" i="12"/>
  <c r="G107" i="12" s="1"/>
  <c r="F108" i="12"/>
  <c r="F109" i="12"/>
  <c r="G109" i="12" s="1"/>
  <c r="F110" i="12"/>
  <c r="G110" i="12" s="1"/>
  <c r="F111" i="12"/>
  <c r="G111" i="12" s="1"/>
  <c r="F112" i="12"/>
  <c r="F113" i="12"/>
  <c r="G113" i="12" s="1"/>
  <c r="F114" i="12"/>
  <c r="G114" i="12" s="1"/>
  <c r="F115" i="12"/>
  <c r="G115" i="12" s="1"/>
  <c r="F116" i="12"/>
  <c r="F117" i="12"/>
  <c r="G117" i="12" s="1"/>
  <c r="F118" i="12"/>
  <c r="G118" i="12" s="1"/>
  <c r="F119" i="12"/>
  <c r="G119" i="12" s="1"/>
  <c r="F120" i="12"/>
  <c r="F121" i="12"/>
  <c r="G121" i="12" s="1"/>
  <c r="F122" i="12"/>
  <c r="G122" i="12" s="1"/>
  <c r="F123" i="12"/>
  <c r="G123" i="12" s="1"/>
  <c r="F124" i="12"/>
  <c r="F125" i="12"/>
  <c r="G125" i="12" s="1"/>
  <c r="F126" i="12"/>
  <c r="G126" i="12" s="1"/>
  <c r="F127" i="12"/>
  <c r="G127" i="12" s="1"/>
  <c r="F128" i="12"/>
  <c r="F129" i="12"/>
  <c r="G129" i="12" s="1"/>
  <c r="F130" i="12"/>
  <c r="G130" i="12" s="1"/>
  <c r="F131" i="12"/>
  <c r="G131" i="12" s="1"/>
  <c r="F132" i="12"/>
  <c r="F133" i="12"/>
  <c r="G133" i="12" s="1"/>
  <c r="F134" i="12"/>
  <c r="G134" i="12" s="1"/>
  <c r="F135" i="12"/>
  <c r="G135" i="12" s="1"/>
  <c r="F136" i="12"/>
  <c r="F137" i="12"/>
  <c r="G137" i="12" s="1"/>
  <c r="F138" i="12"/>
  <c r="G138" i="12" s="1"/>
  <c r="F139" i="12"/>
  <c r="G139" i="12" s="1"/>
  <c r="F140" i="12"/>
  <c r="F141" i="12"/>
  <c r="G141" i="12" s="1"/>
  <c r="F142" i="12"/>
  <c r="G142" i="12" s="1"/>
  <c r="F143" i="12"/>
  <c r="G143" i="12" s="1"/>
  <c r="F144" i="12"/>
  <c r="F145" i="12"/>
  <c r="G145" i="12" s="1"/>
  <c r="F146" i="12"/>
  <c r="G146" i="12" s="1"/>
  <c r="F147" i="12"/>
  <c r="G147" i="12" s="1"/>
  <c r="F148" i="12"/>
  <c r="F149" i="12"/>
  <c r="G149" i="12" s="1"/>
  <c r="F150" i="12"/>
  <c r="G150" i="12" s="1"/>
  <c r="F151" i="12"/>
  <c r="G151" i="12" s="1"/>
  <c r="F152" i="12"/>
  <c r="F153" i="12"/>
  <c r="G153" i="12" s="1"/>
  <c r="F154" i="12"/>
  <c r="G154" i="12" s="1"/>
  <c r="F155" i="12"/>
  <c r="G155" i="12" s="1"/>
  <c r="F156" i="12"/>
  <c r="F157" i="12"/>
  <c r="G157" i="12" s="1"/>
  <c r="F158" i="12"/>
  <c r="G158" i="12" s="1"/>
  <c r="F159" i="12"/>
  <c r="G159" i="12" s="1"/>
  <c r="F160" i="12"/>
  <c r="F161" i="12"/>
  <c r="G161" i="12" s="1"/>
  <c r="F162" i="12"/>
  <c r="G162" i="12" s="1"/>
  <c r="F163" i="12"/>
  <c r="G163" i="12" s="1"/>
  <c r="F164" i="12"/>
  <c r="F165" i="12"/>
  <c r="G165" i="12" s="1"/>
  <c r="F166" i="12"/>
  <c r="G166" i="12" s="1"/>
  <c r="F167" i="12"/>
  <c r="G167" i="12" s="1"/>
  <c r="F168" i="12"/>
  <c r="F169" i="12"/>
  <c r="G169" i="12" s="1"/>
  <c r="F170" i="12"/>
  <c r="G170" i="12" s="1"/>
  <c r="F171" i="12"/>
  <c r="G171" i="12" s="1"/>
  <c r="F172" i="12"/>
  <c r="F173" i="12"/>
  <c r="G173" i="12" s="1"/>
  <c r="F174" i="12"/>
  <c r="G174" i="12" s="1"/>
  <c r="F175" i="12"/>
  <c r="G175" i="12" s="1"/>
  <c r="F176" i="12"/>
  <c r="F177" i="12"/>
  <c r="G177" i="12" s="1"/>
  <c r="F178" i="12"/>
  <c r="G178" i="12" s="1"/>
  <c r="F179" i="12"/>
  <c r="G179" i="12" s="1"/>
  <c r="F180" i="12"/>
  <c r="F181" i="12"/>
  <c r="G181" i="12" s="1"/>
  <c r="F182" i="12"/>
  <c r="G182" i="12" s="1"/>
  <c r="F183" i="12"/>
  <c r="G183" i="12" s="1"/>
  <c r="F184" i="12"/>
  <c r="F185" i="12"/>
  <c r="G185" i="12" s="1"/>
  <c r="F186" i="12"/>
  <c r="G186" i="12" s="1"/>
  <c r="F187" i="12"/>
  <c r="G187" i="12" s="1"/>
  <c r="F188" i="12"/>
  <c r="F189" i="12"/>
  <c r="G189" i="12" s="1"/>
  <c r="F190" i="12"/>
  <c r="G190" i="12" s="1"/>
  <c r="F191" i="12"/>
  <c r="G191" i="12" s="1"/>
  <c r="F192" i="12"/>
  <c r="F193" i="12"/>
  <c r="G193" i="12" s="1"/>
  <c r="F194" i="12"/>
  <c r="G194" i="12" s="1"/>
  <c r="F195" i="12"/>
  <c r="G195" i="12" s="1"/>
  <c r="F196" i="12"/>
  <c r="F197" i="12"/>
  <c r="G197" i="12" s="1"/>
  <c r="F198" i="12"/>
  <c r="G198" i="12" s="1"/>
  <c r="F199" i="12"/>
  <c r="G199" i="12" s="1"/>
  <c r="F200" i="12"/>
  <c r="F6" i="12"/>
  <c r="G6" i="12" s="1"/>
  <c r="P7" i="1" l="1"/>
  <c r="Q7" i="1" s="1"/>
  <c r="P8" i="1"/>
  <c r="Q8" i="1" s="1"/>
  <c r="P9" i="1"/>
  <c r="Q9" i="1" s="1"/>
  <c r="P10" i="1"/>
  <c r="Q10" i="1" s="1"/>
  <c r="P11" i="1"/>
  <c r="Q11" i="1" s="1"/>
  <c r="P12" i="1"/>
  <c r="Q12" i="1" s="1"/>
  <c r="P13" i="1"/>
  <c r="Q13" i="1" s="1"/>
  <c r="P14" i="1"/>
  <c r="Q14" i="1" s="1"/>
  <c r="P15" i="1"/>
  <c r="Q15" i="1" s="1"/>
  <c r="P16" i="1"/>
  <c r="Q16" i="1" s="1"/>
  <c r="P17" i="1"/>
  <c r="Q17" i="1" s="1"/>
  <c r="P18" i="1"/>
  <c r="Q18" i="1" s="1"/>
  <c r="P19" i="1"/>
  <c r="Q19" i="1" s="1"/>
  <c r="P20" i="1"/>
  <c r="Q20" i="1" s="1"/>
  <c r="P21" i="1"/>
  <c r="Q21" i="1" s="1"/>
  <c r="P22" i="1"/>
  <c r="Q22" i="1" s="1"/>
  <c r="P23" i="1"/>
  <c r="Q23" i="1" s="1"/>
  <c r="P24" i="1"/>
  <c r="Q24" i="1" s="1"/>
  <c r="P25" i="1"/>
  <c r="Q25" i="1" s="1"/>
  <c r="P26" i="1"/>
  <c r="Q26" i="1" s="1"/>
  <c r="P27" i="1"/>
  <c r="Q27" i="1" s="1"/>
  <c r="P28" i="1"/>
  <c r="Q28" i="1" s="1"/>
  <c r="P29" i="1"/>
  <c r="Q29" i="1" s="1"/>
  <c r="P30" i="1"/>
  <c r="Q30" i="1" s="1"/>
  <c r="P31" i="1"/>
  <c r="Q31" i="1" s="1"/>
  <c r="P32" i="1"/>
  <c r="Q32" i="1" s="1"/>
  <c r="P33" i="1"/>
  <c r="Q33" i="1" s="1"/>
  <c r="P34" i="1"/>
  <c r="Q34" i="1" s="1"/>
  <c r="P35" i="1"/>
  <c r="Q35" i="1" s="1"/>
  <c r="P36" i="1"/>
  <c r="Q36" i="1" s="1"/>
  <c r="P37" i="1"/>
  <c r="Q37" i="1" s="1"/>
  <c r="P38" i="1"/>
  <c r="Q38" i="1" s="1"/>
  <c r="P39" i="1"/>
  <c r="Q39" i="1" s="1"/>
  <c r="P40" i="1"/>
  <c r="Q40" i="1" s="1"/>
  <c r="P41" i="1"/>
  <c r="Q41" i="1" s="1"/>
  <c r="P42" i="1"/>
  <c r="Q42" i="1" s="1"/>
  <c r="P43" i="1"/>
  <c r="Q43" i="1" s="1"/>
  <c r="P44" i="1"/>
  <c r="Q44" i="1" s="1"/>
  <c r="P45" i="1"/>
  <c r="Q45" i="1" s="1"/>
  <c r="P46" i="1"/>
  <c r="Q46" i="1" s="1"/>
  <c r="P47" i="1"/>
  <c r="Q47" i="1" s="1"/>
  <c r="P48" i="1"/>
  <c r="Q48" i="1" s="1"/>
  <c r="P49" i="1"/>
  <c r="Q49" i="1" s="1"/>
  <c r="P50" i="1"/>
  <c r="Q50" i="1" s="1"/>
  <c r="P51" i="1"/>
  <c r="Q51" i="1" s="1"/>
  <c r="P52" i="1"/>
  <c r="Q52" i="1" s="1"/>
  <c r="P53" i="1"/>
  <c r="Q53" i="1" s="1"/>
  <c r="P54" i="1"/>
  <c r="Q54" i="1" s="1"/>
  <c r="P55" i="1"/>
  <c r="Q55" i="1" s="1"/>
  <c r="P56" i="1"/>
  <c r="Q56" i="1" s="1"/>
  <c r="P57" i="1"/>
  <c r="Q57" i="1" s="1"/>
  <c r="P58" i="1"/>
  <c r="Q58" i="1" s="1"/>
  <c r="P59" i="1"/>
  <c r="Q59" i="1" s="1"/>
  <c r="P60" i="1"/>
  <c r="Q60" i="1" s="1"/>
  <c r="P61" i="1"/>
  <c r="Q61" i="1" s="1"/>
  <c r="P62" i="1"/>
  <c r="Q62" i="1" s="1"/>
  <c r="P63" i="1"/>
  <c r="Q63" i="1" s="1"/>
  <c r="P64" i="1"/>
  <c r="Q64" i="1" s="1"/>
  <c r="P65" i="1"/>
  <c r="Q65" i="1" s="1"/>
  <c r="P66" i="1"/>
  <c r="Q66" i="1" s="1"/>
  <c r="P67" i="1"/>
  <c r="Q67" i="1" s="1"/>
  <c r="P68" i="1"/>
  <c r="Q68" i="1" s="1"/>
  <c r="P69" i="1"/>
  <c r="Q69" i="1" s="1"/>
  <c r="P70" i="1"/>
  <c r="Q70" i="1" s="1"/>
  <c r="P71" i="1"/>
  <c r="Q71" i="1" s="1"/>
  <c r="P72" i="1"/>
  <c r="Q72" i="1" s="1"/>
  <c r="P73" i="1"/>
  <c r="Q73" i="1" s="1"/>
  <c r="P74" i="1"/>
  <c r="Q74" i="1" s="1"/>
  <c r="P75" i="1"/>
  <c r="Q75" i="1" s="1"/>
  <c r="P76" i="1"/>
  <c r="Q76" i="1" s="1"/>
  <c r="P77" i="1"/>
  <c r="Q77" i="1" s="1"/>
  <c r="P78" i="1"/>
  <c r="Q78" i="1" s="1"/>
  <c r="P79" i="1"/>
  <c r="Q79" i="1" s="1"/>
  <c r="P80" i="1"/>
  <c r="Q80" i="1" s="1"/>
  <c r="P81" i="1"/>
  <c r="Q81" i="1" s="1"/>
  <c r="P82" i="1"/>
  <c r="Q82" i="1" s="1"/>
  <c r="P83" i="1"/>
  <c r="Q83" i="1" s="1"/>
  <c r="P84" i="1"/>
  <c r="Q84" i="1" s="1"/>
  <c r="P85" i="1"/>
  <c r="Q85" i="1" s="1"/>
  <c r="P86" i="1"/>
  <c r="Q86" i="1" s="1"/>
  <c r="P87" i="1"/>
  <c r="Q87" i="1" s="1"/>
  <c r="P88" i="1"/>
  <c r="Q88" i="1" s="1"/>
  <c r="P89" i="1"/>
  <c r="Q89" i="1" s="1"/>
  <c r="P90" i="1"/>
  <c r="Q90" i="1" s="1"/>
  <c r="P91" i="1"/>
  <c r="Q91" i="1" s="1"/>
  <c r="P92" i="1"/>
  <c r="Q92" i="1" s="1"/>
  <c r="P93" i="1"/>
  <c r="Q93" i="1" s="1"/>
  <c r="P94" i="1"/>
  <c r="Q94" i="1" s="1"/>
  <c r="P95" i="1"/>
  <c r="Q95" i="1" s="1"/>
  <c r="P96" i="1"/>
  <c r="Q96" i="1" s="1"/>
  <c r="P97" i="1"/>
  <c r="Q97" i="1" s="1"/>
  <c r="P98" i="1"/>
  <c r="Q98" i="1" s="1"/>
  <c r="P99" i="1"/>
  <c r="Q99" i="1" s="1"/>
  <c r="P100" i="1"/>
  <c r="Q100" i="1" s="1"/>
  <c r="P101" i="1"/>
  <c r="Q101" i="1" s="1"/>
  <c r="P102" i="1"/>
  <c r="Q102" i="1" s="1"/>
  <c r="P103" i="1"/>
  <c r="Q103" i="1" s="1"/>
  <c r="P104" i="1"/>
  <c r="Q104" i="1" s="1"/>
  <c r="P105" i="1"/>
  <c r="Q105" i="1" s="1"/>
  <c r="P106" i="1"/>
  <c r="Q106" i="1" s="1"/>
  <c r="P107" i="1"/>
  <c r="Q107" i="1" s="1"/>
  <c r="P108" i="1"/>
  <c r="Q108" i="1" s="1"/>
  <c r="P109" i="1"/>
  <c r="Q109" i="1" s="1"/>
  <c r="P110" i="1"/>
  <c r="Q110" i="1" s="1"/>
  <c r="P111" i="1"/>
  <c r="Q111" i="1" s="1"/>
  <c r="P112" i="1"/>
  <c r="Q112" i="1" s="1"/>
  <c r="P113" i="1"/>
  <c r="Q113" i="1" s="1"/>
  <c r="P114" i="1"/>
  <c r="Q114" i="1" s="1"/>
  <c r="P115" i="1"/>
  <c r="Q115" i="1" s="1"/>
  <c r="P116" i="1"/>
  <c r="Q116" i="1" s="1"/>
  <c r="P117" i="1"/>
  <c r="Q117" i="1" s="1"/>
  <c r="P118" i="1"/>
  <c r="Q118" i="1" s="1"/>
  <c r="P119" i="1"/>
  <c r="Q119" i="1" s="1"/>
  <c r="P120" i="1"/>
  <c r="Q120" i="1" s="1"/>
  <c r="P121" i="1"/>
  <c r="Q121" i="1" s="1"/>
  <c r="P122" i="1"/>
  <c r="Q122" i="1" s="1"/>
  <c r="P123" i="1"/>
  <c r="Q123" i="1" s="1"/>
  <c r="P124" i="1"/>
  <c r="Q124" i="1" s="1"/>
  <c r="P125" i="1"/>
  <c r="Q125" i="1" s="1"/>
  <c r="P126" i="1"/>
  <c r="Q126" i="1" s="1"/>
  <c r="P127" i="1"/>
  <c r="Q127" i="1" s="1"/>
  <c r="P128" i="1"/>
  <c r="Q128" i="1" s="1"/>
  <c r="P129" i="1"/>
  <c r="Q129" i="1" s="1"/>
  <c r="P130" i="1"/>
  <c r="Q130" i="1" s="1"/>
  <c r="P131" i="1"/>
  <c r="Q131" i="1" s="1"/>
  <c r="P132" i="1"/>
  <c r="Q132" i="1" s="1"/>
  <c r="P133" i="1"/>
  <c r="Q133" i="1" s="1"/>
  <c r="P134" i="1"/>
  <c r="Q134" i="1" s="1"/>
  <c r="P135" i="1"/>
  <c r="Q135" i="1" s="1"/>
  <c r="P136" i="1"/>
  <c r="Q136" i="1" s="1"/>
  <c r="P137" i="1"/>
  <c r="Q137" i="1" s="1"/>
  <c r="P138" i="1"/>
  <c r="Q138" i="1" s="1"/>
  <c r="P139" i="1"/>
  <c r="Q139" i="1" s="1"/>
  <c r="P140" i="1"/>
  <c r="Q140" i="1" s="1"/>
  <c r="P141" i="1"/>
  <c r="Q141" i="1" s="1"/>
  <c r="P142" i="1"/>
  <c r="Q142" i="1" s="1"/>
  <c r="P143" i="1"/>
  <c r="Q143" i="1" s="1"/>
  <c r="P144" i="1"/>
  <c r="Q144" i="1" s="1"/>
  <c r="P145" i="1"/>
  <c r="Q145" i="1" s="1"/>
  <c r="P146" i="1"/>
  <c r="Q146" i="1" s="1"/>
  <c r="P147" i="1"/>
  <c r="Q147" i="1" s="1"/>
  <c r="P148" i="1"/>
  <c r="Q148" i="1" s="1"/>
  <c r="P149" i="1"/>
  <c r="Q149" i="1" s="1"/>
  <c r="P150" i="1"/>
  <c r="Q150" i="1" s="1"/>
  <c r="P151" i="1"/>
  <c r="Q151" i="1" s="1"/>
  <c r="P152" i="1"/>
  <c r="Q152" i="1" s="1"/>
  <c r="P153" i="1"/>
  <c r="Q153" i="1" s="1"/>
  <c r="P154" i="1"/>
  <c r="Q154" i="1" s="1"/>
  <c r="P155" i="1"/>
  <c r="Q155" i="1" s="1"/>
  <c r="P156" i="1"/>
  <c r="Q156" i="1" s="1"/>
  <c r="P157" i="1"/>
  <c r="Q157" i="1" s="1"/>
  <c r="P158" i="1"/>
  <c r="Q158" i="1" s="1"/>
  <c r="P159" i="1"/>
  <c r="Q159" i="1" s="1"/>
  <c r="P160" i="1"/>
  <c r="Q160" i="1" s="1"/>
  <c r="P161" i="1"/>
  <c r="Q161" i="1" s="1"/>
  <c r="P162" i="1"/>
  <c r="Q162" i="1" s="1"/>
  <c r="P163" i="1"/>
  <c r="Q163" i="1" s="1"/>
  <c r="P164" i="1"/>
  <c r="Q164" i="1" s="1"/>
  <c r="P165" i="1"/>
  <c r="Q165" i="1" s="1"/>
  <c r="P166" i="1"/>
  <c r="Q166" i="1" s="1"/>
  <c r="P167" i="1"/>
  <c r="Q167" i="1" s="1"/>
  <c r="P168" i="1"/>
  <c r="Q168" i="1" s="1"/>
  <c r="P169" i="1"/>
  <c r="Q169" i="1" s="1"/>
  <c r="P170" i="1"/>
  <c r="Q170" i="1" s="1"/>
  <c r="P171" i="1"/>
  <c r="Q171" i="1" s="1"/>
  <c r="P172" i="1"/>
  <c r="Q172" i="1" s="1"/>
  <c r="P173" i="1"/>
  <c r="Q173" i="1" s="1"/>
  <c r="P174" i="1"/>
  <c r="Q174" i="1" s="1"/>
  <c r="P175" i="1"/>
  <c r="Q175" i="1" s="1"/>
  <c r="P176" i="1"/>
  <c r="Q176" i="1" s="1"/>
  <c r="P177" i="1"/>
  <c r="Q177" i="1" s="1"/>
  <c r="P178" i="1"/>
  <c r="Q178" i="1" s="1"/>
  <c r="P179" i="1"/>
  <c r="Q179" i="1" s="1"/>
  <c r="P180" i="1"/>
  <c r="Q180" i="1" s="1"/>
  <c r="P181" i="1"/>
  <c r="Q181" i="1" s="1"/>
  <c r="P182" i="1"/>
  <c r="Q182" i="1" s="1"/>
  <c r="P183" i="1"/>
  <c r="Q183" i="1" s="1"/>
  <c r="P184" i="1"/>
  <c r="Q184" i="1" s="1"/>
  <c r="P185" i="1"/>
  <c r="Q185" i="1" s="1"/>
  <c r="P186" i="1"/>
  <c r="Q186" i="1" s="1"/>
  <c r="P187" i="1"/>
  <c r="Q187" i="1" s="1"/>
  <c r="P188" i="1"/>
  <c r="Q188" i="1" s="1"/>
  <c r="P189" i="1"/>
  <c r="Q189" i="1" s="1"/>
  <c r="P190" i="1"/>
  <c r="Q190" i="1" s="1"/>
  <c r="P191" i="1"/>
  <c r="Q191" i="1" s="1"/>
  <c r="P192" i="1"/>
  <c r="Q192" i="1" s="1"/>
  <c r="P193" i="1"/>
  <c r="Q193" i="1" s="1"/>
  <c r="P194" i="1"/>
  <c r="Q194" i="1" s="1"/>
  <c r="P195" i="1"/>
  <c r="Q195" i="1" s="1"/>
  <c r="P196" i="1"/>
  <c r="Q196" i="1" s="1"/>
  <c r="P197" i="1"/>
  <c r="Q197" i="1" s="1"/>
  <c r="P198" i="1"/>
  <c r="Q198" i="1" s="1"/>
  <c r="P199" i="1"/>
  <c r="Q199" i="1" s="1"/>
  <c r="P200" i="1"/>
  <c r="Q200" i="1" s="1"/>
  <c r="P201" i="1"/>
  <c r="Q201" i="1" s="1"/>
  <c r="P202" i="1"/>
  <c r="Q202" i="1" s="1"/>
  <c r="P203" i="1"/>
  <c r="Q203" i="1" s="1"/>
  <c r="P204" i="1"/>
  <c r="Q204" i="1" s="1"/>
  <c r="P205" i="1"/>
  <c r="Q205" i="1" s="1"/>
  <c r="P206" i="1"/>
  <c r="Q206" i="1" s="1"/>
  <c r="P207" i="1"/>
  <c r="Q207" i="1" s="1"/>
  <c r="P208" i="1"/>
  <c r="Q208" i="1" s="1"/>
  <c r="P209" i="1"/>
  <c r="Q209" i="1" s="1"/>
  <c r="P210" i="1"/>
  <c r="Q210" i="1" s="1"/>
  <c r="P211" i="1"/>
  <c r="Q211" i="1" s="1"/>
  <c r="P212" i="1"/>
  <c r="Q212" i="1" s="1"/>
  <c r="P213" i="1"/>
  <c r="Q213" i="1" s="1"/>
  <c r="P214" i="1"/>
  <c r="Q214" i="1" s="1"/>
  <c r="P215" i="1"/>
  <c r="Q215" i="1" s="1"/>
  <c r="P216" i="1"/>
  <c r="Q216" i="1" s="1"/>
  <c r="P217" i="1"/>
  <c r="Q217" i="1" s="1"/>
  <c r="P218" i="1"/>
  <c r="Q218" i="1" s="1"/>
  <c r="P219" i="1"/>
  <c r="Q219" i="1" s="1"/>
  <c r="P220" i="1"/>
  <c r="Q220" i="1" s="1"/>
  <c r="P221" i="1"/>
  <c r="Q221" i="1" s="1"/>
  <c r="P222" i="1"/>
  <c r="Q222" i="1" s="1"/>
  <c r="P223" i="1"/>
  <c r="Q223" i="1" s="1"/>
  <c r="P224" i="1"/>
  <c r="Q224" i="1" s="1"/>
  <c r="P225" i="1"/>
  <c r="Q225" i="1" s="1"/>
  <c r="P226" i="1"/>
  <c r="Q226" i="1" s="1"/>
  <c r="P227" i="1"/>
  <c r="Q227" i="1" s="1"/>
  <c r="P228" i="1"/>
  <c r="Q228" i="1" s="1"/>
  <c r="P229" i="1"/>
  <c r="Q229" i="1" s="1"/>
  <c r="P230" i="1"/>
  <c r="Q230" i="1" s="1"/>
  <c r="P231" i="1"/>
  <c r="Q231" i="1" s="1"/>
  <c r="P232" i="1"/>
  <c r="Q232" i="1" s="1"/>
  <c r="P233" i="1"/>
  <c r="Q233" i="1" s="1"/>
  <c r="P234" i="1"/>
  <c r="Q234" i="1" s="1"/>
  <c r="P235" i="1"/>
  <c r="Q235" i="1" s="1"/>
  <c r="P236" i="1"/>
  <c r="Q236" i="1" s="1"/>
  <c r="P237" i="1"/>
  <c r="Q237" i="1" s="1"/>
  <c r="P238" i="1"/>
  <c r="Q238" i="1" s="1"/>
  <c r="P239" i="1"/>
  <c r="Q239" i="1" s="1"/>
  <c r="P240" i="1"/>
  <c r="Q240" i="1" s="1"/>
  <c r="P241" i="1"/>
  <c r="Q241" i="1" s="1"/>
  <c r="P242" i="1"/>
  <c r="Q242" i="1" s="1"/>
  <c r="P243" i="1"/>
  <c r="Q243" i="1" s="1"/>
  <c r="P244" i="1"/>
  <c r="Q244" i="1" s="1"/>
  <c r="P245" i="1"/>
  <c r="Q245" i="1" s="1"/>
  <c r="P246" i="1"/>
  <c r="Q246" i="1" s="1"/>
  <c r="P247" i="1"/>
  <c r="Q247" i="1" s="1"/>
  <c r="P248" i="1"/>
  <c r="Q248" i="1" s="1"/>
  <c r="P249" i="1"/>
  <c r="Q249" i="1" s="1"/>
  <c r="P250" i="1"/>
  <c r="Q250" i="1" s="1"/>
  <c r="P251" i="1"/>
  <c r="Q251" i="1" s="1"/>
  <c r="P252" i="1"/>
  <c r="Q252" i="1" s="1"/>
  <c r="P253" i="1"/>
  <c r="Q253" i="1" s="1"/>
  <c r="P254" i="1"/>
  <c r="Q254" i="1" s="1"/>
  <c r="P255" i="1"/>
  <c r="Q255" i="1" s="1"/>
  <c r="P256" i="1"/>
  <c r="Q256" i="1" s="1"/>
  <c r="P257" i="1"/>
  <c r="Q257" i="1" s="1"/>
  <c r="P258" i="1"/>
  <c r="Q258" i="1" s="1"/>
  <c r="P259" i="1"/>
  <c r="Q259" i="1" s="1"/>
  <c r="P260" i="1"/>
  <c r="Q260" i="1" s="1"/>
  <c r="P261" i="1"/>
  <c r="Q261" i="1" s="1"/>
  <c r="P262" i="1"/>
  <c r="Q262" i="1" s="1"/>
  <c r="P263" i="1"/>
  <c r="Q263" i="1" s="1"/>
  <c r="P264" i="1"/>
  <c r="Q264" i="1" s="1"/>
  <c r="P265" i="1"/>
  <c r="Q265" i="1" s="1"/>
  <c r="P266" i="1"/>
  <c r="Q266" i="1" s="1"/>
  <c r="P267" i="1"/>
  <c r="Q267" i="1" s="1"/>
  <c r="P268" i="1"/>
  <c r="Q268" i="1" s="1"/>
  <c r="P269" i="1"/>
  <c r="Q269" i="1" s="1"/>
  <c r="P270" i="1"/>
  <c r="Q270" i="1" s="1"/>
  <c r="P271" i="1"/>
  <c r="Q271" i="1" s="1"/>
  <c r="P272" i="1"/>
  <c r="Q272" i="1" s="1"/>
  <c r="P273" i="1"/>
  <c r="Q273" i="1" s="1"/>
  <c r="P274" i="1"/>
  <c r="Q274" i="1" s="1"/>
  <c r="P275" i="1"/>
  <c r="Q275" i="1" s="1"/>
  <c r="P276" i="1"/>
  <c r="Q276" i="1" s="1"/>
  <c r="P277" i="1"/>
  <c r="Q277" i="1" s="1"/>
  <c r="P278" i="1"/>
  <c r="Q278" i="1" s="1"/>
  <c r="P279" i="1"/>
  <c r="Q279" i="1" s="1"/>
  <c r="P280" i="1"/>
  <c r="Q280" i="1" s="1"/>
  <c r="P281" i="1"/>
  <c r="Q281" i="1" s="1"/>
  <c r="P282" i="1"/>
  <c r="Q282" i="1" s="1"/>
  <c r="P283" i="1"/>
  <c r="Q283" i="1" s="1"/>
  <c r="P284" i="1"/>
  <c r="Q284" i="1" s="1"/>
  <c r="P285" i="1"/>
  <c r="Q285" i="1" s="1"/>
  <c r="P286" i="1"/>
  <c r="Q286" i="1" s="1"/>
  <c r="P287" i="1"/>
  <c r="Q287" i="1" s="1"/>
  <c r="P288" i="1"/>
  <c r="Q288" i="1" s="1"/>
  <c r="P289" i="1"/>
  <c r="Q289" i="1" s="1"/>
  <c r="P290" i="1"/>
  <c r="Q290" i="1" s="1"/>
  <c r="P291" i="1"/>
  <c r="Q291" i="1" s="1"/>
  <c r="P292" i="1"/>
  <c r="Q292" i="1" s="1"/>
  <c r="P293" i="1"/>
  <c r="Q293" i="1" s="1"/>
  <c r="P294" i="1"/>
  <c r="Q294" i="1" s="1"/>
  <c r="P295" i="1"/>
  <c r="Q295" i="1" s="1"/>
  <c r="P296" i="1"/>
  <c r="Q296" i="1" s="1"/>
  <c r="P297" i="1"/>
  <c r="Q297" i="1" s="1"/>
  <c r="P298" i="1"/>
  <c r="Q298" i="1" s="1"/>
  <c r="P299" i="1"/>
  <c r="Q299" i="1" s="1"/>
  <c r="P300" i="1"/>
  <c r="Q300" i="1" s="1"/>
  <c r="P301" i="1"/>
  <c r="Q301" i="1" s="1"/>
  <c r="P302" i="1"/>
  <c r="Q302" i="1" s="1"/>
  <c r="P303" i="1"/>
  <c r="Q303" i="1" s="1"/>
  <c r="P304" i="1"/>
  <c r="Q304" i="1" s="1"/>
  <c r="P305" i="1"/>
  <c r="Q305" i="1" s="1"/>
  <c r="P306" i="1"/>
  <c r="Q306" i="1" s="1"/>
  <c r="P307" i="1"/>
  <c r="Q307" i="1" s="1"/>
  <c r="P308" i="1"/>
  <c r="Q308" i="1" s="1"/>
  <c r="P309" i="1"/>
  <c r="Q309" i="1" s="1"/>
  <c r="P310" i="1"/>
  <c r="Q310" i="1" s="1"/>
  <c r="P311" i="1"/>
  <c r="Q311" i="1" s="1"/>
  <c r="P312" i="1"/>
  <c r="Q312" i="1" s="1"/>
  <c r="P313" i="1"/>
  <c r="Q313" i="1" s="1"/>
  <c r="P314" i="1"/>
  <c r="Q314" i="1" s="1"/>
  <c r="P315" i="1"/>
  <c r="Q315" i="1" s="1"/>
  <c r="P316" i="1"/>
  <c r="Q316" i="1" s="1"/>
  <c r="P317" i="1"/>
  <c r="Q317" i="1" s="1"/>
  <c r="P318" i="1"/>
  <c r="Q318" i="1" s="1"/>
  <c r="P319" i="1"/>
  <c r="Q319" i="1" s="1"/>
  <c r="P320" i="1"/>
  <c r="Q320" i="1" s="1"/>
  <c r="P321" i="1"/>
  <c r="Q321" i="1" s="1"/>
  <c r="P322" i="1"/>
  <c r="Q322" i="1" s="1"/>
  <c r="P323" i="1"/>
  <c r="Q323" i="1" s="1"/>
  <c r="P324" i="1"/>
  <c r="Q324" i="1" s="1"/>
  <c r="P325" i="1"/>
  <c r="Q325" i="1" s="1"/>
  <c r="P326" i="1"/>
  <c r="Q326" i="1" s="1"/>
  <c r="P327" i="1"/>
  <c r="Q327" i="1" s="1"/>
  <c r="P328" i="1"/>
  <c r="Q328" i="1" s="1"/>
  <c r="P329" i="1"/>
  <c r="Q329" i="1" s="1"/>
  <c r="P330" i="1"/>
  <c r="Q330" i="1" s="1"/>
  <c r="P331" i="1"/>
  <c r="Q331" i="1" s="1"/>
  <c r="P332" i="1"/>
  <c r="Q332" i="1" s="1"/>
  <c r="P333" i="1"/>
  <c r="Q333" i="1" s="1"/>
  <c r="P334" i="1"/>
  <c r="Q334" i="1" s="1"/>
  <c r="P335" i="1"/>
  <c r="Q335" i="1" s="1"/>
  <c r="P336" i="1"/>
  <c r="Q336" i="1" s="1"/>
  <c r="P337" i="1"/>
  <c r="Q337" i="1" s="1"/>
  <c r="P338" i="1"/>
  <c r="Q338" i="1" s="1"/>
  <c r="P339" i="1"/>
  <c r="Q339" i="1" s="1"/>
  <c r="P340" i="1"/>
  <c r="Q340" i="1" s="1"/>
  <c r="P341" i="1"/>
  <c r="Q341" i="1" s="1"/>
  <c r="P342" i="1"/>
  <c r="Q342" i="1" s="1"/>
  <c r="P343" i="1"/>
  <c r="Q343" i="1" s="1"/>
  <c r="P344" i="1"/>
  <c r="Q344" i="1" s="1"/>
  <c r="P345" i="1"/>
  <c r="Q345" i="1" s="1"/>
  <c r="P346" i="1"/>
  <c r="Q346" i="1" s="1"/>
  <c r="P347" i="1"/>
  <c r="Q347" i="1" s="1"/>
  <c r="P348" i="1"/>
  <c r="Q348" i="1" s="1"/>
  <c r="P349" i="1"/>
  <c r="Q349" i="1" s="1"/>
  <c r="P350" i="1"/>
  <c r="Q350" i="1" s="1"/>
  <c r="P351" i="1"/>
  <c r="Q351" i="1" s="1"/>
  <c r="P352" i="1"/>
  <c r="Q352" i="1" s="1"/>
  <c r="P353" i="1"/>
  <c r="Q353" i="1" s="1"/>
  <c r="P354" i="1"/>
  <c r="Q354" i="1" s="1"/>
  <c r="P355" i="1"/>
  <c r="Q355" i="1" s="1"/>
  <c r="P356" i="1"/>
  <c r="Q356" i="1" s="1"/>
  <c r="P357" i="1"/>
  <c r="Q357" i="1" s="1"/>
  <c r="P358" i="1"/>
  <c r="Q358" i="1" s="1"/>
  <c r="P359" i="1"/>
  <c r="Q359" i="1" s="1"/>
  <c r="P360" i="1"/>
  <c r="Q360" i="1" s="1"/>
  <c r="P361" i="1"/>
  <c r="Q361" i="1" s="1"/>
  <c r="P362" i="1"/>
  <c r="Q362" i="1" s="1"/>
  <c r="P363" i="1"/>
  <c r="Q363" i="1" s="1"/>
  <c r="P364" i="1"/>
  <c r="Q364" i="1" s="1"/>
  <c r="P365" i="1"/>
  <c r="Q365" i="1" s="1"/>
  <c r="P366" i="1"/>
  <c r="Q366" i="1" s="1"/>
  <c r="P367" i="1"/>
  <c r="Q367" i="1" s="1"/>
  <c r="P368" i="1"/>
  <c r="Q368" i="1" s="1"/>
  <c r="P369" i="1"/>
  <c r="Q369" i="1" s="1"/>
  <c r="P370" i="1"/>
  <c r="Q370" i="1" s="1"/>
  <c r="P371" i="1"/>
  <c r="Q371" i="1" s="1"/>
  <c r="P372" i="1"/>
  <c r="Q372" i="1" s="1"/>
  <c r="P373" i="1"/>
  <c r="Q373" i="1" s="1"/>
  <c r="P374" i="1"/>
  <c r="Q374" i="1" s="1"/>
  <c r="P375" i="1"/>
  <c r="Q375" i="1" s="1"/>
  <c r="P376" i="1"/>
  <c r="Q376" i="1" s="1"/>
  <c r="P377" i="1"/>
  <c r="Q377" i="1" s="1"/>
  <c r="P378" i="1"/>
  <c r="Q378" i="1" s="1"/>
  <c r="P379" i="1"/>
  <c r="Q379" i="1" s="1"/>
  <c r="P380" i="1"/>
  <c r="Q380" i="1" s="1"/>
  <c r="P381" i="1"/>
  <c r="Q381" i="1" s="1"/>
  <c r="P382" i="1"/>
  <c r="Q382" i="1" s="1"/>
  <c r="P383" i="1"/>
  <c r="Q383" i="1" s="1"/>
  <c r="P384" i="1"/>
  <c r="Q384" i="1" s="1"/>
  <c r="P385" i="1"/>
  <c r="Q385" i="1" s="1"/>
  <c r="P386" i="1"/>
  <c r="Q386" i="1" s="1"/>
  <c r="P387" i="1"/>
  <c r="Q387" i="1" s="1"/>
  <c r="P388" i="1"/>
  <c r="Q388" i="1" s="1"/>
  <c r="P389" i="1"/>
  <c r="Q389" i="1" s="1"/>
  <c r="P390" i="1"/>
  <c r="Q390" i="1" s="1"/>
  <c r="P391" i="1"/>
  <c r="Q391" i="1" s="1"/>
  <c r="P392" i="1"/>
  <c r="Q392" i="1" s="1"/>
  <c r="P393" i="1"/>
  <c r="Q393" i="1" s="1"/>
  <c r="P394" i="1"/>
  <c r="Q394" i="1" s="1"/>
  <c r="P395" i="1"/>
  <c r="Q395" i="1" s="1"/>
  <c r="P396" i="1"/>
  <c r="Q396" i="1" s="1"/>
  <c r="P397" i="1"/>
  <c r="Q397" i="1" s="1"/>
  <c r="P398" i="1"/>
  <c r="Q398" i="1" s="1"/>
  <c r="P399" i="1"/>
  <c r="Q399" i="1" s="1"/>
  <c r="P400" i="1"/>
  <c r="Q400" i="1" s="1"/>
  <c r="P401" i="1"/>
  <c r="Q401" i="1" s="1"/>
  <c r="P402" i="1"/>
  <c r="Q402" i="1" s="1"/>
  <c r="P403" i="1"/>
  <c r="Q403" i="1" s="1"/>
  <c r="P404" i="1"/>
  <c r="Q404" i="1" s="1"/>
  <c r="P405" i="1"/>
  <c r="Q405" i="1" s="1"/>
  <c r="P406" i="1"/>
  <c r="Q406" i="1" s="1"/>
  <c r="P407" i="1"/>
  <c r="Q407" i="1" s="1"/>
  <c r="P408" i="1"/>
  <c r="Q408" i="1" s="1"/>
  <c r="P409" i="1"/>
  <c r="Q409" i="1" s="1"/>
  <c r="P410" i="1"/>
  <c r="Q410" i="1" s="1"/>
  <c r="P411" i="1"/>
  <c r="Q411" i="1" s="1"/>
  <c r="P412" i="1"/>
  <c r="Q412" i="1" s="1"/>
  <c r="P413" i="1"/>
  <c r="Q413" i="1" s="1"/>
  <c r="P414" i="1"/>
  <c r="Q414" i="1" s="1"/>
  <c r="P415" i="1"/>
  <c r="Q415" i="1" s="1"/>
  <c r="P416" i="1"/>
  <c r="Q416" i="1" s="1"/>
  <c r="P417" i="1"/>
  <c r="Q417" i="1" s="1"/>
  <c r="P418" i="1"/>
  <c r="Q418" i="1" s="1"/>
  <c r="P419" i="1"/>
  <c r="Q419" i="1" s="1"/>
  <c r="P420" i="1"/>
  <c r="Q420" i="1" s="1"/>
  <c r="P421" i="1"/>
  <c r="Q421" i="1" s="1"/>
  <c r="P422" i="1"/>
  <c r="Q422" i="1" s="1"/>
  <c r="P423" i="1"/>
  <c r="Q423" i="1" s="1"/>
  <c r="P424" i="1"/>
  <c r="Q424" i="1" s="1"/>
  <c r="P425" i="1"/>
  <c r="Q425" i="1" s="1"/>
  <c r="P426" i="1"/>
  <c r="Q426" i="1" s="1"/>
  <c r="P427" i="1"/>
  <c r="Q427" i="1" s="1"/>
  <c r="P428" i="1"/>
  <c r="Q428" i="1" s="1"/>
  <c r="P429" i="1"/>
  <c r="Q429" i="1" s="1"/>
  <c r="P430" i="1"/>
  <c r="Q430" i="1" s="1"/>
  <c r="P431" i="1"/>
  <c r="Q431" i="1" s="1"/>
  <c r="P432" i="1"/>
  <c r="Q432" i="1" s="1"/>
  <c r="P433" i="1"/>
  <c r="Q433" i="1" s="1"/>
  <c r="P434" i="1"/>
  <c r="Q434" i="1" s="1"/>
  <c r="P435" i="1"/>
  <c r="Q435" i="1" s="1"/>
  <c r="P436" i="1"/>
  <c r="Q436" i="1" s="1"/>
  <c r="P437" i="1"/>
  <c r="Q437" i="1" s="1"/>
  <c r="P438" i="1"/>
  <c r="Q438" i="1" s="1"/>
  <c r="P439" i="1"/>
  <c r="Q439" i="1" s="1"/>
  <c r="P440" i="1"/>
  <c r="Q440" i="1" s="1"/>
  <c r="P441" i="1"/>
  <c r="Q441" i="1" s="1"/>
  <c r="P442" i="1"/>
  <c r="Q442" i="1" s="1"/>
  <c r="P443" i="1"/>
  <c r="Q443" i="1" s="1"/>
  <c r="P444" i="1"/>
  <c r="Q444" i="1" s="1"/>
  <c r="P445" i="1"/>
  <c r="Q445" i="1" s="1"/>
  <c r="P446" i="1"/>
  <c r="Q446" i="1" s="1"/>
  <c r="P447" i="1"/>
  <c r="Q447" i="1" s="1"/>
  <c r="P448" i="1"/>
  <c r="Q448" i="1" s="1"/>
  <c r="P449" i="1"/>
  <c r="Q449" i="1" s="1"/>
  <c r="P450" i="1"/>
  <c r="Q450" i="1" s="1"/>
  <c r="P451" i="1"/>
  <c r="Q451" i="1" s="1"/>
  <c r="P452" i="1"/>
  <c r="Q452" i="1" s="1"/>
  <c r="P453" i="1"/>
  <c r="Q453" i="1" s="1"/>
  <c r="P454" i="1"/>
  <c r="Q454" i="1" s="1"/>
  <c r="P455" i="1"/>
  <c r="Q455" i="1" s="1"/>
  <c r="P456" i="1"/>
  <c r="Q456" i="1" s="1"/>
  <c r="P457" i="1"/>
  <c r="Q457" i="1" s="1"/>
  <c r="P458" i="1"/>
  <c r="Q458" i="1" s="1"/>
  <c r="P459" i="1"/>
  <c r="Q459" i="1" s="1"/>
  <c r="P460" i="1"/>
  <c r="Q460" i="1" s="1"/>
  <c r="P461" i="1"/>
  <c r="Q461" i="1" s="1"/>
  <c r="P462" i="1"/>
  <c r="Q462" i="1" s="1"/>
  <c r="P463" i="1"/>
  <c r="Q463" i="1" s="1"/>
  <c r="P464" i="1"/>
  <c r="Q464" i="1" s="1"/>
  <c r="P465" i="1"/>
  <c r="Q465" i="1" s="1"/>
  <c r="P466" i="1"/>
  <c r="Q466" i="1" s="1"/>
  <c r="P467" i="1"/>
  <c r="Q467" i="1" s="1"/>
  <c r="P468" i="1"/>
  <c r="Q468" i="1" s="1"/>
  <c r="P469" i="1"/>
  <c r="Q469" i="1" s="1"/>
  <c r="P470" i="1"/>
  <c r="Q470" i="1" s="1"/>
  <c r="P471" i="1"/>
  <c r="Q471" i="1" s="1"/>
  <c r="P472" i="1"/>
  <c r="Q472" i="1" s="1"/>
  <c r="P473" i="1"/>
  <c r="Q473" i="1" s="1"/>
  <c r="P474" i="1"/>
  <c r="Q474" i="1" s="1"/>
  <c r="P475" i="1"/>
  <c r="Q475" i="1" s="1"/>
  <c r="P476" i="1"/>
  <c r="Q476" i="1" s="1"/>
  <c r="P477" i="1"/>
  <c r="Q477" i="1" s="1"/>
  <c r="P478" i="1"/>
  <c r="Q478" i="1" s="1"/>
  <c r="P479" i="1"/>
  <c r="Q479" i="1" s="1"/>
  <c r="P480" i="1"/>
  <c r="Q480" i="1" s="1"/>
  <c r="P481" i="1"/>
  <c r="Q481" i="1" s="1"/>
  <c r="P482" i="1"/>
  <c r="Q482" i="1" s="1"/>
  <c r="P483" i="1"/>
  <c r="Q483" i="1" s="1"/>
  <c r="P484" i="1"/>
  <c r="Q484" i="1" s="1"/>
  <c r="P485" i="1"/>
  <c r="Q485" i="1" s="1"/>
  <c r="P486" i="1"/>
  <c r="Q486" i="1" s="1"/>
  <c r="P487" i="1"/>
  <c r="Q487" i="1" s="1"/>
  <c r="P488" i="1"/>
  <c r="Q488" i="1" s="1"/>
  <c r="P489" i="1"/>
  <c r="Q489" i="1" s="1"/>
  <c r="P490" i="1"/>
  <c r="Q490" i="1" s="1"/>
  <c r="P491" i="1"/>
  <c r="Q491" i="1" s="1"/>
  <c r="P492" i="1"/>
  <c r="Q492" i="1" s="1"/>
  <c r="P493" i="1"/>
  <c r="Q493" i="1" s="1"/>
  <c r="P494" i="1"/>
  <c r="Q494" i="1" s="1"/>
  <c r="P495" i="1"/>
  <c r="Q495" i="1" s="1"/>
  <c r="P496" i="1"/>
  <c r="Q496" i="1" s="1"/>
  <c r="P497" i="1"/>
  <c r="Q497" i="1" s="1"/>
  <c r="P498" i="1"/>
  <c r="Q498" i="1" s="1"/>
  <c r="P499" i="1"/>
  <c r="Q499" i="1" s="1"/>
  <c r="P500" i="1"/>
  <c r="Q500" i="1" s="1"/>
  <c r="P501" i="1"/>
  <c r="Q501" i="1" s="1"/>
  <c r="P502" i="1"/>
  <c r="Q502" i="1" s="1"/>
  <c r="P503" i="1"/>
  <c r="Q503" i="1" s="1"/>
  <c r="P504" i="1"/>
  <c r="Q504" i="1" s="1"/>
  <c r="P505" i="1"/>
  <c r="Q505" i="1" s="1"/>
  <c r="P506" i="1"/>
  <c r="Q506" i="1" s="1"/>
  <c r="P507" i="1"/>
  <c r="Q507" i="1" s="1"/>
  <c r="P508" i="1"/>
  <c r="Q508" i="1" s="1"/>
  <c r="P509" i="1"/>
  <c r="Q509" i="1" s="1"/>
  <c r="P510" i="1"/>
  <c r="Q510" i="1" s="1"/>
  <c r="P511" i="1"/>
  <c r="Q511" i="1" s="1"/>
  <c r="P512" i="1"/>
  <c r="Q512" i="1" s="1"/>
  <c r="P513" i="1"/>
  <c r="Q513" i="1" s="1"/>
  <c r="P514" i="1"/>
  <c r="Q514" i="1" s="1"/>
  <c r="P515" i="1"/>
  <c r="Q515" i="1" s="1"/>
  <c r="P516" i="1"/>
  <c r="Q516" i="1" s="1"/>
  <c r="P517" i="1"/>
  <c r="Q517" i="1" s="1"/>
  <c r="P518" i="1"/>
  <c r="Q518" i="1" s="1"/>
  <c r="P519" i="1"/>
  <c r="Q519" i="1" s="1"/>
  <c r="P520" i="1"/>
  <c r="Q520" i="1" s="1"/>
  <c r="P521" i="1"/>
  <c r="Q521" i="1" s="1"/>
  <c r="P522" i="1"/>
  <c r="Q522" i="1" s="1"/>
  <c r="P523" i="1"/>
  <c r="Q523" i="1" s="1"/>
  <c r="P524" i="1"/>
  <c r="Q524" i="1" s="1"/>
  <c r="P525" i="1"/>
  <c r="Q525" i="1" s="1"/>
  <c r="P526" i="1"/>
  <c r="Q526" i="1" s="1"/>
  <c r="P527" i="1"/>
  <c r="Q527" i="1" s="1"/>
  <c r="P528" i="1"/>
  <c r="Q528" i="1" s="1"/>
  <c r="P529" i="1"/>
  <c r="Q529" i="1" s="1"/>
  <c r="P530" i="1"/>
  <c r="Q530" i="1" s="1"/>
  <c r="P531" i="1"/>
  <c r="Q531" i="1" s="1"/>
  <c r="P532" i="1"/>
  <c r="Q532" i="1" s="1"/>
  <c r="P533" i="1"/>
  <c r="Q533" i="1" s="1"/>
  <c r="P534" i="1"/>
  <c r="Q534" i="1" s="1"/>
  <c r="P535" i="1"/>
  <c r="Q535" i="1" s="1"/>
  <c r="P536" i="1"/>
  <c r="Q536" i="1" s="1"/>
  <c r="P537" i="1"/>
  <c r="Q537" i="1" s="1"/>
  <c r="P538" i="1"/>
  <c r="Q538" i="1" s="1"/>
  <c r="P539" i="1"/>
  <c r="Q539" i="1" s="1"/>
  <c r="P540" i="1"/>
  <c r="Q540" i="1" s="1"/>
  <c r="P541" i="1"/>
  <c r="Q541" i="1" s="1"/>
  <c r="P542" i="1"/>
  <c r="Q542" i="1" s="1"/>
  <c r="P543" i="1"/>
  <c r="Q543" i="1" s="1"/>
  <c r="P544" i="1"/>
  <c r="Q544" i="1" s="1"/>
  <c r="P545" i="1"/>
  <c r="Q545" i="1" s="1"/>
  <c r="P546" i="1"/>
  <c r="Q546" i="1" s="1"/>
  <c r="P547" i="1"/>
  <c r="Q547" i="1" s="1"/>
  <c r="P548" i="1"/>
  <c r="Q548" i="1" s="1"/>
  <c r="P549" i="1"/>
  <c r="Q549" i="1" s="1"/>
  <c r="P550" i="1"/>
  <c r="Q550" i="1" s="1"/>
  <c r="P551" i="1"/>
  <c r="Q551" i="1" s="1"/>
  <c r="P552" i="1"/>
  <c r="Q552" i="1" s="1"/>
  <c r="P553" i="1"/>
  <c r="Q553" i="1" s="1"/>
  <c r="P554" i="1"/>
  <c r="Q554" i="1" s="1"/>
  <c r="P555" i="1"/>
  <c r="Q555" i="1" s="1"/>
  <c r="P556" i="1"/>
  <c r="Q556" i="1" s="1"/>
  <c r="P557" i="1"/>
  <c r="Q557" i="1" s="1"/>
  <c r="P558" i="1"/>
  <c r="Q558" i="1" s="1"/>
  <c r="P559" i="1"/>
  <c r="Q559" i="1" s="1"/>
  <c r="P560" i="1"/>
  <c r="Q560" i="1" s="1"/>
  <c r="P561" i="1"/>
  <c r="Q561" i="1" s="1"/>
  <c r="P562" i="1"/>
  <c r="Q562" i="1" s="1"/>
  <c r="P563" i="1"/>
  <c r="Q563" i="1" s="1"/>
  <c r="P564" i="1"/>
  <c r="Q564" i="1" s="1"/>
  <c r="P565" i="1"/>
  <c r="Q565" i="1" s="1"/>
  <c r="P566" i="1"/>
  <c r="Q566" i="1" s="1"/>
  <c r="P567" i="1"/>
  <c r="Q567" i="1" s="1"/>
  <c r="P568" i="1"/>
  <c r="Q568" i="1" s="1"/>
  <c r="P569" i="1"/>
  <c r="Q569" i="1" s="1"/>
  <c r="P570" i="1"/>
  <c r="Q570" i="1" s="1"/>
  <c r="P571" i="1"/>
  <c r="Q571" i="1" s="1"/>
  <c r="P572" i="1"/>
  <c r="Q572" i="1" s="1"/>
  <c r="P573" i="1"/>
  <c r="Q573" i="1" s="1"/>
  <c r="P574" i="1"/>
  <c r="Q574" i="1" s="1"/>
  <c r="P575" i="1"/>
  <c r="Q575" i="1" s="1"/>
  <c r="P576" i="1"/>
  <c r="Q576" i="1" s="1"/>
  <c r="P577" i="1"/>
  <c r="Q577" i="1" s="1"/>
  <c r="P578" i="1"/>
  <c r="Q578" i="1" s="1"/>
  <c r="P579" i="1"/>
  <c r="Q579" i="1" s="1"/>
  <c r="P580" i="1"/>
  <c r="Q580" i="1" s="1"/>
  <c r="P581" i="1"/>
  <c r="Q581" i="1" s="1"/>
  <c r="P582" i="1"/>
  <c r="Q582" i="1" s="1"/>
  <c r="P583" i="1"/>
  <c r="Q583" i="1" s="1"/>
  <c r="P584" i="1"/>
  <c r="Q584" i="1" s="1"/>
  <c r="P585" i="1"/>
  <c r="Q585" i="1" s="1"/>
  <c r="P586" i="1"/>
  <c r="Q586" i="1" s="1"/>
  <c r="P587" i="1"/>
  <c r="Q587" i="1" s="1"/>
  <c r="P588" i="1"/>
  <c r="Q588" i="1" s="1"/>
  <c r="P589" i="1"/>
  <c r="Q589" i="1" s="1"/>
  <c r="P590" i="1"/>
  <c r="Q590" i="1" s="1"/>
  <c r="P591" i="1"/>
  <c r="Q591" i="1" s="1"/>
  <c r="P592" i="1"/>
  <c r="Q592" i="1" s="1"/>
  <c r="P593" i="1"/>
  <c r="Q593" i="1" s="1"/>
  <c r="P594" i="1"/>
  <c r="Q594" i="1" s="1"/>
  <c r="P595" i="1"/>
  <c r="Q595" i="1" s="1"/>
  <c r="P596" i="1"/>
  <c r="Q596" i="1" s="1"/>
  <c r="P597" i="1"/>
  <c r="Q597" i="1" s="1"/>
  <c r="P598" i="1"/>
  <c r="Q598" i="1" s="1"/>
  <c r="P599" i="1"/>
  <c r="Q599" i="1" s="1"/>
  <c r="P600" i="1"/>
  <c r="Q600" i="1" s="1"/>
  <c r="P601" i="1"/>
  <c r="Q601" i="1" s="1"/>
  <c r="P602" i="1"/>
  <c r="Q602" i="1" s="1"/>
  <c r="P603" i="1"/>
  <c r="Q603" i="1" s="1"/>
  <c r="P604" i="1"/>
  <c r="Q604" i="1" s="1"/>
  <c r="P605" i="1"/>
  <c r="Q605" i="1" s="1"/>
  <c r="P606" i="1"/>
  <c r="Q606" i="1" s="1"/>
  <c r="P607" i="1"/>
  <c r="Q607" i="1" s="1"/>
  <c r="P608" i="1"/>
  <c r="Q608" i="1" s="1"/>
  <c r="P609" i="1"/>
  <c r="Q609" i="1" s="1"/>
  <c r="P610" i="1"/>
  <c r="Q610" i="1" s="1"/>
  <c r="P611" i="1"/>
  <c r="Q611" i="1" s="1"/>
  <c r="P612" i="1"/>
  <c r="Q612" i="1" s="1"/>
  <c r="P613" i="1"/>
  <c r="Q613" i="1" s="1"/>
  <c r="P614" i="1"/>
  <c r="Q614" i="1" s="1"/>
  <c r="P615" i="1"/>
  <c r="Q615" i="1" s="1"/>
  <c r="P616" i="1"/>
  <c r="Q616" i="1" s="1"/>
  <c r="P617" i="1"/>
  <c r="Q617" i="1" s="1"/>
  <c r="P618" i="1"/>
  <c r="Q618" i="1" s="1"/>
  <c r="P619" i="1"/>
  <c r="Q619" i="1" s="1"/>
  <c r="P620" i="1"/>
  <c r="Q620" i="1" s="1"/>
  <c r="P621" i="1"/>
  <c r="Q621" i="1" s="1"/>
  <c r="P622" i="1"/>
  <c r="Q622" i="1" s="1"/>
  <c r="P623" i="1"/>
  <c r="Q623" i="1" s="1"/>
  <c r="P624" i="1"/>
  <c r="Q624" i="1" s="1"/>
  <c r="P625" i="1"/>
  <c r="Q625" i="1" s="1"/>
  <c r="P626" i="1"/>
  <c r="Q626" i="1" s="1"/>
  <c r="P627" i="1"/>
  <c r="Q627" i="1" s="1"/>
  <c r="P628" i="1"/>
  <c r="Q628" i="1" s="1"/>
  <c r="P629" i="1"/>
  <c r="Q629" i="1" s="1"/>
  <c r="P630" i="1"/>
  <c r="Q630" i="1" s="1"/>
  <c r="P631" i="1"/>
  <c r="Q631" i="1" s="1"/>
  <c r="P632" i="1"/>
  <c r="Q632" i="1" s="1"/>
  <c r="P633" i="1"/>
  <c r="Q633" i="1" s="1"/>
  <c r="P634" i="1"/>
  <c r="Q634" i="1" s="1"/>
  <c r="P635" i="1"/>
  <c r="Q635" i="1" s="1"/>
  <c r="P636" i="1"/>
  <c r="Q636" i="1" s="1"/>
  <c r="P637" i="1"/>
  <c r="Q637" i="1" s="1"/>
  <c r="P638" i="1"/>
  <c r="Q638" i="1" s="1"/>
  <c r="P639" i="1"/>
  <c r="Q639" i="1" s="1"/>
  <c r="P640" i="1"/>
  <c r="Q640" i="1" s="1"/>
  <c r="P641" i="1"/>
  <c r="Q641" i="1" s="1"/>
  <c r="P642" i="1"/>
  <c r="Q642" i="1" s="1"/>
  <c r="P643" i="1"/>
  <c r="Q643" i="1" s="1"/>
  <c r="P644" i="1"/>
  <c r="Q644" i="1" s="1"/>
  <c r="P645" i="1"/>
  <c r="Q645" i="1" s="1"/>
  <c r="P646" i="1"/>
  <c r="Q646" i="1" s="1"/>
  <c r="P647" i="1"/>
  <c r="Q647" i="1" s="1"/>
  <c r="P648" i="1"/>
  <c r="Q648" i="1" s="1"/>
  <c r="P649" i="1"/>
  <c r="Q649" i="1" s="1"/>
  <c r="P650" i="1"/>
  <c r="Q650" i="1" s="1"/>
  <c r="P651" i="1"/>
  <c r="Q651" i="1" s="1"/>
  <c r="P652" i="1"/>
  <c r="Q652" i="1" s="1"/>
  <c r="P653" i="1"/>
  <c r="Q653" i="1" s="1"/>
  <c r="P654" i="1"/>
  <c r="Q654" i="1" s="1"/>
  <c r="P655" i="1"/>
  <c r="Q655" i="1" s="1"/>
  <c r="P656" i="1"/>
  <c r="Q656" i="1" s="1"/>
  <c r="P657" i="1"/>
  <c r="Q657" i="1" s="1"/>
  <c r="P658" i="1"/>
  <c r="Q658" i="1" s="1"/>
  <c r="P659" i="1"/>
  <c r="Q659" i="1" s="1"/>
  <c r="P660" i="1"/>
  <c r="Q660" i="1" s="1"/>
  <c r="P661" i="1"/>
  <c r="Q661" i="1" s="1"/>
  <c r="P662" i="1"/>
  <c r="Q662" i="1" s="1"/>
  <c r="P663" i="1"/>
  <c r="Q663" i="1" s="1"/>
  <c r="P664" i="1"/>
  <c r="Q664" i="1" s="1"/>
  <c r="P665" i="1"/>
  <c r="Q665" i="1" s="1"/>
  <c r="P666" i="1"/>
  <c r="Q666" i="1" s="1"/>
  <c r="P667" i="1"/>
  <c r="Q667" i="1" s="1"/>
  <c r="P668" i="1"/>
  <c r="Q668" i="1" s="1"/>
  <c r="P669" i="1"/>
  <c r="Q669" i="1" s="1"/>
  <c r="P670" i="1"/>
  <c r="Q670" i="1" s="1"/>
  <c r="P671" i="1"/>
  <c r="Q671" i="1" s="1"/>
  <c r="P672" i="1"/>
  <c r="Q672" i="1" s="1"/>
  <c r="P673" i="1"/>
  <c r="Q673" i="1" s="1"/>
  <c r="P674" i="1"/>
  <c r="Q674" i="1" s="1"/>
  <c r="P675" i="1"/>
  <c r="Q675" i="1" s="1"/>
  <c r="P676" i="1"/>
  <c r="Q676" i="1" s="1"/>
  <c r="P677" i="1"/>
  <c r="Q677" i="1" s="1"/>
  <c r="P678" i="1"/>
  <c r="Q678" i="1" s="1"/>
  <c r="P679" i="1"/>
  <c r="Q679" i="1" s="1"/>
  <c r="P680" i="1"/>
  <c r="Q680" i="1" s="1"/>
  <c r="P681" i="1"/>
  <c r="Q681" i="1" s="1"/>
  <c r="P682" i="1"/>
  <c r="Q682" i="1" s="1"/>
  <c r="P683" i="1"/>
  <c r="Q683" i="1" s="1"/>
  <c r="P684" i="1"/>
  <c r="Q684" i="1" s="1"/>
  <c r="P685" i="1"/>
  <c r="Q685" i="1" s="1"/>
  <c r="P686" i="1"/>
  <c r="Q686" i="1" s="1"/>
  <c r="P687" i="1"/>
  <c r="Q687" i="1" s="1"/>
  <c r="P688" i="1"/>
  <c r="Q688" i="1" s="1"/>
  <c r="P689" i="1"/>
  <c r="Q689" i="1" s="1"/>
  <c r="P690" i="1"/>
  <c r="Q690" i="1" s="1"/>
  <c r="P691" i="1"/>
  <c r="Q691" i="1" s="1"/>
  <c r="P692" i="1"/>
  <c r="Q692" i="1" s="1"/>
  <c r="P693" i="1"/>
  <c r="Q693" i="1" s="1"/>
  <c r="P694" i="1"/>
  <c r="Q694" i="1" s="1"/>
  <c r="P695" i="1"/>
  <c r="Q695" i="1" s="1"/>
  <c r="P696" i="1"/>
  <c r="Q696" i="1" s="1"/>
  <c r="P697" i="1"/>
  <c r="Q697" i="1" s="1"/>
  <c r="P698" i="1"/>
  <c r="Q698" i="1" s="1"/>
  <c r="P699" i="1"/>
  <c r="Q699" i="1" s="1"/>
  <c r="P700" i="1"/>
  <c r="Q700" i="1" s="1"/>
  <c r="P701" i="1"/>
  <c r="Q701" i="1" s="1"/>
  <c r="P702" i="1"/>
  <c r="Q702" i="1" s="1"/>
  <c r="P703" i="1"/>
  <c r="Q703" i="1" s="1"/>
  <c r="P704" i="1"/>
  <c r="Q704" i="1" s="1"/>
  <c r="P705" i="1"/>
  <c r="Q705" i="1" s="1"/>
  <c r="P706" i="1"/>
  <c r="Q706" i="1" s="1"/>
  <c r="P707" i="1"/>
  <c r="Q707" i="1" s="1"/>
  <c r="P708" i="1"/>
  <c r="Q708" i="1" s="1"/>
  <c r="P709" i="1"/>
  <c r="Q709" i="1" s="1"/>
  <c r="P710" i="1"/>
  <c r="Q710" i="1" s="1"/>
  <c r="P711" i="1"/>
  <c r="Q711" i="1" s="1"/>
  <c r="P712" i="1"/>
  <c r="Q712" i="1" s="1"/>
  <c r="P713" i="1"/>
  <c r="Q713" i="1" s="1"/>
  <c r="P714" i="1"/>
  <c r="Q714" i="1" s="1"/>
  <c r="P715" i="1"/>
  <c r="Q715" i="1" s="1"/>
  <c r="P716" i="1"/>
  <c r="Q716" i="1" s="1"/>
  <c r="P717" i="1"/>
  <c r="Q717" i="1" s="1"/>
  <c r="P718" i="1"/>
  <c r="Q718" i="1" s="1"/>
  <c r="P719" i="1"/>
  <c r="Q719" i="1" s="1"/>
  <c r="P720" i="1"/>
  <c r="Q720" i="1" s="1"/>
  <c r="P721" i="1"/>
  <c r="Q721" i="1" s="1"/>
  <c r="P722" i="1"/>
  <c r="Q722" i="1" s="1"/>
  <c r="P723" i="1"/>
  <c r="Q723" i="1" s="1"/>
  <c r="P724" i="1"/>
  <c r="Q724" i="1" s="1"/>
  <c r="P725" i="1"/>
  <c r="Q725" i="1" s="1"/>
  <c r="P726" i="1"/>
  <c r="Q726" i="1" s="1"/>
  <c r="P727" i="1"/>
  <c r="Q727" i="1" s="1"/>
  <c r="P728" i="1"/>
  <c r="Q728" i="1" s="1"/>
  <c r="P729" i="1"/>
  <c r="Q729" i="1" s="1"/>
  <c r="P730" i="1"/>
  <c r="Q730" i="1" s="1"/>
  <c r="P731" i="1"/>
  <c r="Q731" i="1" s="1"/>
  <c r="P732" i="1"/>
  <c r="Q732" i="1" s="1"/>
  <c r="P733" i="1"/>
  <c r="Q733" i="1" s="1"/>
  <c r="P734" i="1"/>
  <c r="Q734" i="1" s="1"/>
  <c r="P735" i="1"/>
  <c r="Q735" i="1" s="1"/>
  <c r="P736" i="1"/>
  <c r="Q736" i="1" s="1"/>
  <c r="P737" i="1"/>
  <c r="Q737" i="1" s="1"/>
  <c r="P738" i="1"/>
  <c r="Q738" i="1" s="1"/>
  <c r="P739" i="1"/>
  <c r="Q739" i="1" s="1"/>
  <c r="P740" i="1"/>
  <c r="Q740" i="1" s="1"/>
  <c r="P741" i="1"/>
  <c r="Q741" i="1" s="1"/>
  <c r="P742" i="1"/>
  <c r="Q742" i="1" s="1"/>
  <c r="P743" i="1"/>
  <c r="Q743" i="1" s="1"/>
  <c r="P744" i="1"/>
  <c r="Q744" i="1" s="1"/>
  <c r="P745" i="1"/>
  <c r="Q745" i="1" s="1"/>
  <c r="P746" i="1"/>
  <c r="Q746" i="1" s="1"/>
  <c r="P747" i="1"/>
  <c r="Q747" i="1" s="1"/>
  <c r="P748" i="1"/>
  <c r="Q748" i="1" s="1"/>
  <c r="P749" i="1"/>
  <c r="Q749" i="1" s="1"/>
  <c r="P750" i="1"/>
  <c r="Q750" i="1" s="1"/>
  <c r="P751" i="1"/>
  <c r="Q751" i="1" s="1"/>
  <c r="P752" i="1"/>
  <c r="Q752" i="1" s="1"/>
  <c r="P753" i="1"/>
  <c r="Q753" i="1" s="1"/>
  <c r="P754" i="1"/>
  <c r="Q754" i="1" s="1"/>
  <c r="P755" i="1"/>
  <c r="Q755" i="1" s="1"/>
  <c r="P756" i="1"/>
  <c r="Q756" i="1" s="1"/>
  <c r="P757" i="1"/>
  <c r="Q757" i="1" s="1"/>
  <c r="P758" i="1"/>
  <c r="Q758" i="1" s="1"/>
  <c r="P759" i="1"/>
  <c r="Q759" i="1" s="1"/>
  <c r="P760" i="1"/>
  <c r="Q760" i="1" s="1"/>
  <c r="P761" i="1"/>
  <c r="Q761" i="1" s="1"/>
  <c r="P762" i="1"/>
  <c r="Q762" i="1" s="1"/>
  <c r="P763" i="1"/>
  <c r="Q763" i="1" s="1"/>
  <c r="P764" i="1"/>
  <c r="Q764" i="1" s="1"/>
  <c r="P765" i="1"/>
  <c r="Q765" i="1" s="1"/>
  <c r="P766" i="1"/>
  <c r="Q766" i="1" s="1"/>
  <c r="P767" i="1"/>
  <c r="Q767" i="1" s="1"/>
  <c r="P768" i="1"/>
  <c r="Q768" i="1" s="1"/>
  <c r="P769" i="1"/>
  <c r="Q769" i="1" s="1"/>
  <c r="P770" i="1"/>
  <c r="Q770" i="1" s="1"/>
  <c r="P771" i="1"/>
  <c r="Q771" i="1" s="1"/>
  <c r="P772" i="1"/>
  <c r="Q772" i="1" s="1"/>
  <c r="P773" i="1"/>
  <c r="Q773" i="1" s="1"/>
  <c r="P774" i="1"/>
  <c r="Q774" i="1" s="1"/>
  <c r="P775" i="1"/>
  <c r="Q775" i="1" s="1"/>
  <c r="P776" i="1"/>
  <c r="Q776" i="1" s="1"/>
  <c r="P777" i="1"/>
  <c r="Q777" i="1" s="1"/>
  <c r="P778" i="1"/>
  <c r="Q778" i="1" s="1"/>
  <c r="P779" i="1"/>
  <c r="Q779" i="1" s="1"/>
  <c r="P780" i="1"/>
  <c r="Q780" i="1" s="1"/>
  <c r="P781" i="1"/>
  <c r="Q781" i="1" s="1"/>
  <c r="P782" i="1"/>
  <c r="Q782" i="1" s="1"/>
  <c r="P783" i="1"/>
  <c r="Q783" i="1" s="1"/>
  <c r="P784" i="1"/>
  <c r="Q784" i="1" s="1"/>
  <c r="P785" i="1"/>
  <c r="Q785" i="1" s="1"/>
  <c r="P786" i="1"/>
  <c r="Q786" i="1" s="1"/>
  <c r="P787" i="1"/>
  <c r="Q787" i="1" s="1"/>
  <c r="P788" i="1"/>
  <c r="Q788" i="1" s="1"/>
  <c r="P789" i="1"/>
  <c r="Q789" i="1" s="1"/>
  <c r="P790" i="1"/>
  <c r="Q790" i="1" s="1"/>
  <c r="P791" i="1"/>
  <c r="Q791" i="1" s="1"/>
  <c r="P792" i="1"/>
  <c r="Q792" i="1" s="1"/>
  <c r="P793" i="1"/>
  <c r="Q793" i="1" s="1"/>
  <c r="P794" i="1"/>
  <c r="Q794" i="1" s="1"/>
  <c r="P795" i="1"/>
  <c r="Q795" i="1" s="1"/>
  <c r="P796" i="1"/>
  <c r="Q796" i="1" s="1"/>
  <c r="P797" i="1"/>
  <c r="Q797" i="1" s="1"/>
  <c r="P798" i="1"/>
  <c r="Q798" i="1" s="1"/>
  <c r="P799" i="1"/>
  <c r="Q799" i="1" s="1"/>
  <c r="P800" i="1"/>
  <c r="Q800" i="1" s="1"/>
  <c r="P801" i="1"/>
  <c r="Q801" i="1" s="1"/>
  <c r="P802" i="1"/>
  <c r="Q802" i="1" s="1"/>
  <c r="P803" i="1"/>
  <c r="Q803" i="1" s="1"/>
  <c r="P804" i="1"/>
  <c r="Q804" i="1" s="1"/>
  <c r="P805" i="1"/>
  <c r="Q805" i="1" s="1"/>
  <c r="P806" i="1"/>
  <c r="Q806" i="1" s="1"/>
  <c r="P807" i="1"/>
  <c r="Q807" i="1" s="1"/>
  <c r="P808" i="1"/>
  <c r="Q808" i="1" s="1"/>
  <c r="P809" i="1"/>
  <c r="Q809" i="1" s="1"/>
  <c r="P810" i="1"/>
  <c r="Q810" i="1" s="1"/>
  <c r="P811" i="1"/>
  <c r="Q811" i="1" s="1"/>
  <c r="P812" i="1"/>
  <c r="Q812" i="1" s="1"/>
  <c r="P813" i="1"/>
  <c r="Q813" i="1" s="1"/>
  <c r="P814" i="1"/>
  <c r="Q814" i="1" s="1"/>
  <c r="P815" i="1"/>
  <c r="Q815" i="1" s="1"/>
  <c r="P816" i="1"/>
  <c r="Q816" i="1" s="1"/>
  <c r="P817" i="1"/>
  <c r="Q817" i="1" s="1"/>
  <c r="P818" i="1"/>
  <c r="Q818" i="1" s="1"/>
  <c r="P819" i="1"/>
  <c r="Q819" i="1" s="1"/>
  <c r="P820" i="1"/>
  <c r="Q820" i="1" s="1"/>
  <c r="P821" i="1"/>
  <c r="Q821" i="1" s="1"/>
  <c r="P822" i="1"/>
  <c r="Q822" i="1" s="1"/>
  <c r="P823" i="1"/>
  <c r="Q823" i="1" s="1"/>
  <c r="P824" i="1"/>
  <c r="Q824" i="1" s="1"/>
  <c r="P825" i="1"/>
  <c r="Q825" i="1" s="1"/>
  <c r="P826" i="1"/>
  <c r="Q826" i="1" s="1"/>
  <c r="P827" i="1"/>
  <c r="Q827" i="1" s="1"/>
  <c r="P828" i="1"/>
  <c r="Q828" i="1" s="1"/>
  <c r="P829" i="1"/>
  <c r="Q829" i="1" s="1"/>
  <c r="P830" i="1"/>
  <c r="Q830" i="1" s="1"/>
  <c r="P831" i="1"/>
  <c r="Q831" i="1" s="1"/>
  <c r="P832" i="1"/>
  <c r="Q832" i="1" s="1"/>
  <c r="P833" i="1"/>
  <c r="Q833" i="1" s="1"/>
  <c r="P834" i="1"/>
  <c r="Q834" i="1" s="1"/>
  <c r="P835" i="1"/>
  <c r="Q835" i="1" s="1"/>
  <c r="P836" i="1"/>
  <c r="Q836" i="1" s="1"/>
  <c r="P837" i="1"/>
  <c r="Q837" i="1" s="1"/>
  <c r="P838" i="1"/>
  <c r="Q838" i="1" s="1"/>
  <c r="P839" i="1"/>
  <c r="Q839" i="1" s="1"/>
  <c r="P840" i="1"/>
  <c r="Q840" i="1" s="1"/>
  <c r="P841" i="1"/>
  <c r="Q841" i="1" s="1"/>
  <c r="P842" i="1"/>
  <c r="Q842" i="1" s="1"/>
  <c r="P843" i="1"/>
  <c r="Q843" i="1" s="1"/>
  <c r="P844" i="1"/>
  <c r="Q844" i="1" s="1"/>
  <c r="P845" i="1"/>
  <c r="Q845" i="1" s="1"/>
  <c r="P846" i="1"/>
  <c r="Q846" i="1" s="1"/>
  <c r="P847" i="1"/>
  <c r="Q847" i="1" s="1"/>
  <c r="P848" i="1"/>
  <c r="Q848" i="1" s="1"/>
  <c r="P849" i="1"/>
  <c r="Q849" i="1" s="1"/>
  <c r="P850" i="1"/>
  <c r="Q850" i="1" s="1"/>
  <c r="P851" i="1"/>
  <c r="Q851" i="1" s="1"/>
  <c r="P852" i="1"/>
  <c r="Q852" i="1" s="1"/>
  <c r="P853" i="1"/>
  <c r="Q853" i="1" s="1"/>
  <c r="P854" i="1"/>
  <c r="Q854" i="1" s="1"/>
  <c r="P855" i="1"/>
  <c r="Q855" i="1" s="1"/>
  <c r="P856" i="1"/>
  <c r="Q856" i="1" s="1"/>
  <c r="P857" i="1"/>
  <c r="Q857" i="1" s="1"/>
  <c r="P858" i="1"/>
  <c r="Q858" i="1" s="1"/>
  <c r="P859" i="1"/>
  <c r="Q859" i="1" s="1"/>
  <c r="P860" i="1"/>
  <c r="Q860" i="1" s="1"/>
  <c r="P861" i="1"/>
  <c r="Q861" i="1" s="1"/>
  <c r="P862" i="1"/>
  <c r="Q862" i="1" s="1"/>
  <c r="P863" i="1"/>
  <c r="Q863" i="1" s="1"/>
  <c r="P864" i="1"/>
  <c r="Q864" i="1" s="1"/>
  <c r="P865" i="1"/>
  <c r="Q865" i="1" s="1"/>
  <c r="P866" i="1"/>
  <c r="Q866" i="1" s="1"/>
  <c r="P867" i="1"/>
  <c r="Q867" i="1" s="1"/>
  <c r="P868" i="1"/>
  <c r="Q868" i="1" s="1"/>
  <c r="P869" i="1"/>
  <c r="Q869" i="1" s="1"/>
  <c r="P870" i="1"/>
  <c r="Q870" i="1" s="1"/>
  <c r="P871" i="1"/>
  <c r="Q871" i="1" s="1"/>
  <c r="P872" i="1"/>
  <c r="Q872" i="1" s="1"/>
  <c r="P873" i="1"/>
  <c r="Q873" i="1" s="1"/>
  <c r="P874" i="1"/>
  <c r="Q874" i="1" s="1"/>
  <c r="P875" i="1"/>
  <c r="Q875" i="1" s="1"/>
  <c r="P876" i="1"/>
  <c r="Q876" i="1" s="1"/>
  <c r="P877" i="1"/>
  <c r="Q877" i="1" s="1"/>
  <c r="P878" i="1"/>
  <c r="Q878" i="1" s="1"/>
  <c r="P879" i="1"/>
  <c r="Q879" i="1" s="1"/>
  <c r="P880" i="1"/>
  <c r="Q880" i="1" s="1"/>
  <c r="P881" i="1"/>
  <c r="Q881" i="1" s="1"/>
  <c r="P882" i="1"/>
  <c r="Q882" i="1" s="1"/>
  <c r="P883" i="1"/>
  <c r="Q883" i="1" s="1"/>
  <c r="P884" i="1"/>
  <c r="Q884" i="1" s="1"/>
  <c r="P885" i="1"/>
  <c r="Q885" i="1" s="1"/>
  <c r="P886" i="1"/>
  <c r="Q886" i="1" s="1"/>
  <c r="P887" i="1"/>
  <c r="Q887" i="1" s="1"/>
  <c r="P888" i="1"/>
  <c r="Q888" i="1" s="1"/>
  <c r="P889" i="1"/>
  <c r="Q889" i="1" s="1"/>
  <c r="P890" i="1"/>
  <c r="Q890" i="1" s="1"/>
  <c r="P891" i="1"/>
  <c r="Q891" i="1" s="1"/>
  <c r="P892" i="1"/>
  <c r="Q892" i="1" s="1"/>
  <c r="P893" i="1"/>
  <c r="Q893" i="1" s="1"/>
  <c r="P894" i="1"/>
  <c r="Q894" i="1" s="1"/>
  <c r="P895" i="1"/>
  <c r="Q895" i="1" s="1"/>
  <c r="P896" i="1"/>
  <c r="Q896" i="1" s="1"/>
  <c r="P897" i="1"/>
  <c r="Q897" i="1" s="1"/>
  <c r="P898" i="1"/>
  <c r="Q898" i="1" s="1"/>
  <c r="P899" i="1"/>
  <c r="Q899" i="1" s="1"/>
  <c r="P900" i="1"/>
  <c r="Q900" i="1" s="1"/>
  <c r="P901" i="1"/>
  <c r="Q901" i="1" s="1"/>
  <c r="P902" i="1"/>
  <c r="Q902" i="1" s="1"/>
  <c r="P903" i="1"/>
  <c r="Q903" i="1" s="1"/>
  <c r="P904" i="1"/>
  <c r="Q904" i="1" s="1"/>
  <c r="P905" i="1"/>
  <c r="Q905" i="1" s="1"/>
  <c r="P906" i="1"/>
  <c r="Q906" i="1" s="1"/>
  <c r="P907" i="1"/>
  <c r="Q907" i="1" s="1"/>
  <c r="P908" i="1"/>
  <c r="Q908" i="1" s="1"/>
  <c r="P909" i="1"/>
  <c r="Q909" i="1" s="1"/>
  <c r="P910" i="1"/>
  <c r="Q910" i="1" s="1"/>
  <c r="P911" i="1"/>
  <c r="Q911" i="1" s="1"/>
  <c r="P912" i="1"/>
  <c r="Q912" i="1" s="1"/>
  <c r="P913" i="1"/>
  <c r="Q913" i="1" s="1"/>
  <c r="P914" i="1"/>
  <c r="Q914" i="1" s="1"/>
  <c r="P915" i="1"/>
  <c r="Q915" i="1" s="1"/>
  <c r="P916" i="1"/>
  <c r="Q916" i="1" s="1"/>
  <c r="P917" i="1"/>
  <c r="Q917" i="1" s="1"/>
  <c r="P918" i="1"/>
  <c r="Q918" i="1" s="1"/>
  <c r="P919" i="1"/>
  <c r="Q919" i="1" s="1"/>
  <c r="P920" i="1"/>
  <c r="Q920" i="1" s="1"/>
  <c r="P921" i="1"/>
  <c r="Q921" i="1" s="1"/>
  <c r="P922" i="1"/>
  <c r="Q922" i="1" s="1"/>
  <c r="P923" i="1"/>
  <c r="Q923" i="1" s="1"/>
  <c r="P924" i="1"/>
  <c r="Q924" i="1" s="1"/>
  <c r="P925" i="1"/>
  <c r="Q925" i="1" s="1"/>
  <c r="P926" i="1"/>
  <c r="Q926" i="1" s="1"/>
  <c r="P927" i="1"/>
  <c r="Q927" i="1" s="1"/>
  <c r="P928" i="1"/>
  <c r="Q928" i="1" s="1"/>
  <c r="P929" i="1"/>
  <c r="Q929" i="1" s="1"/>
  <c r="P930" i="1"/>
  <c r="Q930" i="1" s="1"/>
  <c r="P931" i="1"/>
  <c r="Q931" i="1" s="1"/>
  <c r="P932" i="1"/>
  <c r="Q932" i="1" s="1"/>
  <c r="P933" i="1"/>
  <c r="Q933" i="1" s="1"/>
  <c r="P934" i="1"/>
  <c r="Q934" i="1" s="1"/>
  <c r="P935" i="1"/>
  <c r="Q935" i="1" s="1"/>
  <c r="P936" i="1"/>
  <c r="Q936" i="1" s="1"/>
  <c r="P937" i="1"/>
  <c r="Q937" i="1" s="1"/>
  <c r="P938" i="1"/>
  <c r="Q938" i="1" s="1"/>
  <c r="P939" i="1"/>
  <c r="Q939" i="1" s="1"/>
  <c r="P940" i="1"/>
  <c r="Q940" i="1" s="1"/>
  <c r="P941" i="1"/>
  <c r="Q941" i="1" s="1"/>
  <c r="P942" i="1"/>
  <c r="Q942" i="1" s="1"/>
  <c r="P943" i="1"/>
  <c r="Q943" i="1" s="1"/>
  <c r="P944" i="1"/>
  <c r="Q944" i="1" s="1"/>
  <c r="P945" i="1"/>
  <c r="Q945" i="1" s="1"/>
  <c r="P946" i="1"/>
  <c r="Q946" i="1" s="1"/>
  <c r="P947" i="1"/>
  <c r="Q947" i="1" s="1"/>
  <c r="P948" i="1"/>
  <c r="Q948" i="1" s="1"/>
  <c r="P949" i="1"/>
  <c r="Q949" i="1" s="1"/>
  <c r="P950" i="1"/>
  <c r="Q950" i="1" s="1"/>
  <c r="P951" i="1"/>
  <c r="Q951" i="1" s="1"/>
  <c r="P952" i="1"/>
  <c r="Q952" i="1" s="1"/>
  <c r="P953" i="1"/>
  <c r="Q953" i="1" s="1"/>
  <c r="P954" i="1"/>
  <c r="Q954" i="1" s="1"/>
  <c r="P955" i="1"/>
  <c r="Q955" i="1" s="1"/>
  <c r="P956" i="1"/>
  <c r="Q956" i="1" s="1"/>
  <c r="P957" i="1"/>
  <c r="Q957" i="1" s="1"/>
  <c r="P958" i="1"/>
  <c r="Q958" i="1" s="1"/>
  <c r="P959" i="1"/>
  <c r="Q959" i="1" s="1"/>
  <c r="P960" i="1"/>
  <c r="Q960" i="1" s="1"/>
  <c r="P961" i="1"/>
  <c r="Q961" i="1" s="1"/>
  <c r="P962" i="1"/>
  <c r="Q962" i="1" s="1"/>
  <c r="P963" i="1"/>
  <c r="Q963" i="1" s="1"/>
  <c r="P964" i="1"/>
  <c r="Q964" i="1" s="1"/>
  <c r="P965" i="1"/>
  <c r="Q965" i="1" s="1"/>
  <c r="P966" i="1"/>
  <c r="Q966" i="1" s="1"/>
  <c r="P967" i="1"/>
  <c r="Q967" i="1" s="1"/>
  <c r="P968" i="1"/>
  <c r="Q968" i="1" s="1"/>
  <c r="P969" i="1"/>
  <c r="Q969" i="1" s="1"/>
  <c r="P970" i="1"/>
  <c r="Q970" i="1" s="1"/>
  <c r="P971" i="1"/>
  <c r="Q971" i="1" s="1"/>
  <c r="P972" i="1"/>
  <c r="Q972" i="1" s="1"/>
  <c r="P973" i="1"/>
  <c r="Q973" i="1" s="1"/>
  <c r="P974" i="1"/>
  <c r="Q974" i="1" s="1"/>
  <c r="P975" i="1"/>
  <c r="Q975" i="1" s="1"/>
  <c r="P976" i="1"/>
  <c r="Q976" i="1" s="1"/>
  <c r="P977" i="1"/>
  <c r="Q977" i="1" s="1"/>
  <c r="P978" i="1"/>
  <c r="Q978" i="1" s="1"/>
  <c r="P979" i="1"/>
  <c r="Q979" i="1" s="1"/>
  <c r="P980" i="1"/>
  <c r="Q980" i="1" s="1"/>
  <c r="P981" i="1"/>
  <c r="Q981" i="1" s="1"/>
  <c r="P982" i="1"/>
  <c r="Q982" i="1" s="1"/>
  <c r="P983" i="1"/>
  <c r="Q983" i="1" s="1"/>
  <c r="P984" i="1"/>
  <c r="Q984" i="1" s="1"/>
  <c r="P985" i="1"/>
  <c r="Q985" i="1" s="1"/>
  <c r="P986" i="1"/>
  <c r="Q986" i="1" s="1"/>
  <c r="P987" i="1"/>
  <c r="Q987" i="1" s="1"/>
  <c r="P988" i="1"/>
  <c r="Q988" i="1" s="1"/>
  <c r="P989" i="1"/>
  <c r="Q989" i="1" s="1"/>
  <c r="P990" i="1"/>
  <c r="Q990" i="1" s="1"/>
  <c r="P991" i="1"/>
  <c r="Q991" i="1" s="1"/>
  <c r="P992" i="1"/>
  <c r="Q992" i="1" s="1"/>
  <c r="P993" i="1"/>
  <c r="Q993" i="1" s="1"/>
  <c r="P994" i="1"/>
  <c r="Q994" i="1" s="1"/>
  <c r="P995" i="1"/>
  <c r="Q995" i="1" s="1"/>
  <c r="P996" i="1"/>
  <c r="Q996" i="1" s="1"/>
  <c r="P997" i="1"/>
  <c r="Q997" i="1" s="1"/>
  <c r="P998" i="1"/>
  <c r="Q998" i="1" s="1"/>
  <c r="P999" i="1"/>
  <c r="Q999" i="1" s="1"/>
  <c r="P1000" i="1"/>
  <c r="Q1000" i="1" s="1"/>
  <c r="P6" i="1"/>
  <c r="Q6" i="1" s="1"/>
  <c r="Z28" i="6" l="1"/>
  <c r="Z26" i="6"/>
  <c r="M42" i="6" l="1"/>
  <c r="L24" i="7" l="1"/>
  <c r="Y13" i="6"/>
  <c r="N35" i="6"/>
  <c r="U35" i="6" s="1"/>
  <c r="N36" i="6"/>
  <c r="U36" i="6" s="1"/>
  <c r="D3" i="8" l="1"/>
  <c r="B150" i="11" l="1"/>
  <c r="B151" i="11"/>
  <c r="B152" i="11"/>
  <c r="B153" i="11"/>
  <c r="B154" i="11"/>
  <c r="B155" i="11"/>
  <c r="B156" i="11"/>
  <c r="B157" i="11"/>
  <c r="B158" i="11"/>
  <c r="B159" i="11"/>
  <c r="B160" i="11"/>
  <c r="B161" i="11"/>
  <c r="B162" i="11"/>
  <c r="B163" i="11"/>
  <c r="B164" i="11"/>
  <c r="B149" i="11"/>
  <c r="B134" i="11"/>
  <c r="B135" i="11"/>
  <c r="B136" i="11"/>
  <c r="B137" i="11"/>
  <c r="B138" i="11"/>
  <c r="B139" i="11"/>
  <c r="B140" i="11"/>
  <c r="B141" i="11"/>
  <c r="B142" i="11"/>
  <c r="B143" i="11"/>
  <c r="B144" i="11"/>
  <c r="B145" i="11"/>
  <c r="B146" i="11"/>
  <c r="B147" i="11"/>
  <c r="B148" i="11"/>
  <c r="B133" i="11"/>
  <c r="B118" i="11"/>
  <c r="B119" i="11"/>
  <c r="B120" i="11"/>
  <c r="B121" i="11"/>
  <c r="B122" i="11"/>
  <c r="B123" i="11"/>
  <c r="B124" i="11"/>
  <c r="B125" i="11"/>
  <c r="B126" i="11"/>
  <c r="B127" i="11"/>
  <c r="B128" i="11"/>
  <c r="B129" i="11"/>
  <c r="B130" i="11"/>
  <c r="B131" i="11"/>
  <c r="B132" i="11"/>
  <c r="B117" i="11"/>
  <c r="B102" i="11"/>
  <c r="B103" i="11"/>
  <c r="B104" i="11"/>
  <c r="B105" i="11"/>
  <c r="B106" i="11"/>
  <c r="B107" i="11"/>
  <c r="B108" i="11"/>
  <c r="B109" i="11"/>
  <c r="B110" i="11"/>
  <c r="B111" i="11"/>
  <c r="B112" i="11"/>
  <c r="B113" i="11"/>
  <c r="B114" i="11"/>
  <c r="B115" i="11"/>
  <c r="B116" i="11"/>
  <c r="B101" i="11"/>
  <c r="B86" i="11"/>
  <c r="B87" i="11"/>
  <c r="B88" i="11"/>
  <c r="B89" i="11"/>
  <c r="B90" i="11"/>
  <c r="B91" i="11"/>
  <c r="B92" i="11"/>
  <c r="B93" i="11"/>
  <c r="B94" i="11"/>
  <c r="B95" i="11"/>
  <c r="B96" i="11"/>
  <c r="B97" i="11"/>
  <c r="B98" i="11"/>
  <c r="B99" i="11"/>
  <c r="B100" i="11"/>
  <c r="B85" i="11"/>
  <c r="B70" i="11"/>
  <c r="B71" i="11"/>
  <c r="B72" i="11"/>
  <c r="B73" i="11"/>
  <c r="B74" i="11"/>
  <c r="B75" i="11"/>
  <c r="B76" i="11"/>
  <c r="B77" i="11"/>
  <c r="B78" i="11"/>
  <c r="B79" i="11"/>
  <c r="B80" i="11"/>
  <c r="B81" i="11"/>
  <c r="B82" i="11"/>
  <c r="B83" i="11"/>
  <c r="B84" i="11"/>
  <c r="B69" i="11"/>
  <c r="B54" i="11" l="1"/>
  <c r="B55" i="11"/>
  <c r="B56" i="11"/>
  <c r="B57" i="11"/>
  <c r="B58" i="11"/>
  <c r="B59" i="11"/>
  <c r="B60" i="11"/>
  <c r="B61" i="11"/>
  <c r="B62" i="11"/>
  <c r="B63" i="11"/>
  <c r="B64" i="11"/>
  <c r="B65" i="11"/>
  <c r="B66" i="11"/>
  <c r="B67" i="11"/>
  <c r="B68" i="11"/>
  <c r="B53" i="11"/>
  <c r="B38" i="11"/>
  <c r="B39" i="11"/>
  <c r="B40" i="11"/>
  <c r="B41" i="11"/>
  <c r="B42" i="11"/>
  <c r="B43" i="11"/>
  <c r="B44" i="11"/>
  <c r="B45" i="11"/>
  <c r="B46" i="11"/>
  <c r="B47" i="11"/>
  <c r="B48" i="11"/>
  <c r="B49" i="11"/>
  <c r="B50" i="11"/>
  <c r="B51" i="11"/>
  <c r="B52" i="11"/>
  <c r="B37" i="11"/>
  <c r="B22" i="11"/>
  <c r="B23" i="11"/>
  <c r="B24" i="11"/>
  <c r="B25" i="11"/>
  <c r="B26" i="11"/>
  <c r="B27" i="11"/>
  <c r="B28" i="11"/>
  <c r="B29" i="11"/>
  <c r="B30" i="11"/>
  <c r="B31" i="11"/>
  <c r="B32" i="11"/>
  <c r="B33" i="11"/>
  <c r="B34" i="11"/>
  <c r="B35" i="11"/>
  <c r="B36" i="11"/>
  <c r="B21" i="11"/>
  <c r="B20" i="11"/>
  <c r="B6" i="11"/>
  <c r="B7" i="11"/>
  <c r="B8" i="11"/>
  <c r="B9" i="11"/>
  <c r="B10" i="11"/>
  <c r="B11" i="11"/>
  <c r="B12" i="11"/>
  <c r="B13" i="11"/>
  <c r="B14" i="11"/>
  <c r="B15" i="11"/>
  <c r="B16" i="11"/>
  <c r="B17" i="11"/>
  <c r="B18" i="11"/>
  <c r="B19" i="11"/>
  <c r="B5" i="11"/>
  <c r="N34" i="6" l="1"/>
  <c r="U34" i="6" s="1"/>
  <c r="N33" i="6"/>
  <c r="U33" i="6" s="1"/>
  <c r="F24" i="1" l="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D7" i="1"/>
  <c r="D9" i="1"/>
  <c r="D10" i="1"/>
  <c r="D11" i="1"/>
  <c r="D13" i="1"/>
  <c r="D14" i="1"/>
  <c r="D17" i="1"/>
  <c r="D18" i="1"/>
  <c r="D19" i="1"/>
  <c r="D21" i="1"/>
  <c r="D22" i="1"/>
  <c r="D23" i="1"/>
  <c r="D25" i="1"/>
  <c r="D26" i="1"/>
  <c r="D27" i="1"/>
  <c r="D30" i="1"/>
  <c r="D31" i="1"/>
  <c r="D32" i="1"/>
  <c r="D33" i="1"/>
  <c r="D34" i="1"/>
  <c r="D35" i="1"/>
  <c r="D37" i="1"/>
  <c r="D38" i="1"/>
  <c r="D39" i="1"/>
  <c r="D40" i="1"/>
  <c r="D41" i="1"/>
  <c r="D42" i="1"/>
  <c r="D43" i="1"/>
  <c r="D45" i="1"/>
  <c r="D46" i="1"/>
  <c r="D47" i="1"/>
  <c r="D48" i="1"/>
  <c r="D49" i="1"/>
  <c r="D50" i="1"/>
  <c r="D51" i="1"/>
  <c r="D53" i="1"/>
  <c r="D54" i="1"/>
  <c r="D55" i="1"/>
  <c r="D56" i="1"/>
  <c r="D57" i="1"/>
  <c r="D58" i="1"/>
  <c r="D59" i="1"/>
  <c r="D61" i="1"/>
  <c r="D62" i="1"/>
  <c r="D63" i="1"/>
  <c r="D64" i="1"/>
  <c r="D65" i="1"/>
  <c r="D66" i="1"/>
  <c r="D67" i="1"/>
  <c r="D69" i="1"/>
  <c r="D70" i="1"/>
  <c r="D71" i="1"/>
  <c r="D72" i="1"/>
  <c r="D73" i="1"/>
  <c r="D74" i="1"/>
  <c r="D75" i="1"/>
  <c r="D76" i="1"/>
  <c r="D77" i="1"/>
  <c r="D78" i="1"/>
  <c r="D79" i="1"/>
  <c r="D80" i="1"/>
  <c r="D81" i="1"/>
  <c r="D82" i="1"/>
  <c r="D83" i="1"/>
  <c r="D85" i="1"/>
  <c r="D86" i="1"/>
  <c r="D87" i="1"/>
  <c r="D88" i="1"/>
  <c r="D89" i="1"/>
  <c r="D90" i="1"/>
  <c r="D91" i="1"/>
  <c r="D93" i="1"/>
  <c r="D94" i="1"/>
  <c r="D95" i="1"/>
  <c r="D96" i="1"/>
  <c r="D97" i="1"/>
  <c r="D98" i="1"/>
  <c r="D99" i="1"/>
  <c r="D101" i="1"/>
  <c r="D102" i="1"/>
  <c r="D103" i="1"/>
  <c r="D104" i="1"/>
  <c r="D105" i="1"/>
  <c r="D106" i="1"/>
  <c r="D107" i="1"/>
  <c r="D108" i="1"/>
  <c r="D109" i="1"/>
  <c r="D110" i="1"/>
  <c r="D111" i="1"/>
  <c r="D112" i="1"/>
  <c r="D113" i="1"/>
  <c r="D114" i="1"/>
  <c r="D115" i="1"/>
  <c r="D117" i="1"/>
  <c r="D118" i="1"/>
  <c r="D119" i="1"/>
  <c r="D120" i="1"/>
  <c r="D121" i="1"/>
  <c r="D122" i="1"/>
  <c r="D123" i="1"/>
  <c r="D125" i="1"/>
  <c r="D126" i="1"/>
  <c r="D127" i="1"/>
  <c r="D128" i="1"/>
  <c r="D129" i="1"/>
  <c r="D130" i="1"/>
  <c r="D131" i="1"/>
  <c r="D133" i="1"/>
  <c r="D134" i="1"/>
  <c r="D135" i="1"/>
  <c r="D136" i="1"/>
  <c r="D137" i="1"/>
  <c r="D138" i="1"/>
  <c r="D139" i="1"/>
  <c r="D140" i="1"/>
  <c r="D141" i="1"/>
  <c r="D142" i="1"/>
  <c r="D143" i="1"/>
  <c r="D144" i="1"/>
  <c r="D146" i="1"/>
  <c r="D147" i="1"/>
  <c r="D148" i="1"/>
  <c r="D149" i="1"/>
  <c r="D150" i="1"/>
  <c r="D151" i="1"/>
  <c r="D153" i="1"/>
  <c r="D154" i="1"/>
  <c r="D155" i="1"/>
  <c r="D156" i="1"/>
  <c r="D157" i="1"/>
  <c r="D158" i="1"/>
  <c r="D159" i="1"/>
  <c r="D161" i="1"/>
  <c r="D162" i="1"/>
  <c r="D163" i="1"/>
  <c r="D164" i="1"/>
  <c r="D165" i="1"/>
  <c r="D166" i="1"/>
  <c r="D167" i="1"/>
  <c r="D169" i="1"/>
  <c r="D170" i="1"/>
  <c r="D171" i="1"/>
  <c r="D172" i="1"/>
  <c r="D173" i="1"/>
  <c r="D174" i="1"/>
  <c r="D175" i="1"/>
  <c r="D176" i="1"/>
  <c r="D177" i="1"/>
  <c r="D178" i="1"/>
  <c r="D179" i="1"/>
  <c r="D180" i="1"/>
  <c r="D181" i="1"/>
  <c r="D182" i="1"/>
  <c r="D183" i="1"/>
  <c r="D185" i="1"/>
  <c r="D186" i="1"/>
  <c r="D187" i="1"/>
  <c r="D188" i="1"/>
  <c r="D189" i="1"/>
  <c r="D190" i="1"/>
  <c r="D191" i="1"/>
  <c r="D193" i="1"/>
  <c r="D194" i="1"/>
  <c r="D195" i="1"/>
  <c r="D196" i="1"/>
  <c r="D197" i="1"/>
  <c r="D198" i="1"/>
  <c r="D199" i="1"/>
  <c r="D201" i="1"/>
  <c r="D202" i="1"/>
  <c r="D203" i="1"/>
  <c r="D204" i="1"/>
  <c r="D205" i="1"/>
  <c r="D206" i="1"/>
  <c r="D207" i="1"/>
  <c r="D208" i="1"/>
  <c r="D209" i="1"/>
  <c r="D210" i="1"/>
  <c r="D211" i="1"/>
  <c r="D212" i="1"/>
  <c r="D213" i="1"/>
  <c r="D214" i="1"/>
  <c r="D215" i="1"/>
  <c r="D217" i="1"/>
  <c r="D218" i="1"/>
  <c r="D219" i="1"/>
  <c r="D220" i="1"/>
  <c r="D221" i="1"/>
  <c r="D222" i="1"/>
  <c r="D223" i="1"/>
  <c r="D225" i="1"/>
  <c r="D226" i="1"/>
  <c r="D227" i="1"/>
  <c r="D228" i="1"/>
  <c r="D229" i="1"/>
  <c r="D230" i="1"/>
  <c r="D231" i="1"/>
  <c r="D233" i="1"/>
  <c r="D234" i="1"/>
  <c r="D235" i="1"/>
  <c r="D236" i="1"/>
  <c r="D237" i="1"/>
  <c r="D238" i="1"/>
  <c r="D239" i="1"/>
  <c r="D240" i="1"/>
  <c r="D241" i="1"/>
  <c r="D242" i="1"/>
  <c r="D243" i="1"/>
  <c r="D244" i="1"/>
  <c r="D245" i="1"/>
  <c r="D246" i="1"/>
  <c r="D247" i="1"/>
  <c r="D249" i="1"/>
  <c r="D250" i="1"/>
  <c r="D251" i="1"/>
  <c r="D252" i="1"/>
  <c r="D253" i="1"/>
  <c r="D254" i="1"/>
  <c r="D255" i="1"/>
  <c r="D257" i="1"/>
  <c r="D258" i="1"/>
  <c r="D259" i="1"/>
  <c r="D260" i="1"/>
  <c r="D261" i="1"/>
  <c r="D262" i="1"/>
  <c r="D263" i="1"/>
  <c r="D265" i="1"/>
  <c r="D266" i="1"/>
  <c r="D267" i="1"/>
  <c r="D268" i="1"/>
  <c r="D269" i="1"/>
  <c r="D270" i="1"/>
  <c r="D271" i="1"/>
  <c r="D272" i="1"/>
  <c r="D273" i="1"/>
  <c r="D274" i="1"/>
  <c r="D275" i="1"/>
  <c r="D277" i="1"/>
  <c r="D278" i="1"/>
  <c r="D279" i="1"/>
  <c r="D280" i="1"/>
  <c r="D281" i="1"/>
  <c r="D282" i="1"/>
  <c r="D285" i="1"/>
  <c r="D286" i="1"/>
  <c r="D287" i="1"/>
  <c r="D288" i="1"/>
  <c r="D289" i="1"/>
  <c r="D290" i="1"/>
  <c r="D291" i="1"/>
  <c r="D293" i="1"/>
  <c r="D294" i="1"/>
  <c r="D295" i="1"/>
  <c r="D296" i="1"/>
  <c r="D297" i="1"/>
  <c r="D298" i="1"/>
  <c r="D299" i="1"/>
  <c r="D300" i="1"/>
  <c r="D301" i="1"/>
  <c r="D302" i="1"/>
  <c r="D303" i="1"/>
  <c r="D304" i="1"/>
  <c r="D305" i="1"/>
  <c r="D306" i="1"/>
  <c r="D307" i="1"/>
  <c r="D309" i="1"/>
  <c r="D310" i="1"/>
  <c r="D311" i="1"/>
  <c r="D312" i="1"/>
  <c r="D313" i="1"/>
  <c r="D314" i="1"/>
  <c r="D315" i="1"/>
  <c r="D317" i="1"/>
  <c r="D318" i="1"/>
  <c r="D319" i="1"/>
  <c r="D320" i="1"/>
  <c r="D321" i="1"/>
  <c r="D322" i="1"/>
  <c r="D323" i="1"/>
  <c r="D325" i="1"/>
  <c r="D326" i="1"/>
  <c r="D327" i="1"/>
  <c r="D328" i="1"/>
  <c r="D329" i="1"/>
  <c r="D330" i="1"/>
  <c r="D331" i="1"/>
  <c r="D332" i="1"/>
  <c r="D333" i="1"/>
  <c r="D334" i="1"/>
  <c r="D335" i="1"/>
  <c r="D336" i="1"/>
  <c r="D337" i="1"/>
  <c r="D338" i="1"/>
  <c r="D339" i="1"/>
  <c r="D341" i="1"/>
  <c r="D342" i="1"/>
  <c r="D343" i="1"/>
  <c r="D344" i="1"/>
  <c r="D345" i="1"/>
  <c r="D346" i="1"/>
  <c r="D347" i="1"/>
  <c r="D349" i="1"/>
  <c r="D350" i="1"/>
  <c r="D351" i="1"/>
  <c r="D352" i="1"/>
  <c r="D353" i="1"/>
  <c r="D354" i="1"/>
  <c r="D355" i="1"/>
  <c r="D357" i="1"/>
  <c r="D358" i="1"/>
  <c r="D359" i="1"/>
  <c r="D360" i="1"/>
  <c r="D361" i="1"/>
  <c r="D362" i="1"/>
  <c r="D363" i="1"/>
  <c r="D364" i="1"/>
  <c r="D365" i="1"/>
  <c r="D366" i="1"/>
  <c r="D367" i="1"/>
  <c r="D368" i="1"/>
  <c r="D369" i="1"/>
  <c r="D370" i="1"/>
  <c r="D371" i="1"/>
  <c r="D373" i="1"/>
  <c r="D374" i="1"/>
  <c r="D375" i="1"/>
  <c r="D376" i="1"/>
  <c r="D377" i="1"/>
  <c r="D378" i="1"/>
  <c r="D379" i="1"/>
  <c r="D381" i="1"/>
  <c r="D382" i="1"/>
  <c r="D383" i="1"/>
  <c r="D384" i="1"/>
  <c r="D385" i="1"/>
  <c r="D386" i="1"/>
  <c r="D387" i="1"/>
  <c r="D389" i="1"/>
  <c r="D390" i="1"/>
  <c r="D391" i="1"/>
  <c r="D392" i="1"/>
  <c r="D393" i="1"/>
  <c r="D394" i="1"/>
  <c r="D395" i="1"/>
  <c r="D396" i="1"/>
  <c r="D397" i="1"/>
  <c r="D398" i="1"/>
  <c r="D399" i="1"/>
  <c r="D400" i="1"/>
  <c r="D401" i="1"/>
  <c r="D402" i="1"/>
  <c r="D403" i="1"/>
  <c r="D405" i="1"/>
  <c r="D406" i="1"/>
  <c r="D407" i="1"/>
  <c r="D409" i="1"/>
  <c r="D410" i="1"/>
  <c r="D411" i="1"/>
  <c r="D413" i="1"/>
  <c r="D414" i="1"/>
  <c r="D415" i="1"/>
  <c r="D417" i="1"/>
  <c r="D418" i="1"/>
  <c r="D419" i="1"/>
  <c r="D420" i="1"/>
  <c r="D421" i="1"/>
  <c r="D422" i="1"/>
  <c r="D423" i="1"/>
  <c r="D424" i="1"/>
  <c r="D425" i="1"/>
  <c r="D426" i="1"/>
  <c r="D427" i="1"/>
  <c r="D428" i="1"/>
  <c r="D429" i="1"/>
  <c r="D430" i="1"/>
  <c r="D431" i="1"/>
  <c r="D433" i="1"/>
  <c r="D434" i="1"/>
  <c r="D435" i="1"/>
  <c r="D436" i="1"/>
  <c r="D437" i="1"/>
  <c r="D438" i="1"/>
  <c r="D439" i="1"/>
  <c r="D441" i="1"/>
  <c r="D442" i="1"/>
  <c r="D443" i="1"/>
  <c r="D444" i="1"/>
  <c r="D445" i="1"/>
  <c r="D446" i="1"/>
  <c r="D447" i="1"/>
  <c r="D449" i="1"/>
  <c r="D450" i="1"/>
  <c r="D451" i="1"/>
  <c r="D452" i="1"/>
  <c r="D453" i="1"/>
  <c r="D454" i="1"/>
  <c r="D455" i="1"/>
  <c r="D456" i="1"/>
  <c r="D457" i="1"/>
  <c r="D458" i="1"/>
  <c r="D459" i="1"/>
  <c r="D460" i="1"/>
  <c r="D461" i="1"/>
  <c r="D462" i="1"/>
  <c r="D463" i="1"/>
  <c r="D465" i="1"/>
  <c r="D466" i="1"/>
  <c r="D467" i="1"/>
  <c r="D468" i="1"/>
  <c r="D469" i="1"/>
  <c r="D470" i="1"/>
  <c r="D471" i="1"/>
  <c r="D473" i="1"/>
  <c r="D474" i="1"/>
  <c r="D475" i="1"/>
  <c r="D476" i="1"/>
  <c r="D477" i="1"/>
  <c r="D478" i="1"/>
  <c r="D479" i="1"/>
  <c r="D480" i="1"/>
  <c r="D481" i="1"/>
  <c r="D482" i="1"/>
  <c r="D483" i="1"/>
  <c r="D484" i="1"/>
  <c r="D485" i="1"/>
  <c r="D486" i="1"/>
  <c r="D487" i="1"/>
  <c r="D489" i="1"/>
  <c r="D490" i="1"/>
  <c r="D491" i="1"/>
  <c r="D492" i="1"/>
  <c r="D493" i="1"/>
  <c r="D494" i="1"/>
  <c r="D495" i="1"/>
  <c r="D497" i="1"/>
  <c r="D498" i="1"/>
  <c r="D499" i="1"/>
  <c r="D500" i="1"/>
  <c r="D501" i="1"/>
  <c r="D502" i="1"/>
  <c r="D503" i="1"/>
  <c r="D505" i="1"/>
  <c r="D506" i="1"/>
  <c r="D507" i="1"/>
  <c r="D508" i="1"/>
  <c r="D509" i="1"/>
  <c r="D510" i="1"/>
  <c r="D511" i="1"/>
  <c r="D512" i="1"/>
  <c r="D513" i="1"/>
  <c r="D514" i="1"/>
  <c r="D515" i="1"/>
  <c r="D516" i="1"/>
  <c r="D517" i="1"/>
  <c r="D518" i="1"/>
  <c r="D519" i="1"/>
  <c r="D521" i="1"/>
  <c r="D522" i="1"/>
  <c r="D523" i="1"/>
  <c r="D524" i="1"/>
  <c r="D525" i="1"/>
  <c r="D526" i="1"/>
  <c r="D527" i="1"/>
  <c r="D530" i="1"/>
  <c r="D532" i="1"/>
  <c r="D533" i="1"/>
  <c r="D534" i="1"/>
  <c r="D535" i="1"/>
  <c r="D537" i="1"/>
  <c r="D538" i="1"/>
  <c r="D539" i="1"/>
  <c r="D540" i="1"/>
  <c r="D541" i="1"/>
  <c r="D542" i="1"/>
  <c r="D543" i="1"/>
  <c r="D544" i="1"/>
  <c r="D545" i="1"/>
  <c r="D546" i="1"/>
  <c r="D547" i="1"/>
  <c r="D549" i="1"/>
  <c r="D550" i="1"/>
  <c r="D551" i="1"/>
  <c r="D552" i="1"/>
  <c r="D553" i="1"/>
  <c r="D554" i="1"/>
  <c r="D555" i="1"/>
  <c r="D556" i="1"/>
  <c r="D557" i="1"/>
  <c r="D558" i="1"/>
  <c r="D559" i="1"/>
  <c r="D560" i="1"/>
  <c r="D561" i="1"/>
  <c r="D562" i="1"/>
  <c r="D563" i="1"/>
  <c r="D564" i="1"/>
  <c r="D565" i="1"/>
  <c r="D566" i="1"/>
  <c r="D567" i="1"/>
  <c r="D568" i="1"/>
  <c r="D569" i="1"/>
  <c r="D570" i="1"/>
  <c r="D571" i="1"/>
  <c r="D573" i="1"/>
  <c r="D574" i="1"/>
  <c r="D575" i="1"/>
  <c r="D576" i="1"/>
  <c r="D577" i="1"/>
  <c r="D578" i="1"/>
  <c r="D579" i="1"/>
  <c r="D581" i="1"/>
  <c r="D582" i="1"/>
  <c r="D583" i="1"/>
  <c r="D584" i="1"/>
  <c r="D585" i="1"/>
  <c r="D586" i="1"/>
  <c r="D587" i="1"/>
  <c r="D588" i="1"/>
  <c r="D589" i="1"/>
  <c r="D590" i="1"/>
  <c r="D591" i="1"/>
  <c r="D592" i="1"/>
  <c r="D593" i="1"/>
  <c r="D594" i="1"/>
  <c r="D595" i="1"/>
  <c r="D597" i="1"/>
  <c r="D598" i="1"/>
  <c r="D599" i="1"/>
  <c r="D600" i="1"/>
  <c r="D601" i="1"/>
  <c r="D602" i="1"/>
  <c r="D603" i="1"/>
  <c r="D605" i="1"/>
  <c r="D606" i="1"/>
  <c r="D607" i="1"/>
  <c r="D608" i="1"/>
  <c r="D609" i="1"/>
  <c r="D610" i="1"/>
  <c r="D611" i="1"/>
  <c r="D613" i="1"/>
  <c r="D614" i="1"/>
  <c r="D615" i="1"/>
  <c r="D616" i="1"/>
  <c r="D617" i="1"/>
  <c r="D618" i="1"/>
  <c r="D619" i="1"/>
  <c r="D620" i="1"/>
  <c r="D621" i="1"/>
  <c r="D622" i="1"/>
  <c r="D623" i="1"/>
  <c r="D624" i="1"/>
  <c r="D625" i="1"/>
  <c r="D626" i="1"/>
  <c r="D627" i="1"/>
  <c r="D629" i="1"/>
  <c r="D630" i="1"/>
  <c r="D631" i="1"/>
  <c r="D632" i="1"/>
  <c r="D633" i="1"/>
  <c r="D634" i="1"/>
  <c r="D635"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5" i="1"/>
  <c r="D666" i="1"/>
  <c r="D667" i="1"/>
  <c r="D668" i="1"/>
  <c r="D669" i="1"/>
  <c r="D670" i="1"/>
  <c r="D673" i="1"/>
  <c r="D674" i="1"/>
  <c r="D675" i="1"/>
  <c r="D676" i="1"/>
  <c r="D677" i="1"/>
  <c r="D678" i="1"/>
  <c r="D679" i="1"/>
  <c r="D680" i="1"/>
  <c r="D681" i="1"/>
  <c r="D682" i="1"/>
  <c r="D683" i="1"/>
  <c r="D684" i="1"/>
  <c r="D685" i="1"/>
  <c r="D686" i="1"/>
  <c r="D687" i="1"/>
  <c r="D689" i="1"/>
  <c r="D690" i="1"/>
  <c r="D691" i="1"/>
  <c r="D692" i="1"/>
  <c r="D693" i="1"/>
  <c r="D694" i="1"/>
  <c r="D695" i="1"/>
  <c r="D696" i="1"/>
  <c r="D697" i="1"/>
  <c r="D698" i="1"/>
  <c r="D699" i="1"/>
  <c r="D700" i="1"/>
  <c r="D701" i="1"/>
  <c r="D702" i="1"/>
  <c r="D703" i="1"/>
  <c r="D705" i="1"/>
  <c r="D706" i="1"/>
  <c r="D707" i="1"/>
  <c r="D708" i="1"/>
  <c r="D709" i="1"/>
  <c r="D710" i="1"/>
  <c r="D711" i="1"/>
  <c r="D713" i="1"/>
  <c r="D714" i="1"/>
  <c r="D715" i="1"/>
  <c r="D716" i="1"/>
  <c r="D717" i="1"/>
  <c r="D718" i="1"/>
  <c r="D719" i="1"/>
  <c r="D721" i="1"/>
  <c r="D722" i="1"/>
  <c r="D723" i="1"/>
  <c r="D724" i="1"/>
  <c r="D725" i="1"/>
  <c r="D726" i="1"/>
  <c r="D727" i="1"/>
  <c r="D728" i="1"/>
  <c r="D729" i="1"/>
  <c r="D730" i="1"/>
  <c r="D731" i="1"/>
  <c r="D732" i="1"/>
  <c r="D733" i="1"/>
  <c r="D734" i="1"/>
  <c r="D735" i="1"/>
  <c r="D737" i="1"/>
  <c r="D738" i="1"/>
  <c r="D739" i="1"/>
  <c r="D741" i="1"/>
  <c r="D742" i="1"/>
  <c r="D743" i="1"/>
  <c r="D744" i="1"/>
  <c r="D745" i="1"/>
  <c r="D746" i="1"/>
  <c r="D747" i="1"/>
  <c r="D748" i="1"/>
  <c r="D749" i="1"/>
  <c r="D750" i="1"/>
  <c r="D751" i="1"/>
  <c r="D752" i="1"/>
  <c r="D753" i="1"/>
  <c r="D754" i="1"/>
  <c r="D755" i="1"/>
  <c r="D757" i="1"/>
  <c r="D758" i="1"/>
  <c r="D759" i="1"/>
  <c r="D760" i="1"/>
  <c r="D761" i="1"/>
  <c r="D762" i="1"/>
  <c r="D763" i="1"/>
  <c r="D764" i="1"/>
  <c r="D765" i="1"/>
  <c r="D766" i="1"/>
  <c r="D767" i="1"/>
  <c r="D768" i="1"/>
  <c r="D769" i="1"/>
  <c r="D770" i="1"/>
  <c r="D771" i="1"/>
  <c r="D773" i="1"/>
  <c r="D774" i="1"/>
  <c r="D775" i="1"/>
  <c r="D777" i="1"/>
  <c r="D778" i="1"/>
  <c r="D779" i="1"/>
  <c r="D781" i="1"/>
  <c r="D782" i="1"/>
  <c r="D783" i="1"/>
  <c r="D785" i="1"/>
  <c r="D786" i="1"/>
  <c r="D787" i="1"/>
  <c r="D789" i="1"/>
  <c r="D790" i="1"/>
  <c r="D791" i="1"/>
  <c r="D793" i="1"/>
  <c r="D794" i="1"/>
  <c r="D795" i="1"/>
  <c r="D797" i="1"/>
  <c r="D798" i="1"/>
  <c r="D799" i="1"/>
  <c r="D801" i="1"/>
  <c r="D802" i="1"/>
  <c r="D803" i="1"/>
  <c r="D804" i="1"/>
  <c r="D805" i="1"/>
  <c r="D806" i="1"/>
  <c r="D807" i="1"/>
  <c r="D808" i="1"/>
  <c r="D809" i="1"/>
  <c r="D810" i="1"/>
  <c r="D811" i="1"/>
  <c r="D813" i="1"/>
  <c r="D814" i="1"/>
  <c r="D815" i="1"/>
  <c r="D816" i="1"/>
  <c r="D817" i="1"/>
  <c r="D818" i="1"/>
  <c r="D819" i="1"/>
  <c r="D821" i="1"/>
  <c r="D822" i="1"/>
  <c r="D823" i="1"/>
  <c r="D824" i="1"/>
  <c r="D825" i="1"/>
  <c r="D826" i="1"/>
  <c r="D827" i="1"/>
  <c r="D829" i="1"/>
  <c r="D830" i="1"/>
  <c r="D831" i="1"/>
  <c r="D832" i="1"/>
  <c r="D833" i="1"/>
  <c r="D834" i="1"/>
  <c r="D835" i="1"/>
  <c r="D836" i="1"/>
  <c r="D837" i="1"/>
  <c r="D838" i="1"/>
  <c r="D839" i="1"/>
  <c r="D840" i="1"/>
  <c r="D841" i="1"/>
  <c r="D842" i="1"/>
  <c r="D843" i="1"/>
  <c r="D845" i="1"/>
  <c r="D846" i="1"/>
  <c r="D847" i="1"/>
  <c r="D848" i="1"/>
  <c r="D849" i="1"/>
  <c r="D850" i="1"/>
  <c r="D851" i="1"/>
  <c r="D852" i="1"/>
  <c r="D853" i="1"/>
  <c r="D854" i="1"/>
  <c r="D855" i="1"/>
  <c r="D856" i="1"/>
  <c r="D857" i="1"/>
  <c r="D858" i="1"/>
  <c r="D859" i="1"/>
  <c r="D861" i="1"/>
  <c r="D862" i="1"/>
  <c r="D863" i="1"/>
  <c r="D864" i="1"/>
  <c r="D865" i="1"/>
  <c r="D866" i="1"/>
  <c r="D867" i="1"/>
  <c r="D868" i="1"/>
  <c r="D869" i="1"/>
  <c r="D870" i="1"/>
  <c r="D871" i="1"/>
  <c r="D873" i="1"/>
  <c r="D874" i="1"/>
  <c r="D875" i="1"/>
  <c r="D876" i="1"/>
  <c r="D877" i="1"/>
  <c r="D878" i="1"/>
  <c r="D879" i="1"/>
  <c r="D880" i="1"/>
  <c r="D881" i="1"/>
  <c r="D882" i="1"/>
  <c r="D883" i="1"/>
  <c r="D885" i="1"/>
  <c r="D886" i="1"/>
  <c r="D887" i="1"/>
  <c r="D888" i="1"/>
  <c r="D889" i="1"/>
  <c r="D890" i="1"/>
  <c r="D891" i="1"/>
  <c r="D892" i="1"/>
  <c r="D893" i="1"/>
  <c r="D894" i="1"/>
  <c r="D895" i="1"/>
  <c r="D896" i="1"/>
  <c r="D897" i="1"/>
  <c r="D898" i="1"/>
  <c r="D899" i="1"/>
  <c r="D900" i="1"/>
  <c r="D901" i="1"/>
  <c r="D902" i="1"/>
  <c r="D903" i="1"/>
  <c r="D905" i="1"/>
  <c r="D906" i="1"/>
  <c r="D907" i="1"/>
  <c r="D908" i="1"/>
  <c r="D909" i="1"/>
  <c r="D910" i="1"/>
  <c r="D911" i="1"/>
  <c r="D912" i="1"/>
  <c r="D913" i="1"/>
  <c r="D914" i="1"/>
  <c r="D915" i="1"/>
  <c r="D916" i="1"/>
  <c r="D917" i="1"/>
  <c r="D918" i="1"/>
  <c r="D919" i="1"/>
  <c r="D920" i="1"/>
  <c r="D921" i="1"/>
  <c r="D922" i="1"/>
  <c r="D923" i="1"/>
  <c r="D925" i="1"/>
  <c r="D926" i="1"/>
  <c r="D927" i="1"/>
  <c r="D928" i="1"/>
  <c r="D929" i="1"/>
  <c r="D930" i="1"/>
  <c r="D931" i="1"/>
  <c r="D932" i="1"/>
  <c r="D933" i="1"/>
  <c r="D934" i="1"/>
  <c r="D935" i="1"/>
  <c r="D936" i="1"/>
  <c r="D937" i="1"/>
  <c r="D938" i="1"/>
  <c r="D939" i="1"/>
  <c r="D941" i="1"/>
  <c r="D942" i="1"/>
  <c r="D943" i="1"/>
  <c r="D944" i="1"/>
  <c r="D945" i="1"/>
  <c r="D946" i="1"/>
  <c r="D947" i="1"/>
  <c r="D949" i="1"/>
  <c r="D950" i="1"/>
  <c r="D951" i="1"/>
  <c r="D952" i="1"/>
  <c r="D953" i="1"/>
  <c r="D954" i="1"/>
  <c r="D955" i="1"/>
  <c r="D956" i="1"/>
  <c r="D957" i="1"/>
  <c r="D958" i="1"/>
  <c r="D959" i="1"/>
  <c r="D960" i="1"/>
  <c r="D961" i="1"/>
  <c r="D962" i="1"/>
  <c r="D963" i="1"/>
  <c r="D965" i="1"/>
  <c r="D966" i="1"/>
  <c r="D967" i="1"/>
  <c r="D968" i="1"/>
  <c r="D969" i="1"/>
  <c r="D970" i="1"/>
  <c r="D971" i="1"/>
  <c r="D972" i="1"/>
  <c r="D973" i="1"/>
  <c r="D974" i="1"/>
  <c r="D975" i="1"/>
  <c r="D976" i="1"/>
  <c r="D977" i="1"/>
  <c r="D978" i="1"/>
  <c r="D979" i="1"/>
  <c r="D980" i="1"/>
  <c r="D981" i="1"/>
  <c r="D982" i="1"/>
  <c r="D983" i="1"/>
  <c r="D984" i="1"/>
  <c r="D985" i="1"/>
  <c r="D986" i="1"/>
  <c r="D987" i="1"/>
  <c r="D989" i="1"/>
  <c r="D990" i="1"/>
  <c r="D991" i="1"/>
  <c r="D992" i="1"/>
  <c r="D993" i="1"/>
  <c r="D994" i="1"/>
  <c r="D995" i="1"/>
  <c r="D996" i="1"/>
  <c r="D997" i="1"/>
  <c r="D998" i="1"/>
  <c r="D999" i="1"/>
  <c r="D1000" i="1"/>
  <c r="D8" i="1"/>
  <c r="D12" i="1"/>
  <c r="D15" i="1"/>
  <c r="D16" i="1"/>
  <c r="D20" i="1"/>
  <c r="D24" i="1"/>
  <c r="D28" i="1"/>
  <c r="D29" i="1"/>
  <c r="D36" i="1"/>
  <c r="D44" i="1"/>
  <c r="D52" i="1"/>
  <c r="D60" i="1"/>
  <c r="D68" i="1"/>
  <c r="D84" i="1"/>
  <c r="D92" i="1"/>
  <c r="D100" i="1"/>
  <c r="D116" i="1"/>
  <c r="D124" i="1"/>
  <c r="D132" i="1"/>
  <c r="D145" i="1"/>
  <c r="D152" i="1"/>
  <c r="D160" i="1"/>
  <c r="D168" i="1"/>
  <c r="D184" i="1"/>
  <c r="D192" i="1"/>
  <c r="D200" i="1"/>
  <c r="D216" i="1"/>
  <c r="D224" i="1"/>
  <c r="D232" i="1"/>
  <c r="D248" i="1"/>
  <c r="D256" i="1"/>
  <c r="D264" i="1"/>
  <c r="D276" i="1"/>
  <c r="D283" i="1"/>
  <c r="D284" i="1"/>
  <c r="D292" i="1"/>
  <c r="D308" i="1"/>
  <c r="D316" i="1"/>
  <c r="D324" i="1"/>
  <c r="D340" i="1"/>
  <c r="D348" i="1"/>
  <c r="D356" i="1"/>
  <c r="D372" i="1"/>
  <c r="D380" i="1"/>
  <c r="D388" i="1"/>
  <c r="D404" i="1"/>
  <c r="D408" i="1"/>
  <c r="D412" i="1"/>
  <c r="D416" i="1"/>
  <c r="D432" i="1"/>
  <c r="D440" i="1"/>
  <c r="D448" i="1"/>
  <c r="D464" i="1"/>
  <c r="D472" i="1"/>
  <c r="D488" i="1"/>
  <c r="D496" i="1"/>
  <c r="D504" i="1"/>
  <c r="D520" i="1"/>
  <c r="D528" i="1"/>
  <c r="D529" i="1"/>
  <c r="D531" i="1"/>
  <c r="D536" i="1"/>
  <c r="D548" i="1"/>
  <c r="D572" i="1"/>
  <c r="D580" i="1"/>
  <c r="D596" i="1"/>
  <c r="D604" i="1"/>
  <c r="D612" i="1"/>
  <c r="D628" i="1"/>
  <c r="D636" i="1"/>
  <c r="D664" i="1"/>
  <c r="D671" i="1"/>
  <c r="D672" i="1"/>
  <c r="D688" i="1"/>
  <c r="D704" i="1"/>
  <c r="D712" i="1"/>
  <c r="D720" i="1"/>
  <c r="D736" i="1"/>
  <c r="D740" i="1"/>
  <c r="D756" i="1"/>
  <c r="D772" i="1"/>
  <c r="D776" i="1"/>
  <c r="D780" i="1"/>
  <c r="D784" i="1"/>
  <c r="D788" i="1"/>
  <c r="D792" i="1"/>
  <c r="D796" i="1"/>
  <c r="D800" i="1"/>
  <c r="D812" i="1"/>
  <c r="D820" i="1"/>
  <c r="D828" i="1"/>
  <c r="D844" i="1"/>
  <c r="D860" i="1"/>
  <c r="D872" i="1"/>
  <c r="D884" i="1"/>
  <c r="D904" i="1"/>
  <c r="D924" i="1"/>
  <c r="D940" i="1"/>
  <c r="D948" i="1"/>
  <c r="D964" i="1"/>
  <c r="D988" i="1"/>
  <c r="D6" i="1"/>
  <c r="U22" i="6" l="1"/>
  <c r="U21" i="6"/>
  <c r="N19" i="6"/>
  <c r="U19" i="6" s="1"/>
  <c r="N7" i="6"/>
  <c r="U7" i="6" s="1"/>
  <c r="N8" i="6"/>
  <c r="U8" i="6" s="1"/>
  <c r="R22" i="6" l="1"/>
  <c r="I163" i="11"/>
  <c r="E163" i="11"/>
  <c r="I147" i="11"/>
  <c r="E147" i="11"/>
  <c r="I131" i="11"/>
  <c r="E131" i="11"/>
  <c r="I115" i="11"/>
  <c r="E115" i="11"/>
  <c r="I162" i="11"/>
  <c r="G162" i="11"/>
  <c r="E162" i="11"/>
  <c r="I146" i="11"/>
  <c r="G146" i="11"/>
  <c r="E146" i="11"/>
  <c r="I130" i="11"/>
  <c r="G130" i="11"/>
  <c r="E130" i="11"/>
  <c r="I114" i="11"/>
  <c r="G114" i="11"/>
  <c r="E114" i="11"/>
  <c r="I161" i="11"/>
  <c r="G161" i="11"/>
  <c r="E161" i="11"/>
  <c r="I145" i="11"/>
  <c r="G145" i="11"/>
  <c r="E145" i="11"/>
  <c r="I129" i="11"/>
  <c r="G129" i="11"/>
  <c r="E129" i="11"/>
  <c r="I113" i="11"/>
  <c r="G113" i="11"/>
  <c r="E113" i="11"/>
  <c r="I160" i="11"/>
  <c r="G160" i="11"/>
  <c r="E160" i="11"/>
  <c r="I144" i="11"/>
  <c r="G144" i="11"/>
  <c r="E144" i="11"/>
  <c r="I128" i="11"/>
  <c r="G128" i="11"/>
  <c r="E128" i="11"/>
  <c r="I112" i="11"/>
  <c r="G112" i="11"/>
  <c r="E112" i="11"/>
  <c r="I159" i="11"/>
  <c r="G159" i="11"/>
  <c r="E159" i="11"/>
  <c r="I143" i="11"/>
  <c r="G143" i="11"/>
  <c r="E143" i="11"/>
  <c r="I127" i="11"/>
  <c r="G127" i="11"/>
  <c r="E127" i="11"/>
  <c r="I111" i="11"/>
  <c r="G111" i="11"/>
  <c r="E111" i="11"/>
  <c r="I158" i="11"/>
  <c r="G158" i="11"/>
  <c r="E158" i="11"/>
  <c r="I142" i="11"/>
  <c r="G142" i="11"/>
  <c r="E142" i="11"/>
  <c r="I126" i="11"/>
  <c r="G126" i="11"/>
  <c r="E126" i="11"/>
  <c r="I110" i="11"/>
  <c r="G110" i="11"/>
  <c r="E110" i="11"/>
  <c r="I157" i="11"/>
  <c r="G157" i="11"/>
  <c r="E157" i="11"/>
  <c r="I141" i="11"/>
  <c r="G141" i="11"/>
  <c r="E141" i="11"/>
  <c r="I125" i="11"/>
  <c r="G125" i="11"/>
  <c r="E125" i="11"/>
  <c r="I109" i="11"/>
  <c r="G109" i="11"/>
  <c r="E109" i="11"/>
  <c r="I156" i="11"/>
  <c r="G156" i="11"/>
  <c r="E156" i="11"/>
  <c r="I140" i="11"/>
  <c r="G140" i="11"/>
  <c r="E140" i="11"/>
  <c r="I124" i="11"/>
  <c r="G124" i="11"/>
  <c r="E124" i="11"/>
  <c r="I108" i="11"/>
  <c r="G108" i="11"/>
  <c r="E108" i="11"/>
  <c r="I155" i="11"/>
  <c r="G155" i="11"/>
  <c r="E155" i="11"/>
  <c r="I139" i="11"/>
  <c r="G139" i="11"/>
  <c r="E139" i="11"/>
  <c r="I123" i="11"/>
  <c r="G123" i="11"/>
  <c r="E123" i="11"/>
  <c r="I107" i="11"/>
  <c r="G107" i="11"/>
  <c r="E107" i="11"/>
  <c r="I154" i="11"/>
  <c r="G154" i="11"/>
  <c r="E154" i="11"/>
  <c r="I138" i="11"/>
  <c r="G138" i="11"/>
  <c r="E138" i="11"/>
  <c r="I122" i="11"/>
  <c r="G122" i="11"/>
  <c r="E122" i="11"/>
  <c r="I106" i="11"/>
  <c r="G106" i="11"/>
  <c r="E106" i="11"/>
  <c r="I153" i="11"/>
  <c r="G153" i="11"/>
  <c r="E153" i="11"/>
  <c r="I137" i="11"/>
  <c r="G137" i="11"/>
  <c r="E137" i="11"/>
  <c r="I121" i="11"/>
  <c r="G121" i="11"/>
  <c r="E121" i="11"/>
  <c r="I105" i="11"/>
  <c r="G105" i="11"/>
  <c r="E105" i="11"/>
  <c r="I152" i="11"/>
  <c r="G152" i="11"/>
  <c r="E152" i="11"/>
  <c r="I136" i="11"/>
  <c r="G136" i="11"/>
  <c r="E136" i="11"/>
  <c r="I120" i="11"/>
  <c r="G120" i="11"/>
  <c r="E120" i="11"/>
  <c r="I104" i="11"/>
  <c r="G104" i="11"/>
  <c r="E104" i="11"/>
  <c r="I151" i="11"/>
  <c r="G151" i="11"/>
  <c r="E151" i="11"/>
  <c r="I135" i="11"/>
  <c r="G135" i="11"/>
  <c r="E135" i="11"/>
  <c r="I119" i="11"/>
  <c r="G119" i="11"/>
  <c r="E119" i="11"/>
  <c r="I103" i="11"/>
  <c r="G103" i="11"/>
  <c r="E103" i="11"/>
  <c r="I150" i="11"/>
  <c r="G150" i="11"/>
  <c r="E150" i="11"/>
  <c r="I134" i="11"/>
  <c r="G134" i="11"/>
  <c r="E134" i="11"/>
  <c r="I118" i="11"/>
  <c r="G118" i="11"/>
  <c r="E118" i="11"/>
  <c r="I102" i="11"/>
  <c r="G102" i="11"/>
  <c r="E102" i="11"/>
  <c r="I149" i="11"/>
  <c r="G149" i="11"/>
  <c r="E149" i="11"/>
  <c r="I133" i="11"/>
  <c r="G133" i="11"/>
  <c r="E133" i="11"/>
  <c r="I117" i="11"/>
  <c r="G117" i="11"/>
  <c r="E117" i="11"/>
  <c r="I101" i="11"/>
  <c r="G101" i="11"/>
  <c r="E101" i="11"/>
  <c r="I37" i="11" l="1"/>
  <c r="G86" i="11"/>
  <c r="I53" i="11"/>
  <c r="I50" i="11"/>
  <c r="G37" i="11"/>
  <c r="E85" i="11"/>
  <c r="E86" i="11"/>
  <c r="G85" i="11"/>
  <c r="I99" i="11"/>
  <c r="G82" i="11"/>
  <c r="I67" i="11"/>
  <c r="G10" i="11"/>
  <c r="I87" i="11"/>
  <c r="E89" i="11"/>
  <c r="G90" i="11"/>
  <c r="I91" i="11"/>
  <c r="E93" i="11"/>
  <c r="G94" i="11"/>
  <c r="I95" i="11"/>
  <c r="E97" i="11"/>
  <c r="G98" i="11"/>
  <c r="I86" i="11"/>
  <c r="E88" i="11"/>
  <c r="G89" i="11"/>
  <c r="I90" i="11"/>
  <c r="E92" i="11"/>
  <c r="G93" i="11"/>
  <c r="I94" i="11"/>
  <c r="E96" i="11"/>
  <c r="G97" i="11"/>
  <c r="I98" i="11"/>
  <c r="I85" i="11"/>
  <c r="E87" i="11"/>
  <c r="G88" i="11"/>
  <c r="I89" i="11"/>
  <c r="E91" i="11"/>
  <c r="G92" i="11"/>
  <c r="I93" i="11"/>
  <c r="E95" i="11"/>
  <c r="G96" i="11"/>
  <c r="I97" i="11"/>
  <c r="E99" i="11"/>
  <c r="G87" i="11"/>
  <c r="I88" i="11"/>
  <c r="E90" i="11"/>
  <c r="G91" i="11"/>
  <c r="I92" i="11"/>
  <c r="E94" i="11"/>
  <c r="G95" i="11"/>
  <c r="I96" i="11"/>
  <c r="E98" i="11"/>
  <c r="E69" i="11"/>
  <c r="I70" i="11"/>
  <c r="E71" i="11"/>
  <c r="I72" i="11"/>
  <c r="E73" i="11"/>
  <c r="I74" i="11"/>
  <c r="E75" i="11"/>
  <c r="I76" i="11"/>
  <c r="E77" i="11"/>
  <c r="I78" i="11"/>
  <c r="E79" i="11"/>
  <c r="I80" i="11"/>
  <c r="E81" i="11"/>
  <c r="I82" i="11"/>
  <c r="E83" i="11"/>
  <c r="G71" i="11"/>
  <c r="G73" i="11"/>
  <c r="G75" i="11"/>
  <c r="G77" i="11"/>
  <c r="G79" i="11"/>
  <c r="G81" i="11"/>
  <c r="I83" i="11"/>
  <c r="G69" i="11"/>
  <c r="I69" i="11"/>
  <c r="E70" i="11"/>
  <c r="I71" i="11"/>
  <c r="E72" i="11"/>
  <c r="I73" i="11"/>
  <c r="E74" i="11"/>
  <c r="I75" i="11"/>
  <c r="E76" i="11"/>
  <c r="I77" i="11"/>
  <c r="E78" i="11"/>
  <c r="I79" i="11"/>
  <c r="E80" i="11"/>
  <c r="I81" i="11"/>
  <c r="E82" i="11"/>
  <c r="G70" i="11"/>
  <c r="G72" i="11"/>
  <c r="G74" i="11"/>
  <c r="G76" i="11"/>
  <c r="G78" i="11"/>
  <c r="G80" i="11"/>
  <c r="E53" i="11"/>
  <c r="I55" i="11"/>
  <c r="G56" i="11"/>
  <c r="E57" i="11"/>
  <c r="I59" i="11"/>
  <c r="G60" i="11"/>
  <c r="E61" i="11"/>
  <c r="I63" i="11"/>
  <c r="G64" i="11"/>
  <c r="E65" i="11"/>
  <c r="G53" i="11"/>
  <c r="E54" i="11"/>
  <c r="I56" i="11"/>
  <c r="G57" i="11"/>
  <c r="E58" i="11"/>
  <c r="I60" i="11"/>
  <c r="G61" i="11"/>
  <c r="E62" i="11"/>
  <c r="I64" i="11"/>
  <c r="G65" i="11"/>
  <c r="E66" i="11"/>
  <c r="G54" i="11"/>
  <c r="E55" i="11"/>
  <c r="I57" i="11"/>
  <c r="G58" i="11"/>
  <c r="E59" i="11"/>
  <c r="I61" i="11"/>
  <c r="G62" i="11"/>
  <c r="E63" i="11"/>
  <c r="I65" i="11"/>
  <c r="G66" i="11"/>
  <c r="E67" i="11"/>
  <c r="I54" i="11"/>
  <c r="G55" i="11"/>
  <c r="E56" i="11"/>
  <c r="I58" i="11"/>
  <c r="G59" i="11"/>
  <c r="E60" i="11"/>
  <c r="I62" i="11"/>
  <c r="G63" i="11"/>
  <c r="E64" i="11"/>
  <c r="I66" i="11"/>
  <c r="E37" i="11"/>
  <c r="E38" i="11"/>
  <c r="E39" i="11"/>
  <c r="E40" i="11"/>
  <c r="E41" i="11"/>
  <c r="E42" i="11"/>
  <c r="E43" i="11"/>
  <c r="E44" i="11"/>
  <c r="E45" i="11"/>
  <c r="E46" i="11"/>
  <c r="E47" i="11"/>
  <c r="E48" i="11"/>
  <c r="E49" i="11"/>
  <c r="E50" i="11"/>
  <c r="E51" i="11"/>
  <c r="G38" i="11"/>
  <c r="G39" i="11"/>
  <c r="G40" i="11"/>
  <c r="G41" i="11"/>
  <c r="G42" i="11"/>
  <c r="G43" i="11"/>
  <c r="G44" i="11"/>
  <c r="G45" i="11"/>
  <c r="G46" i="11"/>
  <c r="G47" i="11"/>
  <c r="G48" i="11"/>
  <c r="G49" i="11"/>
  <c r="G50" i="11"/>
  <c r="I38" i="11"/>
  <c r="I40" i="11"/>
  <c r="I41" i="11"/>
  <c r="I42" i="11"/>
  <c r="I43" i="11"/>
  <c r="I44" i="11"/>
  <c r="I45" i="11"/>
  <c r="I46" i="11"/>
  <c r="I47" i="11"/>
  <c r="I48" i="11"/>
  <c r="I49" i="11"/>
  <c r="M1001" i="1"/>
  <c r="E35" i="11"/>
  <c r="L1004" i="1"/>
  <c r="M1004" i="1"/>
  <c r="L1001" i="1"/>
  <c r="M1002" i="1"/>
  <c r="M1003" i="1"/>
  <c r="L1002" i="1"/>
  <c r="L1003" i="1"/>
  <c r="E27" i="11"/>
  <c r="E21" i="11"/>
  <c r="I24" i="11"/>
  <c r="E25" i="11"/>
  <c r="G12" i="11"/>
  <c r="G14" i="11"/>
  <c r="E23" i="11"/>
  <c r="I28" i="11"/>
  <c r="E31" i="11"/>
  <c r="N18" i="6"/>
  <c r="U18" i="6" s="1"/>
  <c r="G6" i="11"/>
  <c r="G8" i="11"/>
  <c r="I26" i="11"/>
  <c r="E29" i="11"/>
  <c r="G16" i="11"/>
  <c r="I32" i="11"/>
  <c r="E33" i="11"/>
  <c r="G18" i="11"/>
  <c r="I34" i="11"/>
  <c r="N11" i="6"/>
  <c r="U11" i="6" s="1"/>
  <c r="N15" i="6"/>
  <c r="U15" i="6" s="1"/>
  <c r="E5" i="11"/>
  <c r="G21" i="11"/>
  <c r="E7" i="11"/>
  <c r="G23" i="11"/>
  <c r="I8" i="11"/>
  <c r="E9" i="11"/>
  <c r="G25" i="11"/>
  <c r="I10" i="11"/>
  <c r="E11" i="11"/>
  <c r="G27" i="11"/>
  <c r="E13" i="11"/>
  <c r="G29" i="11"/>
  <c r="I14" i="11"/>
  <c r="E15" i="11"/>
  <c r="G31" i="11"/>
  <c r="I16" i="11"/>
  <c r="E17" i="11"/>
  <c r="G33" i="11"/>
  <c r="I18" i="11"/>
  <c r="E19" i="11"/>
  <c r="N12" i="6"/>
  <c r="U12" i="6" s="1"/>
  <c r="N16" i="6"/>
  <c r="N20" i="6"/>
  <c r="U20" i="6" s="1"/>
  <c r="G5" i="11"/>
  <c r="E22" i="11"/>
  <c r="G7" i="11"/>
  <c r="E24" i="11"/>
  <c r="G9" i="11"/>
  <c r="E26" i="11"/>
  <c r="G11" i="11"/>
  <c r="I27" i="11"/>
  <c r="E28" i="11"/>
  <c r="G13" i="11"/>
  <c r="I29" i="11"/>
  <c r="E30" i="11"/>
  <c r="G15" i="11"/>
  <c r="I31" i="11"/>
  <c r="E32" i="11"/>
  <c r="G17" i="11"/>
  <c r="I33" i="11"/>
  <c r="E34" i="11"/>
  <c r="N13" i="6"/>
  <c r="U13" i="6" s="1"/>
  <c r="N17" i="6"/>
  <c r="U17" i="6" s="1"/>
  <c r="E6" i="11"/>
  <c r="G22" i="11"/>
  <c r="E8" i="11"/>
  <c r="G24" i="11"/>
  <c r="E10" i="11"/>
  <c r="G26" i="11"/>
  <c r="I11" i="11"/>
  <c r="E12" i="11"/>
  <c r="G28" i="11"/>
  <c r="I13" i="11"/>
  <c r="E14" i="11"/>
  <c r="G30" i="11"/>
  <c r="I15" i="11"/>
  <c r="E16" i="11"/>
  <c r="G32" i="11"/>
  <c r="I17" i="11"/>
  <c r="E18" i="11"/>
  <c r="G34" i="11"/>
  <c r="N10" i="6"/>
  <c r="N14" i="6"/>
  <c r="U14" i="6" s="1"/>
  <c r="E201" i="12"/>
  <c r="U10" i="6" l="1"/>
  <c r="N9" i="6"/>
  <c r="U16" i="6"/>
  <c r="R16" i="6"/>
  <c r="L1005" i="1"/>
  <c r="M1005" i="1"/>
  <c r="H14" i="7" l="1"/>
  <c r="E2" i="11" l="1"/>
  <c r="I12" i="11" l="1"/>
  <c r="I9" i="11" l="1"/>
  <c r="N1001" i="1"/>
  <c r="I6" i="11"/>
  <c r="I7" i="11"/>
  <c r="I19" i="11"/>
  <c r="I5" i="11"/>
  <c r="J9" i="6" l="1"/>
  <c r="I39" i="11" l="1"/>
  <c r="I51" i="11"/>
  <c r="N1004" i="1"/>
  <c r="I25" i="11"/>
  <c r="N1003" i="1"/>
  <c r="I30" i="11"/>
  <c r="N1002" i="1"/>
  <c r="I21" i="11"/>
  <c r="I22" i="11"/>
  <c r="I35" i="11"/>
  <c r="I23" i="11"/>
  <c r="J37" i="6"/>
  <c r="N1005" i="1" l="1"/>
  <c r="N24" i="6"/>
  <c r="U24" i="6" s="1"/>
  <c r="O2" i="7" l="1"/>
  <c r="R21" i="6" l="1"/>
  <c r="D3" i="6" l="1"/>
  <c r="R33" i="6" l="1"/>
  <c r="N37" i="6"/>
  <c r="U37" i="6" s="1"/>
  <c r="R37" i="6" l="1"/>
  <c r="G132" i="11" l="1"/>
  <c r="E148" i="11"/>
  <c r="I148" i="11"/>
  <c r="G164" i="11"/>
  <c r="E164" i="11"/>
  <c r="I164" i="11"/>
  <c r="G148" i="11"/>
  <c r="I132" i="11"/>
  <c r="E132" i="11" l="1"/>
  <c r="G100" i="11"/>
  <c r="E116" i="11"/>
  <c r="I116" i="11"/>
  <c r="G116" i="11"/>
  <c r="G84" i="11"/>
  <c r="E100" i="11"/>
  <c r="I100" i="11"/>
  <c r="E68" i="11"/>
  <c r="E52" i="11"/>
  <c r="E84" i="11"/>
  <c r="I84" i="11"/>
  <c r="G68" i="11"/>
  <c r="I68" i="11"/>
  <c r="G52" i="11"/>
  <c r="I52" i="11"/>
  <c r="I36" i="11" l="1"/>
  <c r="G36" i="11"/>
  <c r="L8" i="7" l="1"/>
  <c r="F18" i="7"/>
  <c r="L12" i="7"/>
  <c r="L11" i="7"/>
  <c r="L10" i="7"/>
  <c r="L9" i="7"/>
  <c r="E42" i="6" l="1"/>
  <c r="J23" i="6"/>
  <c r="J25" i="6" s="1"/>
  <c r="F24" i="7" l="1"/>
  <c r="R34" i="6" l="1"/>
  <c r="R35" i="6"/>
  <c r="R36" i="6"/>
  <c r="E36" i="11" l="1"/>
  <c r="R14" i="6"/>
  <c r="R8" i="6"/>
  <c r="R17" i="6"/>
  <c r="R13" i="6"/>
  <c r="R20" i="6"/>
  <c r="R12" i="6"/>
  <c r="R7" i="6"/>
  <c r="R19" i="6"/>
  <c r="R15" i="6"/>
  <c r="R11" i="6"/>
  <c r="R18" i="6" l="1"/>
  <c r="U9" i="6"/>
  <c r="G20" i="11"/>
  <c r="G165" i="11" s="1"/>
  <c r="R10" i="6"/>
  <c r="N23" i="6" l="1"/>
  <c r="R9" i="6"/>
  <c r="U23" i="6" l="1"/>
  <c r="N25" i="6"/>
  <c r="E20" i="11"/>
  <c r="E165" i="11" s="1"/>
  <c r="I20" i="11"/>
  <c r="R23" i="6"/>
  <c r="I165" i="11" l="1"/>
  <c r="N38" i="6" s="1"/>
  <c r="U25" i="6" l="1"/>
  <c r="H19" i="6" l="1"/>
  <c r="R24" i="6"/>
  <c r="B42" i="6"/>
  <c r="H42" i="6" s="1"/>
  <c r="J42" i="6" s="1"/>
  <c r="Q42" i="6" s="1"/>
  <c r="R25" i="6"/>
  <c r="Y19" i="6" l="1"/>
  <c r="B28" i="6"/>
  <c r="X46" i="6"/>
  <c r="N24" i="7"/>
  <c r="T42" i="6"/>
  <c r="AA10" i="6"/>
  <c r="C24" i="7"/>
  <c r="H24" i="7"/>
  <c r="J24" i="7" s="1"/>
  <c r="Q24" i="7" l="1"/>
  <c r="Y46" i="6"/>
  <c r="F20" i="7"/>
  <c r="AB10" i="6"/>
  <c r="AC10" i="6" s="1"/>
  <c r="V24" i="7" l="1"/>
  <c r="AE10" i="6"/>
  <c r="AD10" i="6"/>
  <c r="H10" i="6"/>
  <c r="AF10" i="6" l="1"/>
  <c r="B26" i="6" s="1"/>
  <c r="Y1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B10" authorId="0" shapeId="0" xr:uid="{44C13A87-355B-457B-85A4-99BAA4378819}">
      <text>
        <r>
          <rPr>
            <b/>
            <sz val="9"/>
            <color indexed="81"/>
            <rFont val="MS P ゴシック"/>
            <family val="3"/>
            <charset val="128"/>
          </rPr>
          <t>賃金（職員）
／精算額</t>
        </r>
      </text>
    </comment>
    <comment ref="Z26" authorId="0" shapeId="0" xr:uid="{34AE35AF-C0ED-4BC7-A7B1-E31DBE0DF037}">
      <text>
        <r>
          <rPr>
            <sz val="9"/>
            <color indexed="81"/>
            <rFont val="MS P ゴシック"/>
            <family val="3"/>
            <charset val="128"/>
          </rPr>
          <t xml:space="preserve">上限超過の場合B26に表示するよう設定しています。
</t>
        </r>
      </text>
    </comment>
  </commentList>
</comments>
</file>

<file path=xl/sharedStrings.xml><?xml version="1.0" encoding="utf-8"?>
<sst xmlns="http://schemas.openxmlformats.org/spreadsheetml/2006/main" count="1104" uniqueCount="300">
  <si>
    <t>謝金</t>
    <rPh sb="0" eb="2">
      <t>シャキン</t>
    </rPh>
    <phoneticPr fontId="4"/>
  </si>
  <si>
    <t>消耗品費</t>
    <rPh sb="0" eb="3">
      <t>ショウモウヒン</t>
    </rPh>
    <rPh sb="3" eb="4">
      <t>ヒ</t>
    </rPh>
    <phoneticPr fontId="4"/>
  </si>
  <si>
    <t>旅費</t>
    <rPh sb="0" eb="2">
      <t>リョヒ</t>
    </rPh>
    <phoneticPr fontId="4"/>
  </si>
  <si>
    <t>光熱水費</t>
    <rPh sb="0" eb="3">
      <t>コウネツスイ</t>
    </rPh>
    <rPh sb="3" eb="4">
      <t>ヒ</t>
    </rPh>
    <phoneticPr fontId="4"/>
  </si>
  <si>
    <t>借料損料</t>
    <rPh sb="0" eb="2">
      <t>シャクリョウ</t>
    </rPh>
    <rPh sb="2" eb="4">
      <t>ソンリョウ</t>
    </rPh>
    <phoneticPr fontId="4"/>
  </si>
  <si>
    <t>保険料</t>
    <rPh sb="0" eb="3">
      <t>ホケンリョウ</t>
    </rPh>
    <phoneticPr fontId="4"/>
  </si>
  <si>
    <t>その他</t>
    <rPh sb="2" eb="3">
      <t>タ</t>
    </rPh>
    <phoneticPr fontId="4"/>
  </si>
  <si>
    <t>備品購入費</t>
    <rPh sb="0" eb="2">
      <t>ビヒン</t>
    </rPh>
    <rPh sb="2" eb="4">
      <t>コウニュウ</t>
    </rPh>
    <rPh sb="4" eb="5">
      <t>ヒ</t>
    </rPh>
    <phoneticPr fontId="4"/>
  </si>
  <si>
    <t>印刷製本費</t>
    <rPh sb="0" eb="2">
      <t>インサツ</t>
    </rPh>
    <rPh sb="2" eb="4">
      <t>セイホン</t>
    </rPh>
    <rPh sb="4" eb="5">
      <t>ヒ</t>
    </rPh>
    <phoneticPr fontId="4"/>
  </si>
  <si>
    <t>雑役務費</t>
    <rPh sb="0" eb="1">
      <t>ザツ</t>
    </rPh>
    <rPh sb="1" eb="3">
      <t>エキム</t>
    </rPh>
    <rPh sb="3" eb="4">
      <t>ヒ</t>
    </rPh>
    <phoneticPr fontId="4"/>
  </si>
  <si>
    <t>家賃</t>
    <rPh sb="0" eb="2">
      <t>ヤチン</t>
    </rPh>
    <phoneticPr fontId="4"/>
  </si>
  <si>
    <t>通信運搬費</t>
    <rPh sb="0" eb="2">
      <t>ツウシン</t>
    </rPh>
    <rPh sb="2" eb="4">
      <t>ウンパン</t>
    </rPh>
    <rPh sb="4" eb="5">
      <t>ヒ</t>
    </rPh>
    <phoneticPr fontId="4"/>
  </si>
  <si>
    <t>委託費</t>
    <rPh sb="0" eb="2">
      <t>イタク</t>
    </rPh>
    <rPh sb="2" eb="3">
      <t>ヒ</t>
    </rPh>
    <phoneticPr fontId="4"/>
  </si>
  <si>
    <t>団体名</t>
    <rPh sb="0" eb="2">
      <t>ダンタイ</t>
    </rPh>
    <rPh sb="2" eb="3">
      <t>メイ</t>
    </rPh>
    <phoneticPr fontId="4"/>
  </si>
  <si>
    <t>団体住所</t>
    <rPh sb="0" eb="2">
      <t>ダンタイ</t>
    </rPh>
    <rPh sb="2" eb="4">
      <t>ジュウショ</t>
    </rPh>
    <phoneticPr fontId="4"/>
  </si>
  <si>
    <t>代表者職名</t>
    <rPh sb="0" eb="3">
      <t>ダイヒョウシャ</t>
    </rPh>
    <rPh sb="3" eb="5">
      <t>ショクメイ</t>
    </rPh>
    <phoneticPr fontId="4"/>
  </si>
  <si>
    <t>代表者名</t>
    <rPh sb="0" eb="3">
      <t>ダイヒョウシャ</t>
    </rPh>
    <rPh sb="3" eb="4">
      <t>メイ</t>
    </rPh>
    <phoneticPr fontId="4"/>
  </si>
  <si>
    <t>受付番号</t>
    <rPh sb="0" eb="4">
      <t>ウケツケバンゴウ</t>
    </rPh>
    <phoneticPr fontId="4"/>
  </si>
  <si>
    <t>年</t>
    <rPh sb="0" eb="1">
      <t>ネン</t>
    </rPh>
    <phoneticPr fontId="4"/>
  </si>
  <si>
    <t>月</t>
    <rPh sb="0" eb="1">
      <t>ツキ</t>
    </rPh>
    <phoneticPr fontId="4"/>
  </si>
  <si>
    <t>日</t>
    <rPh sb="0" eb="1">
      <t>ニチ</t>
    </rPh>
    <phoneticPr fontId="4"/>
  </si>
  <si>
    <t>独立行政法人福祉医療機構　理事長　様</t>
    <rPh sb="0" eb="2">
      <t>ドクリツ</t>
    </rPh>
    <rPh sb="2" eb="4">
      <t>ギョウセイ</t>
    </rPh>
    <rPh sb="4" eb="6">
      <t>ホウジン</t>
    </rPh>
    <rPh sb="6" eb="8">
      <t>フクシ</t>
    </rPh>
    <rPh sb="8" eb="10">
      <t>イリョウ</t>
    </rPh>
    <rPh sb="10" eb="12">
      <t>キコウ</t>
    </rPh>
    <rPh sb="13" eb="16">
      <t>リジチョウ</t>
    </rPh>
    <rPh sb="17" eb="18">
      <t>サマ</t>
    </rPh>
    <phoneticPr fontId="4"/>
  </si>
  <si>
    <t>千円</t>
    <rPh sb="0" eb="2">
      <t>センエン</t>
    </rPh>
    <phoneticPr fontId="4"/>
  </si>
  <si>
    <t>事業</t>
    <rPh sb="0" eb="2">
      <t>ジギョウ</t>
    </rPh>
    <phoneticPr fontId="4"/>
  </si>
  <si>
    <t>円</t>
    <rPh sb="0" eb="1">
      <t>エン</t>
    </rPh>
    <phoneticPr fontId="4"/>
  </si>
  <si>
    <t>メールアドレス</t>
    <phoneticPr fontId="4"/>
  </si>
  <si>
    <t>　精 算 額 計 算 書</t>
    <rPh sb="1" eb="2">
      <t>セイ</t>
    </rPh>
    <rPh sb="3" eb="4">
      <t>サン</t>
    </rPh>
    <rPh sb="5" eb="6">
      <t>ガク</t>
    </rPh>
    <rPh sb="7" eb="8">
      <t>ケイ</t>
    </rPh>
    <rPh sb="9" eb="10">
      <t>サン</t>
    </rPh>
    <rPh sb="11" eb="12">
      <t>ショ</t>
    </rPh>
    <phoneticPr fontId="4"/>
  </si>
  <si>
    <t>　　団体名：</t>
    <rPh sb="2" eb="4">
      <t>ダンタイ</t>
    </rPh>
    <rPh sb="4" eb="5">
      <t>メイ</t>
    </rPh>
    <phoneticPr fontId="4"/>
  </si>
  <si>
    <t>科目</t>
    <rPh sb="0" eb="2">
      <t>カモク</t>
    </rPh>
    <phoneticPr fontId="4"/>
  </si>
  <si>
    <t>金額（円）</t>
    <rPh sb="0" eb="2">
      <t>キンガク</t>
    </rPh>
    <rPh sb="3" eb="4">
      <t>エン</t>
    </rPh>
    <phoneticPr fontId="4"/>
  </si>
  <si>
    <t>02.旅費</t>
    <rPh sb="3" eb="5">
      <t>リョヒ</t>
    </rPh>
    <phoneticPr fontId="4"/>
  </si>
  <si>
    <t>03．所費合計</t>
    <rPh sb="3" eb="4">
      <t>トコロ</t>
    </rPh>
    <rPh sb="4" eb="5">
      <t>ヒ</t>
    </rPh>
    <rPh sb="5" eb="7">
      <t>ゴウケイ</t>
    </rPh>
    <phoneticPr fontId="4"/>
  </si>
  <si>
    <t>03.所費</t>
    <rPh sb="3" eb="4">
      <t>トコロ</t>
    </rPh>
    <rPh sb="4" eb="5">
      <t>ヒ</t>
    </rPh>
    <phoneticPr fontId="4"/>
  </si>
  <si>
    <t>寄付金・協賛金収入</t>
    <rPh sb="0" eb="3">
      <t>キフキン</t>
    </rPh>
    <rPh sb="4" eb="7">
      <t>キョウサンキン</t>
    </rPh>
    <rPh sb="7" eb="9">
      <t>シュウニュウ</t>
    </rPh>
    <phoneticPr fontId="4"/>
  </si>
  <si>
    <t>01.謝金</t>
    <rPh sb="3" eb="5">
      <t>シャキン</t>
    </rPh>
    <phoneticPr fontId="4"/>
  </si>
  <si>
    <t>〇</t>
    <phoneticPr fontId="4"/>
  </si>
  <si>
    <t>04.その他</t>
    <rPh sb="5" eb="6">
      <t>タ</t>
    </rPh>
    <phoneticPr fontId="4"/>
  </si>
  <si>
    <t>所費</t>
    <rPh sb="0" eb="1">
      <t>トコロ</t>
    </rPh>
    <rPh sb="1" eb="2">
      <t>ヒ</t>
    </rPh>
    <phoneticPr fontId="4"/>
  </si>
  <si>
    <t>千円</t>
    <rPh sb="0" eb="2">
      <t>センエン</t>
    </rPh>
    <phoneticPr fontId="4"/>
  </si>
  <si>
    <t>F  A  X</t>
    <phoneticPr fontId="4"/>
  </si>
  <si>
    <t>氏     名</t>
    <rPh sb="0" eb="1">
      <t>シ</t>
    </rPh>
    <rPh sb="6" eb="7">
      <t>ナ</t>
    </rPh>
    <phoneticPr fontId="4"/>
  </si>
  <si>
    <t>電     話</t>
    <rPh sb="0" eb="1">
      <t>デン</t>
    </rPh>
    <rPh sb="6" eb="7">
      <t>ハナシ</t>
    </rPh>
    <phoneticPr fontId="4"/>
  </si>
  <si>
    <t>〒</t>
    <phoneticPr fontId="4"/>
  </si>
  <si>
    <t>支出額</t>
    <rPh sb="0" eb="2">
      <t>シシュツ</t>
    </rPh>
    <rPh sb="2" eb="3">
      <t>ガク</t>
    </rPh>
    <phoneticPr fontId="4"/>
  </si>
  <si>
    <t>合計</t>
    <rPh sb="0" eb="2">
      <t>ゴウケイ</t>
    </rPh>
    <phoneticPr fontId="4"/>
  </si>
  <si>
    <t>円</t>
    <rPh sb="0" eb="1">
      <t>エン</t>
    </rPh>
    <phoneticPr fontId="4"/>
  </si>
  <si>
    <t>円</t>
    <rPh sb="0" eb="1">
      <t>エン</t>
    </rPh>
    <phoneticPr fontId="4"/>
  </si>
  <si>
    <t>14</t>
  </si>
  <si>
    <t>14</t>
    <phoneticPr fontId="4"/>
  </si>
  <si>
    <t>1</t>
    <phoneticPr fontId="4"/>
  </si>
  <si>
    <t>2</t>
    <phoneticPr fontId="4"/>
  </si>
  <si>
    <t>3</t>
    <phoneticPr fontId="4"/>
  </si>
  <si>
    <t>4</t>
  </si>
  <si>
    <t>5</t>
  </si>
  <si>
    <t>6</t>
  </si>
  <si>
    <t>7</t>
  </si>
  <si>
    <t>8</t>
  </si>
  <si>
    <t>9</t>
  </si>
  <si>
    <t>10</t>
  </si>
  <si>
    <t>11</t>
  </si>
  <si>
    <t>12</t>
  </si>
  <si>
    <t>13</t>
  </si>
  <si>
    <t>メニュー画面</t>
    <rPh sb="4" eb="6">
      <t>ガメン</t>
    </rPh>
    <phoneticPr fontId="4"/>
  </si>
  <si>
    <t>支出入力表</t>
    <rPh sb="0" eb="2">
      <t>シシュツ</t>
    </rPh>
    <rPh sb="2" eb="4">
      <t>ニュウリョク</t>
    </rPh>
    <rPh sb="4" eb="5">
      <t>ヒョウ</t>
    </rPh>
    <phoneticPr fontId="4"/>
  </si>
  <si>
    <t>精算額計算書</t>
    <rPh sb="0" eb="3">
      <t>セイサンガク</t>
    </rPh>
    <rPh sb="3" eb="6">
      <t>ケイサンショ</t>
    </rPh>
    <phoneticPr fontId="29"/>
  </si>
  <si>
    <t>1</t>
    <phoneticPr fontId="4"/>
  </si>
  <si>
    <t>2</t>
    <phoneticPr fontId="4"/>
  </si>
  <si>
    <t>3</t>
    <phoneticPr fontId="4"/>
  </si>
  <si>
    <t>1</t>
    <phoneticPr fontId="4"/>
  </si>
  <si>
    <t>2</t>
    <phoneticPr fontId="4"/>
  </si>
  <si>
    <t>3</t>
    <phoneticPr fontId="4"/>
  </si>
  <si>
    <t>3</t>
    <phoneticPr fontId="4"/>
  </si>
  <si>
    <t>2</t>
    <phoneticPr fontId="4"/>
  </si>
  <si>
    <t>円</t>
    <rPh sb="0" eb="1">
      <t>エン</t>
    </rPh>
    <phoneticPr fontId="4"/>
  </si>
  <si>
    <t>円</t>
    <rPh sb="0" eb="1">
      <t>エン</t>
    </rPh>
    <phoneticPr fontId="4"/>
  </si>
  <si>
    <t>メニュー画面へ</t>
  </si>
  <si>
    <t>合計</t>
    <phoneticPr fontId="4"/>
  </si>
  <si>
    <t>住所</t>
    <rPh sb="0" eb="1">
      <t>ジュウ</t>
    </rPh>
    <rPh sb="1" eb="2">
      <t>ショ</t>
    </rPh>
    <phoneticPr fontId="4"/>
  </si>
  <si>
    <t>名称</t>
    <rPh sb="0" eb="1">
      <t>ナ</t>
    </rPh>
    <rPh sb="1" eb="2">
      <t>ショウ</t>
    </rPh>
    <phoneticPr fontId="4"/>
  </si>
  <si>
    <r>
      <t>代</t>
    </r>
    <r>
      <rPr>
        <sz val="11"/>
        <color theme="1"/>
        <rFont val="ＭＳ Ｐ明朝"/>
        <family val="1"/>
        <charset val="128"/>
      </rPr>
      <t>表者</t>
    </r>
    <rPh sb="0" eb="1">
      <t>ダイ</t>
    </rPh>
    <rPh sb="1" eb="2">
      <t>オモテ</t>
    </rPh>
    <rPh sb="2" eb="3">
      <t>シャ</t>
    </rPh>
    <phoneticPr fontId="4"/>
  </si>
  <si>
    <t>標記について次のとおり報告します。</t>
    <rPh sb="0" eb="2">
      <t>ヒョウキ</t>
    </rPh>
    <rPh sb="6" eb="7">
      <t>ツギ</t>
    </rPh>
    <rPh sb="11" eb="13">
      <t>ホウコク</t>
    </rPh>
    <phoneticPr fontId="4"/>
  </si>
  <si>
    <t>1．地域連携活動支援事業</t>
    <rPh sb="2" eb="4">
      <t>チイキ</t>
    </rPh>
    <rPh sb="4" eb="6">
      <t>レンケイ</t>
    </rPh>
    <rPh sb="6" eb="8">
      <t>カツドウ</t>
    </rPh>
    <rPh sb="8" eb="10">
      <t>シエン</t>
    </rPh>
    <rPh sb="10" eb="12">
      <t>ジギョウ</t>
    </rPh>
    <phoneticPr fontId="4"/>
  </si>
  <si>
    <t>2．全国的・広域的ネットワーク活動支援事業</t>
    <rPh sb="2" eb="5">
      <t>ゼンコクテキ</t>
    </rPh>
    <rPh sb="6" eb="9">
      <t>コウイキテキ</t>
    </rPh>
    <rPh sb="15" eb="17">
      <t>カツドウ</t>
    </rPh>
    <rPh sb="17" eb="19">
      <t>シエン</t>
    </rPh>
    <rPh sb="19" eb="21">
      <t>ジギョウ</t>
    </rPh>
    <phoneticPr fontId="4"/>
  </si>
  <si>
    <t>2</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</si>
  <si>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</si>
  <si>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</si>
  <si>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</si>
  <si>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</si>
  <si>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</si>
  <si>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</si>
  <si>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</si>
  <si>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</si>
  <si>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</si>
  <si>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</si>
  <si>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団体郵便番号 （例：123-4567）</t>
    <rPh sb="0" eb="2">
      <t>ダンタイ</t>
    </rPh>
    <rPh sb="2" eb="6">
      <t>ユウビンバンゴウ</t>
    </rPh>
    <rPh sb="8" eb="9">
      <t>レイ</t>
    </rPh>
    <phoneticPr fontId="4"/>
  </si>
  <si>
    <t>総事業費の支出額内訳</t>
    <rPh sb="0" eb="4">
      <t>ソウジギョウヒ</t>
    </rPh>
    <rPh sb="5" eb="8">
      <t>シシュツガク</t>
    </rPh>
    <rPh sb="8" eb="10">
      <t>ウチワケ</t>
    </rPh>
    <phoneticPr fontId="29"/>
  </si>
  <si>
    <t>事業完了報告書</t>
    <rPh sb="0" eb="2">
      <t>ジギョウ</t>
    </rPh>
    <rPh sb="2" eb="4">
      <t>カンリョウ</t>
    </rPh>
    <rPh sb="4" eb="7">
      <t>ホウコクショ</t>
    </rPh>
    <phoneticPr fontId="29"/>
  </si>
  <si>
    <t>収入入力表</t>
    <phoneticPr fontId="4"/>
  </si>
  <si>
    <t>一般会計繰入金</t>
    <rPh sb="0" eb="2">
      <t>イッパン</t>
    </rPh>
    <rPh sb="2" eb="4">
      <t>カイケイ</t>
    </rPh>
    <rPh sb="4" eb="5">
      <t>ク</t>
    </rPh>
    <rPh sb="5" eb="6">
      <t>イレ</t>
    </rPh>
    <rPh sb="6" eb="7">
      <t>キン</t>
    </rPh>
    <phoneticPr fontId="4"/>
  </si>
  <si>
    <t>メニュー画面へ</t>
    <rPh sb="4" eb="6">
      <t>ガメン</t>
    </rPh>
    <phoneticPr fontId="4"/>
  </si>
  <si>
    <t>団体基本情報入力</t>
    <rPh sb="0" eb="2">
      <t>ダンタイ</t>
    </rPh>
    <rPh sb="2" eb="4">
      <t>キホン</t>
    </rPh>
    <rPh sb="4" eb="6">
      <t>ジョウホウ</t>
    </rPh>
    <rPh sb="6" eb="8">
      <t>ニュウリョク</t>
    </rPh>
    <phoneticPr fontId="4"/>
  </si>
  <si>
    <t>メニュー画面へ</t>
    <rPh sb="4" eb="6">
      <t>ガメン</t>
    </rPh>
    <phoneticPr fontId="4"/>
  </si>
  <si>
    <t>令和</t>
    <rPh sb="0" eb="2">
      <t>レイワ</t>
    </rPh>
    <phoneticPr fontId="4"/>
  </si>
  <si>
    <t>対象外経費</t>
    <rPh sb="0" eb="5">
      <t>タイショウガイケイヒ</t>
    </rPh>
    <phoneticPr fontId="4"/>
  </si>
  <si>
    <t>03.所費</t>
    <phoneticPr fontId="4"/>
  </si>
  <si>
    <t>支出入力表へ</t>
    <rPh sb="0" eb="5">
      <t>シシュツニュウリョクヒョウ</t>
    </rPh>
    <phoneticPr fontId="4"/>
  </si>
  <si>
    <t>15</t>
  </si>
  <si>
    <t>-</t>
    <phoneticPr fontId="4"/>
  </si>
  <si>
    <t>-</t>
    <phoneticPr fontId="4"/>
  </si>
  <si>
    <t>-</t>
    <phoneticPr fontId="4"/>
  </si>
  <si>
    <t>-</t>
    <phoneticPr fontId="4"/>
  </si>
  <si>
    <t>支出入力表へ</t>
    <rPh sb="0" eb="5">
      <t>シシュツニュウリョクヒョウ</t>
    </rPh>
    <phoneticPr fontId="4"/>
  </si>
  <si>
    <t>団体名：</t>
    <rPh sb="0" eb="2">
      <t>ダンタイ</t>
    </rPh>
    <rPh sb="2" eb="3">
      <t>メイ</t>
    </rPh>
    <phoneticPr fontId="4"/>
  </si>
  <si>
    <t>完了時</t>
    <rPh sb="0" eb="2">
      <t>カンリョウ</t>
    </rPh>
    <rPh sb="2" eb="3">
      <t>ジ</t>
    </rPh>
    <phoneticPr fontId="4"/>
  </si>
  <si>
    <t xml:space="preserve"> 精算額計算書</t>
    <rPh sb="1" eb="3">
      <t>セイサン</t>
    </rPh>
    <rPh sb="3" eb="4">
      <t>ガク</t>
    </rPh>
    <rPh sb="4" eb="7">
      <t>ケイサンショ</t>
    </rPh>
    <phoneticPr fontId="4"/>
  </si>
  <si>
    <t xml:space="preserve"> 成果物</t>
    <rPh sb="1" eb="4">
      <t>セイカブツ</t>
    </rPh>
    <phoneticPr fontId="4"/>
  </si>
  <si>
    <t xml:space="preserve"> その他参考となる書類</t>
    <rPh sb="3" eb="4">
      <t>タ</t>
    </rPh>
    <rPh sb="4" eb="6">
      <t>サンコウ</t>
    </rPh>
    <rPh sb="9" eb="11">
      <t>ショルイ</t>
    </rPh>
    <phoneticPr fontId="4"/>
  </si>
  <si>
    <t>３　精算額調書</t>
    <rPh sb="4" eb="5">
      <t>ガク</t>
    </rPh>
    <rPh sb="5" eb="7">
      <t>チョウショ</t>
    </rPh>
    <phoneticPr fontId="4"/>
  </si>
  <si>
    <t>２　精算額</t>
    <rPh sb="2" eb="4">
      <t>セイサン</t>
    </rPh>
    <rPh sb="4" eb="5">
      <t>ガク</t>
    </rPh>
    <phoneticPr fontId="4"/>
  </si>
  <si>
    <t>１　事業名</t>
    <rPh sb="2" eb="4">
      <t>ジギョウ</t>
    </rPh>
    <rPh sb="4" eb="5">
      <t>メイ</t>
    </rPh>
    <phoneticPr fontId="4"/>
  </si>
  <si>
    <t>年度　事業完了報告書</t>
    <phoneticPr fontId="4"/>
  </si>
  <si>
    <t>総事業費
（Ａ）</t>
    <rPh sb="0" eb="4">
      <t>ソウジギョウヒ</t>
    </rPh>
    <phoneticPr fontId="4"/>
  </si>
  <si>
    <t>差引事業費
（Ａ‐Ｂ=Ｃ）</t>
    <rPh sb="0" eb="1">
      <t>サ</t>
    </rPh>
    <rPh sb="1" eb="2">
      <t>ヒ</t>
    </rPh>
    <rPh sb="2" eb="5">
      <t>ジギョウヒ</t>
    </rPh>
    <phoneticPr fontId="4"/>
  </si>
  <si>
    <t>差引事業費
（Ａ-Ｂ=Ｃ）</t>
    <rPh sb="0" eb="1">
      <t>サ</t>
    </rPh>
    <rPh sb="1" eb="2">
      <t>ヒ</t>
    </rPh>
    <rPh sb="2" eb="5">
      <t>ジギョウヒ</t>
    </rPh>
    <phoneticPr fontId="4"/>
  </si>
  <si>
    <t>（添付書類）</t>
    <rPh sb="1" eb="3">
      <t>テンプ</t>
    </rPh>
    <rPh sb="3" eb="5">
      <t>ショルイ</t>
    </rPh>
    <phoneticPr fontId="4"/>
  </si>
  <si>
    <t>採択事業名</t>
    <rPh sb="0" eb="2">
      <t>サイタク</t>
    </rPh>
    <rPh sb="2" eb="4">
      <t>ジギョウ</t>
    </rPh>
    <rPh sb="4" eb="5">
      <t>メイ</t>
    </rPh>
    <phoneticPr fontId="4"/>
  </si>
  <si>
    <t>（Ａ） 総事業費 （ａ）＋（ｂ）</t>
    <rPh sb="4" eb="8">
      <t>ソウジギョウヒ</t>
    </rPh>
    <phoneticPr fontId="4"/>
  </si>
  <si>
    <t>寄付金その他の収入
（Ｂ）</t>
    <rPh sb="0" eb="3">
      <t>キフキン</t>
    </rPh>
    <rPh sb="5" eb="6">
      <t>タ</t>
    </rPh>
    <rPh sb="7" eb="9">
      <t>シュウニュウ</t>
    </rPh>
    <phoneticPr fontId="4"/>
  </si>
  <si>
    <t>決定額
（Ｅ）</t>
    <rPh sb="0" eb="2">
      <t>ケッテイ</t>
    </rPh>
    <rPh sb="2" eb="3">
      <t>ガク</t>
    </rPh>
    <phoneticPr fontId="4"/>
  </si>
  <si>
    <t>返還額
（Ｅ-Ｆ）</t>
    <rPh sb="0" eb="3">
      <t>ヘンカンガク</t>
    </rPh>
    <phoneticPr fontId="4"/>
  </si>
  <si>
    <t>精算額
（ＤとＥを比較して
少ない方の額）(Ｆ)</t>
    <rPh sb="2" eb="3">
      <t>ガク</t>
    </rPh>
    <rPh sb="9" eb="11">
      <t>ヒカク</t>
    </rPh>
    <rPh sb="14" eb="15">
      <t>スク</t>
    </rPh>
    <rPh sb="17" eb="18">
      <t>ホウ</t>
    </rPh>
    <rPh sb="19" eb="20">
      <t>ガク</t>
    </rPh>
    <phoneticPr fontId="4"/>
  </si>
  <si>
    <t>差引事業費から
千円未満の端数を
切り捨てた額 （Ｄ）</t>
    <rPh sb="0" eb="1">
      <t>サ</t>
    </rPh>
    <rPh sb="1" eb="2">
      <t>ヒ</t>
    </rPh>
    <rPh sb="2" eb="5">
      <t>ジギョウヒ</t>
    </rPh>
    <rPh sb="8" eb="9">
      <t>セン</t>
    </rPh>
    <rPh sb="9" eb="10">
      <t>エン</t>
    </rPh>
    <rPh sb="10" eb="12">
      <t>ミマン</t>
    </rPh>
    <rPh sb="13" eb="15">
      <t>ハスウ</t>
    </rPh>
    <rPh sb="17" eb="18">
      <t>キ</t>
    </rPh>
    <rPh sb="19" eb="20">
      <t>ス</t>
    </rPh>
    <rPh sb="22" eb="23">
      <t>ガク</t>
    </rPh>
    <phoneticPr fontId="4"/>
  </si>
  <si>
    <t>差引事業費から
千円未満の端数を
切り捨てた額 （Ｄ）</t>
    <rPh sb="0" eb="2">
      <t>サシヒキ</t>
    </rPh>
    <rPh sb="2" eb="5">
      <t>ジギョウヒ</t>
    </rPh>
    <rPh sb="8" eb="9">
      <t>セン</t>
    </rPh>
    <rPh sb="9" eb="10">
      <t>エン</t>
    </rPh>
    <rPh sb="10" eb="12">
      <t>ミマン</t>
    </rPh>
    <rPh sb="13" eb="15">
      <t>ハスウ</t>
    </rPh>
    <rPh sb="17" eb="18">
      <t>キ</t>
    </rPh>
    <rPh sb="19" eb="20">
      <t>ス</t>
    </rPh>
    <rPh sb="22" eb="23">
      <t>ガク</t>
    </rPh>
    <phoneticPr fontId="4"/>
  </si>
  <si>
    <t>日付設定</t>
    <rPh sb="0" eb="2">
      <t>ヒヅケ</t>
    </rPh>
    <rPh sb="2" eb="4">
      <t>セッテイ</t>
    </rPh>
    <phoneticPr fontId="4"/>
  </si>
  <si>
    <t>旅費の場合のみ</t>
    <rPh sb="0" eb="2">
      <t>リョヒ</t>
    </rPh>
    <rPh sb="3" eb="5">
      <t>バアイ</t>
    </rPh>
    <phoneticPr fontId="4"/>
  </si>
  <si>
    <t>謝金</t>
    <rPh sb="0" eb="2">
      <t>シャキン</t>
    </rPh>
    <phoneticPr fontId="4"/>
  </si>
  <si>
    <t>旅費</t>
    <rPh sb="0" eb="2">
      <t>リョヒ</t>
    </rPh>
    <phoneticPr fontId="4"/>
  </si>
  <si>
    <t>所費</t>
    <rPh sb="0" eb="1">
      <t>トコロ</t>
    </rPh>
    <rPh sb="1" eb="2">
      <t>ヒ</t>
    </rPh>
    <phoneticPr fontId="4"/>
  </si>
  <si>
    <t>01.</t>
    <phoneticPr fontId="4"/>
  </si>
  <si>
    <t>02.</t>
    <phoneticPr fontId="4"/>
  </si>
  <si>
    <t>03.</t>
    <phoneticPr fontId="4"/>
  </si>
  <si>
    <t>04.</t>
    <phoneticPr fontId="4"/>
  </si>
  <si>
    <t>その他</t>
    <phoneticPr fontId="4"/>
  </si>
  <si>
    <t>謝金合計</t>
    <rPh sb="0" eb="2">
      <t>シャキン</t>
    </rPh>
    <rPh sb="2" eb="4">
      <t>ゴウケイ</t>
    </rPh>
    <phoneticPr fontId="4"/>
  </si>
  <si>
    <t>旅費合計</t>
    <rPh sb="0" eb="2">
      <t>リョヒ</t>
    </rPh>
    <rPh sb="2" eb="4">
      <t>ゴウケイ</t>
    </rPh>
    <phoneticPr fontId="4"/>
  </si>
  <si>
    <t>所費合計</t>
    <rPh sb="0" eb="1">
      <t>ショ</t>
    </rPh>
    <rPh sb="1" eb="2">
      <t>ヒ</t>
    </rPh>
    <rPh sb="2" eb="4">
      <t>ゴウケイ</t>
    </rPh>
    <phoneticPr fontId="4"/>
  </si>
  <si>
    <t>その他合計</t>
    <rPh sb="2" eb="3">
      <t>タ</t>
    </rPh>
    <rPh sb="3" eb="5">
      <t>ゴウケイ</t>
    </rPh>
    <phoneticPr fontId="4"/>
  </si>
  <si>
    <t>⇒</t>
    <phoneticPr fontId="4"/>
  </si>
  <si>
    <t>（ｂ） 対象外経費</t>
    <rPh sb="4" eb="7">
      <t>タイショウガイ</t>
    </rPh>
    <rPh sb="7" eb="9">
      <t>ケイヒ</t>
    </rPh>
    <phoneticPr fontId="4"/>
  </si>
  <si>
    <t>⇒</t>
  </si>
  <si>
    <t>⇒</t>
    <phoneticPr fontId="4"/>
  </si>
  <si>
    <t>採択年度 （和暦）　　　　　令和</t>
    <rPh sb="0" eb="2">
      <t>サイタク</t>
    </rPh>
    <rPh sb="2" eb="4">
      <t>ネンド</t>
    </rPh>
    <rPh sb="6" eb="8">
      <t>ワレキ</t>
    </rPh>
    <rPh sb="14" eb="16">
      <t>レイワ</t>
    </rPh>
    <phoneticPr fontId="4"/>
  </si>
  <si>
    <t>受付番号 （11桁の数字）</t>
    <rPh sb="0" eb="1">
      <t>ウ</t>
    </rPh>
    <rPh sb="1" eb="2">
      <t>ツ</t>
    </rPh>
    <rPh sb="2" eb="4">
      <t>バンゴウ</t>
    </rPh>
    <rPh sb="8" eb="9">
      <t>ケタ</t>
    </rPh>
    <rPh sb="10" eb="12">
      <t>スウジ</t>
    </rPh>
    <phoneticPr fontId="4"/>
  </si>
  <si>
    <t>千円</t>
    <rPh sb="0" eb="2">
      <t>センエン</t>
    </rPh>
    <phoneticPr fontId="4"/>
  </si>
  <si>
    <t>年度</t>
    <rPh sb="0" eb="2">
      <t>ネンド</t>
    </rPh>
    <phoneticPr fontId="4"/>
  </si>
  <si>
    <r>
      <t xml:space="preserve">決定額 </t>
    </r>
    <r>
      <rPr>
        <b/>
        <sz val="16"/>
        <color theme="1"/>
        <rFont val="ＭＳ Ｐゴシック"/>
        <family val="3"/>
        <charset val="128"/>
      </rPr>
      <t>（千円単位）</t>
    </r>
    <rPh sb="0" eb="2">
      <t>ケッテイ</t>
    </rPh>
    <rPh sb="2" eb="3">
      <t>ガク</t>
    </rPh>
    <rPh sb="5" eb="7">
      <t>センエン</t>
    </rPh>
    <rPh sb="7" eb="9">
      <t>タンイ</t>
    </rPh>
    <phoneticPr fontId="4"/>
  </si>
  <si>
    <t>柱立て１ （取り組み１）</t>
    <rPh sb="0" eb="1">
      <t>ハシラ</t>
    </rPh>
    <rPh sb="1" eb="2">
      <t>ダ</t>
    </rPh>
    <rPh sb="6" eb="7">
      <t>ト</t>
    </rPh>
    <rPh sb="8" eb="9">
      <t>ク</t>
    </rPh>
    <phoneticPr fontId="4"/>
  </si>
  <si>
    <t>柱立て２ （取り組み２）</t>
    <rPh sb="0" eb="1">
      <t>ハシラ</t>
    </rPh>
    <rPh sb="1" eb="2">
      <t>ダ</t>
    </rPh>
    <rPh sb="6" eb="7">
      <t>ト</t>
    </rPh>
    <rPh sb="8" eb="9">
      <t>ク</t>
    </rPh>
    <phoneticPr fontId="4"/>
  </si>
  <si>
    <t>柱立て３ （取り組み３）</t>
    <rPh sb="0" eb="1">
      <t>ハシラ</t>
    </rPh>
    <rPh sb="1" eb="2">
      <t>ダ</t>
    </rPh>
    <rPh sb="6" eb="7">
      <t>ト</t>
    </rPh>
    <rPh sb="8" eb="9">
      <t>ク</t>
    </rPh>
    <phoneticPr fontId="4"/>
  </si>
  <si>
    <t>柱立て４ （取り組み４）</t>
    <rPh sb="0" eb="1">
      <t>ハシラ</t>
    </rPh>
    <rPh sb="1" eb="2">
      <t>ダ</t>
    </rPh>
    <rPh sb="6" eb="7">
      <t>ト</t>
    </rPh>
    <rPh sb="8" eb="9">
      <t>ク</t>
    </rPh>
    <phoneticPr fontId="4"/>
  </si>
  <si>
    <t>柱立て５ （取り組み５）</t>
    <rPh sb="0" eb="1">
      <t>ハシラ</t>
    </rPh>
    <rPh sb="1" eb="2">
      <t>ダ</t>
    </rPh>
    <rPh sb="6" eb="7">
      <t>ト</t>
    </rPh>
    <rPh sb="8" eb="9">
      <t>ク</t>
    </rPh>
    <phoneticPr fontId="4"/>
  </si>
  <si>
    <t>柱立て６ （取り組み６）</t>
    <rPh sb="0" eb="1">
      <t>ハシラ</t>
    </rPh>
    <rPh sb="1" eb="2">
      <t>ダ</t>
    </rPh>
    <rPh sb="6" eb="7">
      <t>ト</t>
    </rPh>
    <rPh sb="8" eb="9">
      <t>ク</t>
    </rPh>
    <phoneticPr fontId="4"/>
  </si>
  <si>
    <t>柱立て７ （取り組み７）</t>
    <rPh sb="0" eb="1">
      <t>ハシラ</t>
    </rPh>
    <rPh sb="1" eb="2">
      <t>ダ</t>
    </rPh>
    <rPh sb="6" eb="7">
      <t>ト</t>
    </rPh>
    <rPh sb="8" eb="9">
      <t>ク</t>
    </rPh>
    <phoneticPr fontId="4"/>
  </si>
  <si>
    <t>柱立て８ （取り組み８）</t>
    <rPh sb="0" eb="1">
      <t>ハシラ</t>
    </rPh>
    <rPh sb="1" eb="2">
      <t>ダ</t>
    </rPh>
    <rPh sb="6" eb="7">
      <t>ト</t>
    </rPh>
    <rPh sb="8" eb="9">
      <t>ク</t>
    </rPh>
    <phoneticPr fontId="4"/>
  </si>
  <si>
    <t>柱立て９ （取り組み９）</t>
    <rPh sb="0" eb="1">
      <t>ハシラ</t>
    </rPh>
    <rPh sb="1" eb="2">
      <t>ダ</t>
    </rPh>
    <rPh sb="6" eb="7">
      <t>ト</t>
    </rPh>
    <rPh sb="8" eb="9">
      <t>ク</t>
    </rPh>
    <phoneticPr fontId="4"/>
  </si>
  <si>
    <t>柱立て10 （取り組み10）</t>
    <rPh sb="0" eb="1">
      <t>ハシラ</t>
    </rPh>
    <rPh sb="1" eb="2">
      <t>ダ</t>
    </rPh>
    <rPh sb="7" eb="8">
      <t>ト</t>
    </rPh>
    <rPh sb="9" eb="10">
      <t>ク</t>
    </rPh>
    <phoneticPr fontId="4"/>
  </si>
  <si>
    <r>
      <t xml:space="preserve">大費目
</t>
    </r>
    <r>
      <rPr>
        <sz val="14"/>
        <color theme="1"/>
        <rFont val="ＭＳ Ｐゴシック"/>
        <family val="3"/>
        <charset val="128"/>
      </rPr>
      <t>（項目）</t>
    </r>
    <rPh sb="0" eb="3">
      <t>ダイヒモク</t>
    </rPh>
    <rPh sb="5" eb="7">
      <t>コウモク</t>
    </rPh>
    <phoneticPr fontId="5"/>
  </si>
  <si>
    <t>収入入力表</t>
    <rPh sb="0" eb="2">
      <t>シュウニュウ</t>
    </rPh>
    <rPh sb="2" eb="4">
      <t>ニュウリョク</t>
    </rPh>
    <rPh sb="4" eb="5">
      <t>ヒョウ</t>
    </rPh>
    <phoneticPr fontId="4"/>
  </si>
  <si>
    <t>　　　　　　　総事業費の支出額内訳</t>
    <phoneticPr fontId="4"/>
  </si>
  <si>
    <t>一般会計繰入金（＝団体による投入資金）</t>
    <rPh sb="0" eb="2">
      <t>イッパン</t>
    </rPh>
    <rPh sb="2" eb="4">
      <t>カイケイ</t>
    </rPh>
    <rPh sb="4" eb="5">
      <t>ク</t>
    </rPh>
    <rPh sb="5" eb="6">
      <t>イ</t>
    </rPh>
    <rPh sb="6" eb="7">
      <t>キン</t>
    </rPh>
    <rPh sb="9" eb="11">
      <t>ダンタイ</t>
    </rPh>
    <rPh sb="14" eb="16">
      <t>トウニュウ</t>
    </rPh>
    <rPh sb="16" eb="18">
      <t>シキン</t>
    </rPh>
    <phoneticPr fontId="4"/>
  </si>
  <si>
    <t>柱立て１：小計</t>
    <rPh sb="0" eb="1">
      <t>ハシラ</t>
    </rPh>
    <rPh sb="1" eb="2">
      <t>ダ</t>
    </rPh>
    <phoneticPr fontId="4"/>
  </si>
  <si>
    <t>柱立て２：小計</t>
    <rPh sb="0" eb="1">
      <t>ハシラ</t>
    </rPh>
    <rPh sb="1" eb="2">
      <t>ダ</t>
    </rPh>
    <rPh sb="5" eb="7">
      <t>ショウケイ</t>
    </rPh>
    <phoneticPr fontId="4"/>
  </si>
  <si>
    <t>柱立て３：小計</t>
    <rPh sb="5" eb="7">
      <t>ショウケイ</t>
    </rPh>
    <phoneticPr fontId="4"/>
  </si>
  <si>
    <t>柱立て４：小計</t>
    <rPh sb="5" eb="7">
      <t>ショウケイ</t>
    </rPh>
    <phoneticPr fontId="4"/>
  </si>
  <si>
    <t>柱立て５：小計</t>
    <rPh sb="5" eb="7">
      <t>ショウケイ</t>
    </rPh>
    <phoneticPr fontId="4"/>
  </si>
  <si>
    <t>柱立て６：小計</t>
    <rPh sb="5" eb="7">
      <t>ショウケイ</t>
    </rPh>
    <phoneticPr fontId="4"/>
  </si>
  <si>
    <t>柱立て７：小計</t>
    <rPh sb="5" eb="7">
      <t>ショウケイ</t>
    </rPh>
    <phoneticPr fontId="4"/>
  </si>
  <si>
    <t>柱立て：８小計</t>
    <rPh sb="5" eb="7">
      <t>ショウケイ</t>
    </rPh>
    <phoneticPr fontId="4"/>
  </si>
  <si>
    <t>柱立て９：小計</t>
    <rPh sb="5" eb="7">
      <t>ショウケイ</t>
    </rPh>
    <phoneticPr fontId="4"/>
  </si>
  <si>
    <t>柱立て10：小計</t>
    <rPh sb="6" eb="8">
      <t>ショウケイ</t>
    </rPh>
    <phoneticPr fontId="4"/>
  </si>
  <si>
    <r>
      <rPr>
        <b/>
        <sz val="14"/>
        <color theme="1"/>
        <rFont val="ＭＳ Ｐゴシック"/>
        <family val="3"/>
        <charset val="128"/>
      </rPr>
      <t>摘要</t>
    </r>
    <r>
      <rPr>
        <sz val="12"/>
        <color theme="1"/>
        <rFont val="ＭＳ Ｐゴシック"/>
        <family val="3"/>
        <charset val="128"/>
      </rPr>
      <t xml:space="preserve">
支払いの具体的な内容</t>
    </r>
    <rPh sb="0" eb="2">
      <t>テキヨウ</t>
    </rPh>
    <rPh sb="4" eb="6">
      <t>シハラ</t>
    </rPh>
    <phoneticPr fontId="4"/>
  </si>
  <si>
    <t>各柱立ての経費の使用状況を確認する表です。</t>
    <rPh sb="0" eb="2">
      <t>カクハシラ</t>
    </rPh>
    <rPh sb="2" eb="3">
      <t>ダ</t>
    </rPh>
    <rPh sb="5" eb="7">
      <t>ケイヒ</t>
    </rPh>
    <rPh sb="8" eb="10">
      <t>シヨウ</t>
    </rPh>
    <rPh sb="10" eb="12">
      <t>ジョウキョウ</t>
    </rPh>
    <rPh sb="13" eb="15">
      <t>カクニン</t>
    </rPh>
    <rPh sb="17" eb="18">
      <t>ヒョウ</t>
    </rPh>
    <phoneticPr fontId="29"/>
  </si>
  <si>
    <t>総合計</t>
    <rPh sb="0" eb="1">
      <t>ソウ</t>
    </rPh>
    <rPh sb="1" eb="3">
      <t>ゴウケイ</t>
    </rPh>
    <phoneticPr fontId="4"/>
  </si>
  <si>
    <t>謝金</t>
    <rPh sb="0" eb="2">
      <t>シャキン</t>
    </rPh>
    <phoneticPr fontId="4"/>
  </si>
  <si>
    <t>旅費</t>
    <rPh sb="0" eb="2">
      <t>リョヒ</t>
    </rPh>
    <phoneticPr fontId="4"/>
  </si>
  <si>
    <t>所費</t>
    <rPh sb="0" eb="1">
      <t>ショ</t>
    </rPh>
    <rPh sb="1" eb="2">
      <t>ヒ</t>
    </rPh>
    <phoneticPr fontId="4"/>
  </si>
  <si>
    <t>対象外経費</t>
    <rPh sb="2" eb="3">
      <t>ガイ</t>
    </rPh>
    <phoneticPr fontId="4"/>
  </si>
  <si>
    <t>助成区分</t>
    <rPh sb="0" eb="2">
      <t>ジョセイ</t>
    </rPh>
    <rPh sb="2" eb="4">
      <t>クブン</t>
    </rPh>
    <phoneticPr fontId="4"/>
  </si>
  <si>
    <t>通常助成事業</t>
    <rPh sb="0" eb="2">
      <t>ツウジョウ</t>
    </rPh>
    <rPh sb="2" eb="4">
      <t>ジョセイ</t>
    </rPh>
    <rPh sb="4" eb="6">
      <t>ジギョウ</t>
    </rPh>
    <phoneticPr fontId="4"/>
  </si>
  <si>
    <t>補正予算事業</t>
    <rPh sb="0" eb="2">
      <t>ホセイ</t>
    </rPh>
    <rPh sb="2" eb="4">
      <t>ヨサン</t>
    </rPh>
    <rPh sb="4" eb="6">
      <t>ジギョウ</t>
    </rPh>
    <phoneticPr fontId="4"/>
  </si>
  <si>
    <t>モデル事業</t>
    <rPh sb="3" eb="5">
      <t>ジギョウ</t>
    </rPh>
    <phoneticPr fontId="4"/>
  </si>
  <si>
    <t>賃金（職員）</t>
    <rPh sb="0" eb="2">
      <t>チンギン</t>
    </rPh>
    <rPh sb="3" eb="5">
      <t>ショクイン</t>
    </rPh>
    <phoneticPr fontId="4"/>
  </si>
  <si>
    <t>賃金（アルバイト）</t>
    <rPh sb="0" eb="2">
      <t>チンギン</t>
    </rPh>
    <phoneticPr fontId="4"/>
  </si>
  <si>
    <t>5.家賃</t>
    <phoneticPr fontId="4"/>
  </si>
  <si>
    <t>6.光熱水費</t>
    <phoneticPr fontId="4"/>
  </si>
  <si>
    <t>7.備品購入費　　　</t>
    <phoneticPr fontId="4"/>
  </si>
  <si>
    <t>8.消耗品費</t>
    <phoneticPr fontId="4"/>
  </si>
  <si>
    <t>9.借料損料</t>
    <phoneticPr fontId="4"/>
  </si>
  <si>
    <t>10.印刷製本費</t>
    <phoneticPr fontId="4"/>
  </si>
  <si>
    <t>11.通信運搬費</t>
    <phoneticPr fontId="4"/>
  </si>
  <si>
    <t>13.雑役務費</t>
    <phoneticPr fontId="4"/>
  </si>
  <si>
    <t>14.保険料</t>
    <phoneticPr fontId="4"/>
  </si>
  <si>
    <t>4.賃金（アルバイト）</t>
    <rPh sb="2" eb="4">
      <t>チンギン</t>
    </rPh>
    <phoneticPr fontId="4"/>
  </si>
  <si>
    <t>助成種類</t>
    <rPh sb="0" eb="2">
      <t>ジョセイ</t>
    </rPh>
    <rPh sb="2" eb="4">
      <t>シュルイ</t>
    </rPh>
    <phoneticPr fontId="4"/>
  </si>
  <si>
    <t>【通常助成事業用】</t>
    <rPh sb="1" eb="3">
      <t>ツウジョウ</t>
    </rPh>
    <rPh sb="3" eb="5">
      <t>ジョセイ</t>
    </rPh>
    <rPh sb="5" eb="7">
      <t>ジギョウ</t>
    </rPh>
    <rPh sb="7" eb="8">
      <t>ヨウ</t>
    </rPh>
    <phoneticPr fontId="4"/>
  </si>
  <si>
    <t>【補正予算事業、モデル事業用】</t>
    <rPh sb="1" eb="3">
      <t>ホセイ</t>
    </rPh>
    <rPh sb="3" eb="5">
      <t>ヨサン</t>
    </rPh>
    <rPh sb="5" eb="7">
      <t>ジギョウ</t>
    </rPh>
    <rPh sb="11" eb="13">
      <t>ジギョウ</t>
    </rPh>
    <rPh sb="13" eb="14">
      <t>ヨウ</t>
    </rPh>
    <phoneticPr fontId="4"/>
  </si>
  <si>
    <t>賃金（職員）</t>
    <rPh sb="0" eb="2">
      <t>チンギン</t>
    </rPh>
    <rPh sb="3" eb="5">
      <t>ショクイン</t>
    </rPh>
    <phoneticPr fontId="4"/>
  </si>
  <si>
    <t>① 助成事業を実施するための対象経費</t>
    <rPh sb="2" eb="4">
      <t>ジョセイ</t>
    </rPh>
    <rPh sb="4" eb="6">
      <t>ジギョウ</t>
    </rPh>
    <rPh sb="7" eb="9">
      <t>ジッシ</t>
    </rPh>
    <rPh sb="14" eb="16">
      <t>タイショウ</t>
    </rPh>
    <rPh sb="16" eb="18">
      <t>ケイヒ</t>
    </rPh>
    <phoneticPr fontId="4"/>
  </si>
  <si>
    <t>（ａ） 上記助成対象経費の合計</t>
    <rPh sb="4" eb="6">
      <t>ジョウキ</t>
    </rPh>
    <rPh sb="6" eb="8">
      <t>ジョセイ</t>
    </rPh>
    <rPh sb="8" eb="10">
      <t>タイショウ</t>
    </rPh>
    <rPh sb="10" eb="12">
      <t>ケイヒ</t>
    </rPh>
    <rPh sb="13" eb="15">
      <t>ゴウケイ</t>
    </rPh>
    <phoneticPr fontId="4"/>
  </si>
  <si>
    <t>② 助成事業にかかる収入</t>
    <rPh sb="2" eb="4">
      <t>ジョセイ</t>
    </rPh>
    <rPh sb="4" eb="6">
      <t>ジギョウ</t>
    </rPh>
    <rPh sb="10" eb="12">
      <t>シュウニュウ</t>
    </rPh>
    <phoneticPr fontId="4"/>
  </si>
  <si>
    <t>助成事業による収入（参加費・利用料等）</t>
    <rPh sb="0" eb="2">
      <t>ジョセイ</t>
    </rPh>
    <phoneticPr fontId="4"/>
  </si>
  <si>
    <t>利息収入（助成事業専用口座利息）</t>
    <rPh sb="0" eb="2">
      <t>リソク</t>
    </rPh>
    <rPh sb="2" eb="4">
      <t>シュウニュウ</t>
    </rPh>
    <rPh sb="5" eb="7">
      <t>ジョセイ</t>
    </rPh>
    <rPh sb="7" eb="9">
      <t>ジギョウ</t>
    </rPh>
    <rPh sb="9" eb="11">
      <t>センヨウ</t>
    </rPh>
    <rPh sb="11" eb="13">
      <t>コウザ</t>
    </rPh>
    <rPh sb="13" eb="15">
      <t>リソク</t>
    </rPh>
    <phoneticPr fontId="4"/>
  </si>
  <si>
    <t>③ 助成金額の算定</t>
    <rPh sb="2" eb="4">
      <t>ジョセイ</t>
    </rPh>
    <rPh sb="4" eb="6">
      <t>キンガク</t>
    </rPh>
    <rPh sb="7" eb="9">
      <t>サンテイ</t>
    </rPh>
    <phoneticPr fontId="4"/>
  </si>
  <si>
    <r>
      <rPr>
        <b/>
        <u/>
        <sz val="11"/>
        <color rgb="FFFF0000"/>
        <rFont val="ＭＳ ゴシック"/>
        <family val="3"/>
        <charset val="128"/>
      </rPr>
      <t>対象</t>
    </r>
    <r>
      <rPr>
        <b/>
        <sz val="11"/>
        <color theme="1"/>
        <rFont val="ＭＳ ゴシック"/>
        <family val="3"/>
        <charset val="128"/>
      </rPr>
      <t>経費</t>
    </r>
    <rPh sb="0" eb="2">
      <t>タイショウ</t>
    </rPh>
    <rPh sb="2" eb="4">
      <t>ケイヒ</t>
    </rPh>
    <phoneticPr fontId="4"/>
  </si>
  <si>
    <r>
      <rPr>
        <b/>
        <u/>
        <sz val="11"/>
        <color rgb="FFFF0000"/>
        <rFont val="ＭＳ ゴシック"/>
        <family val="3"/>
        <charset val="128"/>
      </rPr>
      <t>対象外</t>
    </r>
    <r>
      <rPr>
        <b/>
        <sz val="11"/>
        <color theme="1"/>
        <rFont val="ＭＳ ゴシック"/>
        <family val="3"/>
        <charset val="128"/>
      </rPr>
      <t>経費</t>
    </r>
    <phoneticPr fontId="4"/>
  </si>
  <si>
    <t>助成事業における収入（参加費・利用料等）</t>
    <rPh sb="0" eb="2">
      <t>ジョセイ</t>
    </rPh>
    <rPh sb="2" eb="4">
      <t>ジギョウ</t>
    </rPh>
    <rPh sb="8" eb="10">
      <t>シュウニュウ</t>
    </rPh>
    <rPh sb="11" eb="14">
      <t>サンカヒ</t>
    </rPh>
    <rPh sb="15" eb="17">
      <t>リヨウ</t>
    </rPh>
    <rPh sb="17" eb="18">
      <t>リョウ</t>
    </rPh>
    <rPh sb="18" eb="19">
      <t>トウ</t>
    </rPh>
    <phoneticPr fontId="4"/>
  </si>
  <si>
    <t>3.賃金（職員） ※¹</t>
    <rPh sb="2" eb="4">
      <t>チンギン</t>
    </rPh>
    <rPh sb="5" eb="7">
      <t>ショクイン</t>
    </rPh>
    <phoneticPr fontId="4"/>
  </si>
  <si>
    <t>12.委託費 ※²</t>
    <phoneticPr fontId="4"/>
  </si>
  <si>
    <t>精算額（P40）＝</t>
    <rPh sb="0" eb="3">
      <t>セイサンガク</t>
    </rPh>
    <phoneticPr fontId="4"/>
  </si>
  <si>
    <r>
      <t>※² 12.委託費について、（A）総事業費に対する割合が</t>
    </r>
    <r>
      <rPr>
        <sz val="11"/>
        <color rgb="FFFF0000"/>
        <rFont val="游ゴシック"/>
        <family val="3"/>
        <charset val="128"/>
        <scheme val="minor"/>
      </rPr>
      <t>５０％以上</t>
    </r>
    <r>
      <rPr>
        <sz val="11"/>
        <color theme="1"/>
        <rFont val="游ゴシック"/>
        <family val="2"/>
        <charset val="128"/>
        <scheme val="minor"/>
      </rPr>
      <t>の場合、助成事業</t>
    </r>
    <r>
      <rPr>
        <sz val="11"/>
        <color rgb="FFFF0000"/>
        <rFont val="游ゴシック"/>
        <family val="3"/>
        <charset val="128"/>
        <scheme val="minor"/>
      </rPr>
      <t>対象外</t>
    </r>
    <r>
      <rPr>
        <sz val="11"/>
        <color theme="1"/>
        <rFont val="游ゴシック"/>
        <family val="2"/>
        <charset val="128"/>
        <scheme val="minor"/>
      </rPr>
      <t>となります。</t>
    </r>
    <phoneticPr fontId="4"/>
  </si>
  <si>
    <r>
      <t>※² 12.委託費について、（Ａ）総事業費に対する割合が５０％以上の場合、</t>
    </r>
    <r>
      <rPr>
        <sz val="11"/>
        <color rgb="FFFF0000"/>
        <rFont val="游ゴシック"/>
        <family val="3"/>
        <charset val="128"/>
        <scheme val="minor"/>
      </rPr>
      <t>助成事業対象外</t>
    </r>
    <r>
      <rPr>
        <sz val="11"/>
        <color theme="1"/>
        <rFont val="游ゴシック"/>
        <family val="2"/>
        <charset val="128"/>
        <scheme val="minor"/>
      </rPr>
      <t>となります。</t>
    </r>
    <rPh sb="17" eb="21">
      <t>ソウジギョウヒ</t>
    </rPh>
    <phoneticPr fontId="4"/>
  </si>
  <si>
    <r>
      <t>※¹ 3.賃金（職員）について、（E）助成決定額または（F）精算額のどちらか低い金額に対する割合が</t>
    </r>
    <r>
      <rPr>
        <sz val="11"/>
        <color rgb="FFFF0000"/>
        <rFont val="游ゴシック"/>
        <family val="3"/>
        <charset val="128"/>
        <scheme val="minor"/>
      </rPr>
      <t>５０％より大きい</t>
    </r>
    <r>
      <rPr>
        <sz val="11"/>
        <color theme="1"/>
        <rFont val="游ゴシック"/>
        <family val="2"/>
        <charset val="128"/>
        <scheme val="minor"/>
      </rPr>
      <t>場合、超過部分については助成事業</t>
    </r>
    <r>
      <rPr>
        <sz val="11"/>
        <color rgb="FFFF0000"/>
        <rFont val="游ゴシック"/>
        <family val="3"/>
        <charset val="128"/>
        <scheme val="minor"/>
      </rPr>
      <t>対象外</t>
    </r>
    <r>
      <rPr>
        <sz val="11"/>
        <color theme="1"/>
        <rFont val="游ゴシック"/>
        <family val="2"/>
        <charset val="128"/>
        <scheme val="minor"/>
      </rPr>
      <t>となります。</t>
    </r>
    <rPh sb="19" eb="21">
      <t>ジョセイ</t>
    </rPh>
    <rPh sb="21" eb="23">
      <t>ケッテイ</t>
    </rPh>
    <rPh sb="23" eb="24">
      <t>ガク</t>
    </rPh>
    <rPh sb="30" eb="33">
      <t>セイサンガク</t>
    </rPh>
    <rPh sb="54" eb="55">
      <t>オオ</t>
    </rPh>
    <rPh sb="60" eb="62">
      <t>チョウカ</t>
    </rPh>
    <rPh sb="62" eb="64">
      <t>ブブン</t>
    </rPh>
    <phoneticPr fontId="4"/>
  </si>
  <si>
    <r>
      <t>※</t>
    </r>
    <r>
      <rPr>
        <sz val="11"/>
        <color theme="1"/>
        <rFont val="游ゴシック"/>
        <family val="2"/>
        <charset val="128"/>
      </rPr>
      <t>¹</t>
    </r>
    <r>
      <rPr>
        <sz val="11"/>
        <color theme="1"/>
        <rFont val="游ゴシック"/>
        <family val="2"/>
        <charset val="128"/>
        <scheme val="minor"/>
      </rPr>
      <t xml:space="preserve"> 3.賃金（職員）について、（E）助成決定額または（F）精算額のどちらか低い金額に対する割合が</t>
    </r>
    <r>
      <rPr>
        <sz val="11"/>
        <color rgb="FFFF0000"/>
        <rFont val="游ゴシック"/>
        <family val="3"/>
        <charset val="128"/>
        <scheme val="minor"/>
      </rPr>
      <t>２５％より大きい</t>
    </r>
    <r>
      <rPr>
        <sz val="11"/>
        <color theme="1"/>
        <rFont val="游ゴシック"/>
        <family val="2"/>
        <charset val="128"/>
        <scheme val="minor"/>
      </rPr>
      <t>場合、超過部分については助成事業</t>
    </r>
    <r>
      <rPr>
        <sz val="11"/>
        <color rgb="FFFF0000"/>
        <rFont val="游ゴシック"/>
        <family val="3"/>
        <charset val="128"/>
        <scheme val="minor"/>
      </rPr>
      <t>対象外</t>
    </r>
    <r>
      <rPr>
        <sz val="11"/>
        <color theme="1"/>
        <rFont val="游ゴシック"/>
        <family val="2"/>
        <charset val="128"/>
        <scheme val="minor"/>
      </rPr>
      <t>となります。</t>
    </r>
    <rPh sb="19" eb="21">
      <t>ジョセイ</t>
    </rPh>
    <rPh sb="21" eb="23">
      <t>ケッテイ</t>
    </rPh>
    <rPh sb="23" eb="24">
      <t>ガク</t>
    </rPh>
    <rPh sb="30" eb="33">
      <t>セイサンガク</t>
    </rPh>
    <rPh sb="38" eb="39">
      <t>ヒク</t>
    </rPh>
    <rPh sb="40" eb="42">
      <t>キンガク</t>
    </rPh>
    <rPh sb="54" eb="55">
      <t>オオ</t>
    </rPh>
    <rPh sb="60" eb="62">
      <t>チョウカ</t>
    </rPh>
    <rPh sb="62" eb="64">
      <t>ブブン</t>
    </rPh>
    <phoneticPr fontId="4"/>
  </si>
  <si>
    <t>★職員賃金の上限について★</t>
    <rPh sb="1" eb="3">
      <t>ショクイン</t>
    </rPh>
    <rPh sb="3" eb="5">
      <t>チンギン</t>
    </rPh>
    <rPh sb="6" eb="8">
      <t>ジョウゲン</t>
    </rPh>
    <phoneticPr fontId="4"/>
  </si>
  <si>
    <t>円です。</t>
    <rPh sb="0" eb="1">
      <t>エン</t>
    </rPh>
    <phoneticPr fontId="4"/>
  </si>
  <si>
    <t>≪※団体へ送付する際はＷ列～AC列を非表示に！！≫</t>
    <rPh sb="2" eb="4">
      <t>ダンタイ</t>
    </rPh>
    <rPh sb="5" eb="7">
      <t>ソウフ</t>
    </rPh>
    <rPh sb="9" eb="10">
      <t>サイ</t>
    </rPh>
    <rPh sb="12" eb="13">
      <t>レツ</t>
    </rPh>
    <rPh sb="16" eb="17">
      <t>レツ</t>
    </rPh>
    <rPh sb="18" eb="21">
      <t>ヒヒョウジ</t>
    </rPh>
    <phoneticPr fontId="4"/>
  </si>
  <si>
    <t>※最終的な総支出額が決定額以下の場合、上限は表示金額以下となりますのでご注意ください。</t>
    <phoneticPr fontId="4"/>
  </si>
  <si>
    <t>決定額以上支出した場合、上限額は</t>
    <rPh sb="0" eb="2">
      <t>ケッテイ</t>
    </rPh>
    <rPh sb="2" eb="3">
      <t>ガク</t>
    </rPh>
    <rPh sb="3" eb="5">
      <t>イジョウ</t>
    </rPh>
    <rPh sb="5" eb="7">
      <t>シシュツ</t>
    </rPh>
    <rPh sb="9" eb="11">
      <t>バアイ</t>
    </rPh>
    <rPh sb="12" eb="14">
      <t>ジョウゲン</t>
    </rPh>
    <rPh sb="14" eb="15">
      <t>ガク</t>
    </rPh>
    <phoneticPr fontId="4"/>
  </si>
  <si>
    <t>購入日</t>
    <rPh sb="0" eb="2">
      <t>コウニュウ</t>
    </rPh>
    <rPh sb="2" eb="3">
      <t>ビ</t>
    </rPh>
    <phoneticPr fontId="4"/>
  </si>
  <si>
    <t>品名</t>
    <rPh sb="0" eb="2">
      <t>ヒンメイ</t>
    </rPh>
    <phoneticPr fontId="4"/>
  </si>
  <si>
    <t>④ 返還金について（該当団体のみ）</t>
    <rPh sb="2" eb="4">
      <t>ヘンカン</t>
    </rPh>
    <rPh sb="4" eb="5">
      <t>キン</t>
    </rPh>
    <rPh sb="10" eb="12">
      <t>ガイトウ</t>
    </rPh>
    <rPh sb="12" eb="14">
      <t>ダンタイ</t>
    </rPh>
    <phoneticPr fontId="4"/>
  </si>
  <si>
    <t>　　　返還金が発生した理由を具体的にご入力ください。　（例：○○により、□□の部分の費用が少なくなったため。）</t>
    <rPh sb="3" eb="6">
      <t>ヘンカンキン</t>
    </rPh>
    <rPh sb="7" eb="9">
      <t>ハッセイ</t>
    </rPh>
    <rPh sb="11" eb="13">
      <t>リユウ</t>
    </rPh>
    <rPh sb="14" eb="17">
      <t>グタイテキ</t>
    </rPh>
    <rPh sb="19" eb="21">
      <t>ニュウリョク</t>
    </rPh>
    <rPh sb="28" eb="29">
      <t>レイ</t>
    </rPh>
    <rPh sb="39" eb="41">
      <t>ブブン</t>
    </rPh>
    <rPh sb="42" eb="44">
      <t>ヒヨウ</t>
    </rPh>
    <rPh sb="45" eb="46">
      <t>スク</t>
    </rPh>
    <phoneticPr fontId="4"/>
  </si>
  <si>
    <t>⑤備品購入リスト（購入価格が３０万円以上の備品）</t>
    <rPh sb="1" eb="3">
      <t>ビヒン</t>
    </rPh>
    <rPh sb="3" eb="5">
      <t>コウニュウ</t>
    </rPh>
    <rPh sb="9" eb="11">
      <t>コウニュウ</t>
    </rPh>
    <rPh sb="11" eb="13">
      <t>カカク</t>
    </rPh>
    <rPh sb="16" eb="18">
      <t>マンエン</t>
    </rPh>
    <rPh sb="18" eb="20">
      <t>イジョウ</t>
    </rPh>
    <rPh sb="21" eb="23">
      <t>ビヒン</t>
    </rPh>
    <phoneticPr fontId="4"/>
  </si>
  <si>
    <t>団体基本情報入力</t>
    <rPh sb="6" eb="8">
      <t>ニュウリョク</t>
    </rPh>
    <phoneticPr fontId="4"/>
  </si>
  <si>
    <t>柱立て</t>
    <rPh sb="0" eb="1">
      <t>ハシラ</t>
    </rPh>
    <rPh sb="1" eb="2">
      <t>ダ</t>
    </rPh>
    <phoneticPr fontId="4"/>
  </si>
  <si>
    <t>　 領収書
    番号</t>
    <rPh sb="2" eb="5">
      <t>リョウシュウショ</t>
    </rPh>
    <rPh sb="10" eb="12">
      <t>バンゴウ</t>
    </rPh>
    <phoneticPr fontId="5"/>
  </si>
  <si>
    <t>（様式３）</t>
    <rPh sb="1" eb="3">
      <t>ヨウシキ</t>
    </rPh>
    <phoneticPr fontId="4"/>
  </si>
  <si>
    <t>入力時は「支出管理エクセルご利用マニュアル」を参考にして下さい。</t>
    <rPh sb="0" eb="2">
      <t>ニュウリョク</t>
    </rPh>
    <rPh sb="2" eb="3">
      <t>ジ</t>
    </rPh>
    <rPh sb="5" eb="9">
      <t>シシュツカンリ</t>
    </rPh>
    <rPh sb="14" eb="16">
      <t>リヨウ</t>
    </rPh>
    <rPh sb="23" eb="25">
      <t>サンコウ</t>
    </rPh>
    <rPh sb="28" eb="29">
      <t>クダ</t>
    </rPh>
    <phoneticPr fontId="4"/>
  </si>
  <si>
    <r>
      <rPr>
        <b/>
        <sz val="14"/>
        <color theme="1"/>
        <rFont val="ＭＳ Ｐゴシック"/>
        <family val="3"/>
        <charset val="128"/>
      </rPr>
      <t xml:space="preserve">
旅行区間および宿泊地</t>
    </r>
    <r>
      <rPr>
        <b/>
        <sz val="12"/>
        <color theme="1"/>
        <rFont val="ＭＳ Ｐゴシック"/>
        <family val="3"/>
        <charset val="128"/>
      </rPr>
      <t xml:space="preserve">
</t>
    </r>
    <r>
      <rPr>
        <sz val="12"/>
        <color theme="1"/>
        <rFont val="ＭＳ Ｐゴシック"/>
        <family val="3"/>
        <charset val="128"/>
      </rPr>
      <t xml:space="preserve">
区間と宿泊地をご入力ください。例：東京～大阪（宿泊：虎ノ門）</t>
    </r>
    <rPh sb="1" eb="3">
      <t>リョコウ</t>
    </rPh>
    <rPh sb="3" eb="5">
      <t>クカン</t>
    </rPh>
    <rPh sb="8" eb="11">
      <t>シュクハクチ</t>
    </rPh>
    <rPh sb="13" eb="15">
      <t>クカン</t>
    </rPh>
    <rPh sb="16" eb="19">
      <t>シュクハクチ</t>
    </rPh>
    <rPh sb="21" eb="23">
      <t>ニュウリョク</t>
    </rPh>
    <rPh sb="28" eb="29">
      <t>レイ</t>
    </rPh>
    <rPh sb="30" eb="32">
      <t>トウキョウ</t>
    </rPh>
    <rPh sb="33" eb="35">
      <t>オオサカ</t>
    </rPh>
    <rPh sb="36" eb="38">
      <t>シュクハク</t>
    </rPh>
    <rPh sb="39" eb="40">
      <t>トラ</t>
    </rPh>
    <rPh sb="41" eb="42">
      <t>モン</t>
    </rPh>
    <phoneticPr fontId="4"/>
  </si>
  <si>
    <r>
      <rPr>
        <b/>
        <sz val="14"/>
        <color theme="1"/>
        <rFont val="ＭＳ Ｐゴシック"/>
        <family val="3"/>
        <charset val="128"/>
      </rPr>
      <t>　　収入の相手方</t>
    </r>
    <r>
      <rPr>
        <b/>
        <sz val="11"/>
        <color theme="1"/>
        <rFont val="ＭＳ Ｐゴシック"/>
        <family val="3"/>
        <charset val="128"/>
      </rPr>
      <t xml:space="preserve">
</t>
    </r>
    <rPh sb="2" eb="4">
      <t>シュウニュウ</t>
    </rPh>
    <rPh sb="5" eb="7">
      <t>アイテ</t>
    </rPh>
    <rPh sb="7" eb="8">
      <t>カタ</t>
    </rPh>
    <phoneticPr fontId="4"/>
  </si>
  <si>
    <r>
      <rPr>
        <b/>
        <sz val="14"/>
        <color theme="1"/>
        <rFont val="ＭＳ Ｐゴシック"/>
        <family val="3"/>
        <charset val="128"/>
      </rPr>
      <t>収入金額</t>
    </r>
    <r>
      <rPr>
        <b/>
        <sz val="11"/>
        <color theme="1"/>
        <rFont val="ＭＳ Ｐゴシック"/>
        <family val="3"/>
        <charset val="128"/>
      </rPr>
      <t xml:space="preserve">
</t>
    </r>
    <rPh sb="0" eb="2">
      <t>シュウニュウ</t>
    </rPh>
    <rPh sb="2" eb="4">
      <t>キンガク</t>
    </rPh>
    <phoneticPr fontId="4"/>
  </si>
  <si>
    <r>
      <rPr>
        <b/>
        <sz val="14"/>
        <color theme="1"/>
        <rFont val="ＭＳ Ｐゴシック"/>
        <family val="3"/>
        <charset val="128"/>
      </rPr>
      <t xml:space="preserve">
収入の区分</t>
    </r>
    <r>
      <rPr>
        <sz val="11"/>
        <color theme="1"/>
        <rFont val="ＭＳ Ｐゴシック"/>
        <family val="3"/>
        <charset val="128"/>
      </rPr>
      <t xml:space="preserve">
（プルダウン選択）
</t>
    </r>
    <r>
      <rPr>
        <sz val="11"/>
        <color rgb="FFFF0000"/>
        <rFont val="ＭＳ Ｐゴシック"/>
        <family val="3"/>
        <charset val="128"/>
      </rPr>
      <t>WAMからの
助成金額は入力しないでください。</t>
    </r>
    <rPh sb="1" eb="3">
      <t>シュウニュウ</t>
    </rPh>
    <rPh sb="13" eb="15">
      <t>センタク</t>
    </rPh>
    <rPh sb="25" eb="27">
      <t>ジョセイ</t>
    </rPh>
    <rPh sb="27" eb="29">
      <t>キンガク</t>
    </rPh>
    <rPh sb="28" eb="30">
      <t>ニュウリョク</t>
    </rPh>
    <phoneticPr fontId="4"/>
  </si>
  <si>
    <t xml:space="preserve">柱立て番号 </t>
    <rPh sb="0" eb="1">
      <t>ハシラ</t>
    </rPh>
    <rPh sb="1" eb="2">
      <t>ダ</t>
    </rPh>
    <rPh sb="3" eb="5">
      <t>バンゴウ</t>
    </rPh>
    <phoneticPr fontId="4"/>
  </si>
  <si>
    <r>
      <rPr>
        <b/>
        <u/>
        <sz val="14"/>
        <color rgb="FFFF0000"/>
        <rFont val="ＭＳ Ｐゴシック"/>
        <family val="3"/>
        <charset val="128"/>
      </rPr>
      <t xml:space="preserve">対象
</t>
    </r>
    <r>
      <rPr>
        <b/>
        <u/>
        <sz val="14"/>
        <rFont val="ＭＳ Ｐゴシック"/>
        <family val="3"/>
        <charset val="128"/>
      </rPr>
      <t>経費</t>
    </r>
    <r>
      <rPr>
        <b/>
        <sz val="14"/>
        <rFont val="ＭＳ Ｐゴシック"/>
        <family val="3"/>
        <charset val="128"/>
      </rPr>
      <t xml:space="preserve">
</t>
    </r>
    <r>
      <rPr>
        <sz val="12"/>
        <rFont val="ＭＳ Ｐゴシック"/>
        <family val="3"/>
        <charset val="128"/>
      </rPr>
      <t xml:space="preserve">左列「金額」
のうち
</t>
    </r>
    <r>
      <rPr>
        <sz val="12"/>
        <color rgb="FFFF0000"/>
        <rFont val="ＭＳ Ｐゴシック"/>
        <family val="3"/>
        <charset val="128"/>
      </rPr>
      <t>対象</t>
    </r>
    <r>
      <rPr>
        <sz val="12"/>
        <rFont val="ＭＳ Ｐゴシック"/>
        <family val="3"/>
        <charset val="128"/>
      </rPr>
      <t>経費</t>
    </r>
    <phoneticPr fontId="4"/>
  </si>
  <si>
    <t>※総合計と精算額計算書が合わない場合は、M列に未入力のセルが含まれている場合があります→</t>
    <rPh sb="1" eb="2">
      <t>ソウ</t>
    </rPh>
    <rPh sb="2" eb="4">
      <t>ゴウケイ</t>
    </rPh>
    <rPh sb="5" eb="8">
      <t>セイサンガク</t>
    </rPh>
    <rPh sb="8" eb="11">
      <t>ケイサンショ</t>
    </rPh>
    <rPh sb="12" eb="13">
      <t>ア</t>
    </rPh>
    <rPh sb="16" eb="18">
      <t>バアイ</t>
    </rPh>
    <rPh sb="21" eb="22">
      <t>レツ</t>
    </rPh>
    <rPh sb="23" eb="26">
      <t>ミニュウリョク</t>
    </rPh>
    <rPh sb="30" eb="31">
      <t>フク</t>
    </rPh>
    <rPh sb="36" eb="38">
      <t>バアイ</t>
    </rPh>
    <phoneticPr fontId="4"/>
  </si>
  <si>
    <r>
      <t xml:space="preserve"> 支出年月日</t>
    </r>
    <r>
      <rPr>
        <sz val="12"/>
        <color theme="1"/>
        <rFont val="ＭＳ Ｐゴシック"/>
        <family val="3"/>
        <charset val="128"/>
      </rPr>
      <t xml:space="preserve">
入力形式は西暦(ex. 2024/4/1)
でも可
</t>
    </r>
    <r>
      <rPr>
        <b/>
        <sz val="12"/>
        <color rgb="FFFF0000"/>
        <rFont val="ＭＳ Ｐゴシック"/>
        <family val="3"/>
        <charset val="128"/>
      </rPr>
      <t>領収書の日付</t>
    </r>
    <r>
      <rPr>
        <sz val="12"/>
        <color theme="1"/>
        <rFont val="ＭＳ Ｐゴシック"/>
        <family val="3"/>
        <charset val="128"/>
      </rPr>
      <t>をご入力ください。</t>
    </r>
    <rPh sb="1" eb="3">
      <t>シシュツ</t>
    </rPh>
    <rPh sb="3" eb="6">
      <t>ネンガッピ</t>
    </rPh>
    <rPh sb="7" eb="8">
      <t>ビ</t>
    </rPh>
    <rPh sb="8" eb="10">
      <t>ニュウリョク</t>
    </rPh>
    <rPh sb="11" eb="12">
      <t>ニシ</t>
    </rPh>
    <rPh sb="30" eb="31">
      <t>カ</t>
    </rPh>
    <rPh sb="32" eb="33">
      <t>カ</t>
    </rPh>
    <rPh sb="35" eb="38">
      <t>リョウシュウショ</t>
    </rPh>
    <rPh sb="36" eb="38">
      <t>ヒヅケ</t>
    </rPh>
    <rPh sb="40" eb="42">
      <t>ニュウリョク</t>
    </rPh>
    <phoneticPr fontId="5"/>
  </si>
  <si>
    <r>
      <rPr>
        <b/>
        <u/>
        <sz val="14"/>
        <color rgb="FFFF0000"/>
        <rFont val="ＭＳ Ｐゴシック"/>
        <family val="3"/>
        <charset val="128"/>
      </rPr>
      <t xml:space="preserve">対象外
</t>
    </r>
    <r>
      <rPr>
        <b/>
        <sz val="14"/>
        <color theme="1"/>
        <rFont val="ＭＳ Ｐゴシック"/>
        <family val="3"/>
        <charset val="128"/>
      </rPr>
      <t>経費
（自動計算）</t>
    </r>
    <r>
      <rPr>
        <b/>
        <sz val="12"/>
        <color theme="1"/>
        <rFont val="ＭＳ Ｐゴシック"/>
        <family val="3"/>
        <charset val="128"/>
      </rPr>
      <t xml:space="preserve">
</t>
    </r>
    <rPh sb="0" eb="2">
      <t>タイショウ</t>
    </rPh>
    <rPh sb="2" eb="3">
      <t>ガイ</t>
    </rPh>
    <rPh sb="4" eb="6">
      <t>ケイヒ</t>
    </rPh>
    <rPh sb="8" eb="10">
      <t>ジドウ</t>
    </rPh>
    <rPh sb="10" eb="12">
      <t>ケイサン</t>
    </rPh>
    <phoneticPr fontId="4"/>
  </si>
  <si>
    <t>1.謝金（内部）</t>
    <rPh sb="5" eb="7">
      <t>ナイブ</t>
    </rPh>
    <phoneticPr fontId="4"/>
  </si>
  <si>
    <t>1.謝金（外部）</t>
    <phoneticPr fontId="4"/>
  </si>
  <si>
    <t>2.旅費</t>
    <rPh sb="2" eb="4">
      <t>リョヒ</t>
    </rPh>
    <phoneticPr fontId="4"/>
  </si>
  <si>
    <t>3.賃金（職員）</t>
    <rPh sb="2" eb="4">
      <t>チンギン</t>
    </rPh>
    <rPh sb="5" eb="7">
      <t>ショクイン</t>
    </rPh>
    <phoneticPr fontId="4"/>
  </si>
  <si>
    <t>5.家賃</t>
    <rPh sb="2" eb="4">
      <t>ヤチン</t>
    </rPh>
    <phoneticPr fontId="4"/>
  </si>
  <si>
    <t>6.光熱水費</t>
    <rPh sb="2" eb="5">
      <t>コウネツスイ</t>
    </rPh>
    <rPh sb="5" eb="6">
      <t>ヒ</t>
    </rPh>
    <phoneticPr fontId="4"/>
  </si>
  <si>
    <t>7.備品購入費</t>
    <rPh sb="2" eb="4">
      <t>ビヒン</t>
    </rPh>
    <rPh sb="4" eb="6">
      <t>コウニュウ</t>
    </rPh>
    <rPh sb="6" eb="7">
      <t>ヒ</t>
    </rPh>
    <phoneticPr fontId="4"/>
  </si>
  <si>
    <t>8.消耗品費</t>
    <rPh sb="2" eb="5">
      <t>ショウモウヒン</t>
    </rPh>
    <rPh sb="5" eb="6">
      <t>ヒ</t>
    </rPh>
    <phoneticPr fontId="4"/>
  </si>
  <si>
    <t>9.借料損料</t>
    <rPh sb="2" eb="4">
      <t>シャクリョウ</t>
    </rPh>
    <rPh sb="4" eb="6">
      <t>ソンリョウ</t>
    </rPh>
    <phoneticPr fontId="4"/>
  </si>
  <si>
    <t>10.印刷製本費</t>
    <rPh sb="3" eb="5">
      <t>インサツ</t>
    </rPh>
    <rPh sb="5" eb="7">
      <t>セイホン</t>
    </rPh>
    <rPh sb="7" eb="8">
      <t>ヒ</t>
    </rPh>
    <phoneticPr fontId="4"/>
  </si>
  <si>
    <t>11.通信運搬費</t>
    <rPh sb="3" eb="5">
      <t>ツウシン</t>
    </rPh>
    <rPh sb="5" eb="7">
      <t>ウンパン</t>
    </rPh>
    <rPh sb="7" eb="8">
      <t>ヒ</t>
    </rPh>
    <phoneticPr fontId="4"/>
  </si>
  <si>
    <t>12.委託費</t>
    <rPh sb="3" eb="5">
      <t>イタク</t>
    </rPh>
    <rPh sb="5" eb="6">
      <t>ヒ</t>
    </rPh>
    <phoneticPr fontId="4"/>
  </si>
  <si>
    <t>13.雑役務費</t>
    <rPh sb="3" eb="4">
      <t>ザツ</t>
    </rPh>
    <rPh sb="4" eb="6">
      <t>エキム</t>
    </rPh>
    <rPh sb="6" eb="7">
      <t>ヒ</t>
    </rPh>
    <phoneticPr fontId="4"/>
  </si>
  <si>
    <t>14.保険料</t>
    <rPh sb="3" eb="6">
      <t>ホケンリョウ</t>
    </rPh>
    <phoneticPr fontId="4"/>
  </si>
  <si>
    <r>
      <rPr>
        <b/>
        <sz val="14"/>
        <color theme="1"/>
        <rFont val="ＭＳ Ｐゴシック"/>
        <family val="3"/>
        <charset val="128"/>
      </rPr>
      <t xml:space="preserve"> 入金年月日
</t>
    </r>
    <r>
      <rPr>
        <b/>
        <sz val="11"/>
        <color theme="1"/>
        <rFont val="ＭＳ Ｐゴシック"/>
        <family val="3"/>
        <charset val="128"/>
      </rPr>
      <t xml:space="preserve">
</t>
    </r>
    <r>
      <rPr>
        <sz val="11"/>
        <color theme="1"/>
        <rFont val="ＭＳ Ｐゴシック"/>
        <family val="3"/>
        <charset val="128"/>
      </rPr>
      <t>入力形式は
西暦(ex. 2024/4/1)も可</t>
    </r>
    <rPh sb="1" eb="3">
      <t>ニュウキン</t>
    </rPh>
    <rPh sb="3" eb="5">
      <t>ネンゲツ</t>
    </rPh>
    <rPh sb="5" eb="6">
      <t>ヒ</t>
    </rPh>
    <rPh sb="8" eb="10">
      <t>ニュウリョク</t>
    </rPh>
    <rPh sb="10" eb="12">
      <t>ケイシキ</t>
    </rPh>
    <phoneticPr fontId="4"/>
  </si>
  <si>
    <t>修繕費</t>
    <rPh sb="0" eb="3">
      <t>シュウゼンヒ</t>
    </rPh>
    <phoneticPr fontId="4"/>
  </si>
  <si>
    <t>15.修繕費</t>
    <rPh sb="3" eb="6">
      <t>シュウゼンヒ</t>
    </rPh>
    <phoneticPr fontId="4"/>
  </si>
  <si>
    <t xml:space="preserve">担当者1 </t>
    <rPh sb="0" eb="3">
      <t>タントウシャ</t>
    </rPh>
    <phoneticPr fontId="4"/>
  </si>
  <si>
    <t>担当者2</t>
    <rPh sb="0" eb="3">
      <t>タントウシャ</t>
    </rPh>
    <phoneticPr fontId="4"/>
  </si>
  <si>
    <t>16.対象外経費</t>
    <rPh sb="3" eb="6">
      <t>タイショウガイ</t>
    </rPh>
    <rPh sb="6" eb="8">
      <t>ケイヒ</t>
    </rPh>
    <phoneticPr fontId="4"/>
  </si>
  <si>
    <t>1.謝金（内部）</t>
    <phoneticPr fontId="4"/>
  </si>
  <si>
    <t>1.謝金（外部）</t>
    <phoneticPr fontId="4"/>
  </si>
  <si>
    <t>15.修繕費</t>
    <rPh sb="3" eb="6">
      <t>シュウゼンヒ</t>
    </rPh>
    <phoneticPr fontId="4"/>
  </si>
  <si>
    <t>16.対象外経費</t>
    <rPh sb="3" eb="8">
      <t>タイショウガイケイヒ</t>
    </rPh>
    <phoneticPr fontId="4"/>
  </si>
  <si>
    <t>助成金決定時</t>
    <phoneticPr fontId="4"/>
  </si>
  <si>
    <t>使途</t>
  </si>
  <si>
    <t>使用頻度</t>
    <phoneticPr fontId="4"/>
  </si>
  <si>
    <t>単価（円）</t>
    <phoneticPr fontId="4"/>
  </si>
  <si>
    <t>個数（個）</t>
    <phoneticPr fontId="4"/>
  </si>
  <si>
    <t>保管場所</t>
    <phoneticPr fontId="4"/>
  </si>
  <si>
    <t>償却期日</t>
    <phoneticPr fontId="4"/>
  </si>
  <si>
    <t>耐用年数</t>
    <phoneticPr fontId="4"/>
  </si>
  <si>
    <r>
      <t>　　</t>
    </r>
    <r>
      <rPr>
        <b/>
        <sz val="14"/>
        <rFont val="ＭＳ Ｐゴシック"/>
        <family val="3"/>
        <charset val="128"/>
      </rPr>
      <t>金額</t>
    </r>
    <r>
      <rPr>
        <sz val="14"/>
        <rFont val="ＭＳ Ｐゴシック"/>
        <family val="3"/>
        <charset val="128"/>
      </rPr>
      <t xml:space="preserve">
</t>
    </r>
    <r>
      <rPr>
        <sz val="12"/>
        <rFont val="ＭＳ Ｐゴシック"/>
        <family val="3"/>
        <charset val="128"/>
      </rPr>
      <t>助成事業に
かかった金額
を入力ください。</t>
    </r>
    <rPh sb="2" eb="4">
      <t>キンガク</t>
    </rPh>
    <rPh sb="6" eb="10">
      <t>ジョセイジギョウ</t>
    </rPh>
    <rPh sb="16" eb="18">
      <t>キンガク</t>
    </rPh>
    <rPh sb="20" eb="22">
      <t>ニュウリョク</t>
    </rPh>
    <phoneticPr fontId="5"/>
  </si>
  <si>
    <t>★必ずしも支出年月日の順に入力する必要はありません。
入力漏れが判明した場合は、判明時点での最終行にご入力ください。
★「行」の挿入及び削除はできません。既に入力した文字や数値を削除する場合は、その行のセルの入力内容を全てクリアしてください。 
★枠外にある　　　　　　　　　　　　　　　　を必ずご確認ください。
★セルのコピーアンドペーストはしないでください。</t>
    <rPh sb="1" eb="2">
      <t>カナラ</t>
    </rPh>
    <rPh sb="5" eb="7">
      <t>シシュツ</t>
    </rPh>
    <rPh sb="7" eb="10">
      <t>ネンガッピ</t>
    </rPh>
    <rPh sb="11" eb="12">
      <t>ジュン</t>
    </rPh>
    <rPh sb="13" eb="15">
      <t>ニュウリョク</t>
    </rPh>
    <rPh sb="17" eb="19">
      <t>ヒツヨウ</t>
    </rPh>
    <phoneticPr fontId="4"/>
  </si>
  <si>
    <r>
      <rPr>
        <b/>
        <sz val="14"/>
        <color theme="1"/>
        <rFont val="ＭＳ Ｐゴシック"/>
        <family val="3"/>
        <charset val="128"/>
      </rPr>
      <t>科目</t>
    </r>
    <r>
      <rPr>
        <b/>
        <sz val="12"/>
        <color theme="1"/>
        <rFont val="ＭＳ Ｐゴシック"/>
        <family val="3"/>
        <charset val="128"/>
      </rPr>
      <t xml:space="preserve">
</t>
    </r>
    <r>
      <rPr>
        <sz val="12"/>
        <rFont val="ＭＳ Ｐゴシック"/>
        <family val="3"/>
        <charset val="128"/>
      </rPr>
      <t>(プルダウン選択)</t>
    </r>
    <rPh sb="0" eb="2">
      <t>カモク</t>
    </rPh>
    <phoneticPr fontId="4"/>
  </si>
  <si>
    <r>
      <rPr>
        <b/>
        <sz val="14"/>
        <color theme="1"/>
        <rFont val="ＭＳ Ｐゴシック"/>
        <family val="3"/>
        <charset val="128"/>
      </rPr>
      <t>支払いの相手方</t>
    </r>
    <r>
      <rPr>
        <sz val="12"/>
        <color theme="1"/>
        <rFont val="ＭＳ Ｐゴシック"/>
        <family val="3"/>
        <charset val="128"/>
      </rPr>
      <t xml:space="preserve">
</t>
    </r>
    <r>
      <rPr>
        <b/>
        <sz val="12"/>
        <color theme="1"/>
        <rFont val="ＭＳ Ｐゴシック"/>
        <family val="3"/>
        <charset val="128"/>
      </rPr>
      <t xml:space="preserve">
</t>
    </r>
    <rPh sb="0" eb="2">
      <t>シハラ</t>
    </rPh>
    <rPh sb="4" eb="6">
      <t>アイテ</t>
    </rPh>
    <rPh sb="6" eb="7">
      <t>カタ</t>
    </rPh>
    <phoneticPr fontId="4"/>
  </si>
  <si>
    <t>助成金決定時</t>
    <rPh sb="0" eb="6">
      <t>ジョセイキンケッテイジ</t>
    </rPh>
    <phoneticPr fontId="4"/>
  </si>
  <si>
    <t>完了時－決定時
（差額）</t>
    <rPh sb="0" eb="2">
      <t>カンリョウ</t>
    </rPh>
    <rPh sb="2" eb="3">
      <t>ジ</t>
    </rPh>
    <rPh sb="4" eb="6">
      <t>ケッテイ</t>
    </rPh>
    <rPh sb="6" eb="7">
      <t>ジ</t>
    </rPh>
    <rPh sb="7" eb="8">
      <t>ヨウジ</t>
    </rPh>
    <rPh sb="9" eb="11">
      <t>サガク</t>
    </rPh>
    <phoneticPr fontId="4"/>
  </si>
  <si>
    <t>決定時からの
金額の変動
（％）</t>
    <rPh sb="0" eb="2">
      <t>ケッテイ</t>
    </rPh>
    <phoneticPr fontId="4"/>
  </si>
  <si>
    <t>決定時からの
金額の変動
（％）</t>
    <rPh sb="0" eb="2">
      <t>ケッテイ</t>
    </rPh>
    <rPh sb="2" eb="3">
      <t>ジ</t>
    </rPh>
    <rPh sb="7" eb="9">
      <t>キンガク</t>
    </rPh>
    <rPh sb="10" eb="12">
      <t>ヘンドウ</t>
    </rPh>
    <phoneticPr fontId="4"/>
  </si>
  <si>
    <t>返還額
（Ｅ-Ｆ）　</t>
    <phoneticPr fontId="4"/>
  </si>
  <si>
    <t>精算額
(ＤとＥを比較して少ない方の額）（Ｆ）</t>
    <phoneticPr fontId="4"/>
  </si>
  <si>
    <t>決定額
（Ｅ）</t>
    <phoneticPr fontId="4"/>
  </si>
  <si>
    <t>千円</t>
    <rPh sb="0" eb="2">
      <t>センエン</t>
    </rPh>
    <phoneticPr fontId="4"/>
  </si>
  <si>
    <r>
      <t xml:space="preserve">最初にこちらを入力してください。ご入力が終わりましたら、次に
</t>
    </r>
    <r>
      <rPr>
        <u/>
        <sz val="11"/>
        <color theme="1"/>
        <rFont val="ＭＳ Ｐゴシック"/>
        <family val="3"/>
        <charset val="128"/>
      </rPr>
      <t>「精算額計算書：助成金決定時」に予算を入力しましょう。</t>
    </r>
    <rPh sb="0" eb="2">
      <t>サイショ</t>
    </rPh>
    <rPh sb="7" eb="9">
      <t>ニュウリョクジギョウ</t>
    </rPh>
    <rPh sb="17" eb="19">
      <t>ニュウリョク</t>
    </rPh>
    <rPh sb="20" eb="21">
      <t>オ</t>
    </rPh>
    <rPh sb="28" eb="29">
      <t>ツギ</t>
    </rPh>
    <rPh sb="32" eb="35">
      <t>セイサンガク</t>
    </rPh>
    <rPh sb="35" eb="38">
      <t>ケイサンショ</t>
    </rPh>
    <rPh sb="39" eb="45">
      <t>ジョセイキンケッテイジ</t>
    </rPh>
    <rPh sb="45" eb="46">
      <t>ヨウジ</t>
    </rPh>
    <rPh sb="47" eb="49">
      <t>ヨサン</t>
    </rPh>
    <rPh sb="50" eb="52">
      <t>ニュウリョク</t>
    </rPh>
    <phoneticPr fontId="29"/>
  </si>
  <si>
    <r>
      <rPr>
        <sz val="12"/>
        <color rgb="FFFF0000"/>
        <rFont val="ＭＳ Ｐゴシック"/>
        <family val="3"/>
        <charset val="128"/>
      </rPr>
      <t>その後</t>
    </r>
    <r>
      <rPr>
        <sz val="12"/>
        <color theme="1"/>
        <rFont val="ＭＳ Ｐゴシック"/>
        <family val="3"/>
        <charset val="128"/>
      </rPr>
      <t>支出や収入が発生しましたら支出入力表、収入入力表を適宜入力し、
事業完了時には精算額計算書、事業完了報告書のご入力をお願いいたします。</t>
    </r>
    <rPh sb="6" eb="8">
      <t>シュウニュウ</t>
    </rPh>
    <rPh sb="35" eb="37">
      <t>ジギョウ</t>
    </rPh>
    <phoneticPr fontId="4"/>
  </si>
  <si>
    <t>エラーチェック
（旅費区間以外の入力カウント）</t>
    <phoneticPr fontId="4"/>
  </si>
  <si>
    <t>未入力チェック</t>
    <rPh sb="0" eb="3">
      <t>ミニュウリョク</t>
    </rPh>
    <phoneticPr fontId="4"/>
  </si>
  <si>
    <t>（Ｂ） 寄付金その他の収入　</t>
    <rPh sb="4" eb="7">
      <t>キフキン</t>
    </rPh>
    <rPh sb="9" eb="10">
      <t>タ</t>
    </rPh>
    <rPh sb="11" eb="13">
      <t>シュウニュウ</t>
    </rPh>
    <phoneticPr fontId="4"/>
  </si>
  <si>
    <r>
      <t>助成事業にかかった</t>
    </r>
    <r>
      <rPr>
        <b/>
        <sz val="11"/>
        <color rgb="FFFF0000"/>
        <rFont val="ＭＳ Ｐゴシック"/>
        <family val="3"/>
        <charset val="128"/>
      </rPr>
      <t>【 支出 】</t>
    </r>
    <r>
      <rPr>
        <sz val="11"/>
        <color theme="1"/>
        <rFont val="ＭＳ Ｐゴシック"/>
        <family val="3"/>
        <charset val="128"/>
      </rPr>
      <t>を入力する表です。支出が発生しましたら、ピンク色のセルに入力/プルダウン選択をしてください。</t>
    </r>
    <rPh sb="0" eb="2">
      <t>ジョセイ</t>
    </rPh>
    <rPh sb="2" eb="4">
      <t>ジギョウ</t>
    </rPh>
    <rPh sb="11" eb="13">
      <t>シシュツ</t>
    </rPh>
    <rPh sb="16" eb="18">
      <t>ニュウリョク</t>
    </rPh>
    <rPh sb="20" eb="21">
      <t>ヒョウ</t>
    </rPh>
    <rPh sb="24" eb="26">
      <t>シシュツ</t>
    </rPh>
    <rPh sb="27" eb="29">
      <t>ハッセイ</t>
    </rPh>
    <rPh sb="38" eb="39">
      <t>イロ</t>
    </rPh>
    <phoneticPr fontId="29"/>
  </si>
  <si>
    <r>
      <t>助成事業による</t>
    </r>
    <r>
      <rPr>
        <b/>
        <sz val="11"/>
        <color rgb="FFFF0000"/>
        <rFont val="ＭＳ Ｐゴシック"/>
        <family val="3"/>
        <charset val="128"/>
      </rPr>
      <t>【 収入 】</t>
    </r>
    <r>
      <rPr>
        <sz val="11"/>
        <color theme="1"/>
        <rFont val="ＭＳ Ｐゴシック"/>
        <family val="3"/>
        <charset val="128"/>
      </rPr>
      <t>を入力する表です。収入が発生しましたら、ピンク色のセルに入力/プルダウン選択をしてください。</t>
    </r>
    <rPh sb="0" eb="2">
      <t>ジョセイ</t>
    </rPh>
    <rPh sb="2" eb="4">
      <t>ジギョウ</t>
    </rPh>
    <rPh sb="9" eb="11">
      <t>シュウニュウ</t>
    </rPh>
    <rPh sb="14" eb="16">
      <t>ニュウリョク</t>
    </rPh>
    <rPh sb="18" eb="19">
      <t>ヒョウ</t>
    </rPh>
    <rPh sb="22" eb="24">
      <t>シュウニュウ</t>
    </rPh>
    <rPh sb="25" eb="27">
      <t>ハッセイ</t>
    </rPh>
    <rPh sb="36" eb="37">
      <t>イロ</t>
    </rPh>
    <phoneticPr fontId="29"/>
  </si>
  <si>
    <t>予算の消化状況を確認する表です。随時ご確認しながら事業を進めてください。助成金決定時欄に予算の入力がお済の際は、事業完了時にピンク色のセルに入力してください。</t>
    <rPh sb="0" eb="2">
      <t>ヨサン</t>
    </rPh>
    <rPh sb="3" eb="5">
      <t>ショウカ</t>
    </rPh>
    <rPh sb="5" eb="7">
      <t>ジョウキョウ</t>
    </rPh>
    <rPh sb="8" eb="10">
      <t>カクニン</t>
    </rPh>
    <rPh sb="12" eb="13">
      <t>ヒョウ</t>
    </rPh>
    <rPh sb="16" eb="18">
      <t>ズイジ</t>
    </rPh>
    <rPh sb="19" eb="21">
      <t>カクニン</t>
    </rPh>
    <rPh sb="25" eb="27">
      <t>ジギョウ</t>
    </rPh>
    <rPh sb="28" eb="29">
      <t>スス</t>
    </rPh>
    <rPh sb="36" eb="39">
      <t>ジョセイキン</t>
    </rPh>
    <rPh sb="39" eb="41">
      <t>ケッテイ</t>
    </rPh>
    <rPh sb="41" eb="42">
      <t>ジ</t>
    </rPh>
    <rPh sb="42" eb="43">
      <t>ラン</t>
    </rPh>
    <rPh sb="44" eb="46">
      <t>ヨサン</t>
    </rPh>
    <rPh sb="47" eb="49">
      <t>ニュウリョク</t>
    </rPh>
    <rPh sb="51" eb="52">
      <t>スミ</t>
    </rPh>
    <rPh sb="53" eb="54">
      <t>サイ</t>
    </rPh>
    <rPh sb="56" eb="58">
      <t>ジギョウ</t>
    </rPh>
    <rPh sb="58" eb="60">
      <t>カンリョウ</t>
    </rPh>
    <rPh sb="60" eb="61">
      <t>ジ</t>
    </rPh>
    <rPh sb="65" eb="66">
      <t>イロ</t>
    </rPh>
    <rPh sb="70" eb="72">
      <t>ニュウリョク</t>
    </rPh>
    <phoneticPr fontId="29"/>
  </si>
  <si>
    <r>
      <rPr>
        <b/>
        <sz val="11"/>
        <color rgb="FFFF0000"/>
        <rFont val="ＭＳ Ｐゴシック"/>
        <family val="3"/>
        <charset val="128"/>
      </rPr>
      <t>事業完了時にご提出いただく書類</t>
    </r>
    <r>
      <rPr>
        <sz val="11"/>
        <color theme="1"/>
        <rFont val="ＭＳ Ｐゴシック"/>
        <family val="3"/>
        <charset val="128"/>
      </rPr>
      <t>で、
事業完了時から１か月以内または令和7年4月末日の
いずれか早い日までに、押印・ご郵送いただきます。
作業時にはピンク色のセルに入力してください。</t>
    </r>
    <rPh sb="0" eb="2">
      <t>ジギョウ</t>
    </rPh>
    <rPh sb="2" eb="4">
      <t>カンリョウ</t>
    </rPh>
    <rPh sb="4" eb="5">
      <t>ジ</t>
    </rPh>
    <rPh sb="7" eb="9">
      <t>テイシュツ</t>
    </rPh>
    <rPh sb="13" eb="15">
      <t>ショルイ</t>
    </rPh>
    <rPh sb="18" eb="20">
      <t>ジギョウ</t>
    </rPh>
    <rPh sb="20" eb="22">
      <t>カンリョウ</t>
    </rPh>
    <rPh sb="22" eb="23">
      <t>ジ</t>
    </rPh>
    <rPh sb="27" eb="28">
      <t>ゲツ</t>
    </rPh>
    <rPh sb="28" eb="30">
      <t>イナイ</t>
    </rPh>
    <rPh sb="33" eb="35">
      <t>レイワ</t>
    </rPh>
    <rPh sb="36" eb="37">
      <t>ネン</t>
    </rPh>
    <rPh sb="38" eb="39">
      <t>ガツ</t>
    </rPh>
    <rPh sb="39" eb="41">
      <t>マツジツ</t>
    </rPh>
    <rPh sb="47" eb="48">
      <t>ハヤ</t>
    </rPh>
    <rPh sb="49" eb="50">
      <t>ヒ</t>
    </rPh>
    <rPh sb="54" eb="56">
      <t>オウイン</t>
    </rPh>
    <rPh sb="58" eb="60">
      <t>ユウソウ</t>
    </rPh>
    <rPh sb="68" eb="71">
      <t>サギョウジ</t>
    </rPh>
    <rPh sb="76" eb="77">
      <t>イロ</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</si>
</sst>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円&quot;"/>
    <numFmt numFmtId="177" formatCode="0_);\(0\)"/>
    <numFmt numFmtId="178" formatCode="[$-411]ge\.m\.d;@"/>
    <numFmt numFmtId="179" formatCode="0.0%"/>
    <numFmt numFmtId="180" formatCode="0_);[Red]\(0\)"/>
    <numFmt numFmtId="181" formatCode="#,##0_ "/>
  </numFmts>
  <fonts count="75">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ＭＳ Ｐゴシック"/>
      <family val="3"/>
      <charset val="128"/>
    </font>
    <font>
      <sz val="6"/>
      <name val="游ゴシック"/>
      <family val="2"/>
      <charset val="128"/>
      <scheme val="minor"/>
    </font>
    <font>
      <sz val="6"/>
      <name val="游ゴシック"/>
      <family val="3"/>
      <charset val="128"/>
      <scheme val="minor"/>
    </font>
    <font>
      <sz val="14"/>
      <name val="ＭＳ Ｐゴシック"/>
      <family val="3"/>
      <charset val="128"/>
    </font>
    <font>
      <sz val="12"/>
      <color theme="1"/>
      <name val="ＭＳ Ｐゴシック"/>
      <family val="3"/>
      <charset val="128"/>
    </font>
    <font>
      <sz val="11"/>
      <color indexed="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b/>
      <sz val="8"/>
      <color theme="1"/>
      <name val="ＭＳ Ｐゴシック"/>
      <family val="3"/>
      <charset val="128"/>
    </font>
    <font>
      <u/>
      <sz val="9"/>
      <color theme="1"/>
      <name val="ＭＳ Ｐゴシック"/>
      <family val="3"/>
      <charset val="128"/>
    </font>
    <font>
      <b/>
      <sz val="14"/>
      <color theme="1"/>
      <name val="ＭＳ Ｐゴシック"/>
      <family val="3"/>
      <charset val="128"/>
    </font>
    <font>
      <b/>
      <sz val="9"/>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sz val="16"/>
      <color theme="1"/>
      <name val="ＭＳ Ｐゴシック"/>
      <family val="3"/>
      <charset val="128"/>
    </font>
    <font>
      <u/>
      <sz val="9.35"/>
      <color indexed="12"/>
      <name val="ＭＳ Ｐゴシック"/>
      <family val="3"/>
      <charset val="128"/>
    </font>
    <font>
      <sz val="6"/>
      <name val="ＭＳ Ｐゴシック"/>
      <family val="3"/>
      <charset val="128"/>
    </font>
    <font>
      <b/>
      <sz val="18"/>
      <color theme="1"/>
      <name val="ＭＳ Ｐゴシック"/>
      <family val="3"/>
      <charset val="128"/>
    </font>
    <font>
      <sz val="11"/>
      <color theme="0"/>
      <name val="ＭＳ Ｐ明朝"/>
      <family val="1"/>
      <charset val="128"/>
    </font>
    <font>
      <b/>
      <sz val="11"/>
      <name val="ＭＳ Ｐゴシック"/>
      <family val="3"/>
      <charset val="128"/>
    </font>
    <font>
      <sz val="11"/>
      <color theme="0"/>
      <name val="游ゴシック"/>
      <family val="2"/>
      <charset val="128"/>
      <scheme val="minor"/>
    </font>
    <font>
      <b/>
      <u/>
      <sz val="14"/>
      <color indexed="12"/>
      <name val="ＭＳ Ｐゴシック"/>
      <family val="3"/>
      <charset val="128"/>
    </font>
    <font>
      <b/>
      <sz val="11"/>
      <color rgb="FFFF0000"/>
      <name val="ＭＳ Ｐゴシック"/>
      <family val="3"/>
      <charset val="128"/>
    </font>
    <font>
      <b/>
      <sz val="16"/>
      <color theme="1"/>
      <name val="ＭＳ Ｐゴシック"/>
      <family val="3"/>
      <charset val="128"/>
    </font>
    <font>
      <sz val="24"/>
      <color theme="1"/>
      <name val="ＭＳ Ｐゴシック"/>
      <family val="3"/>
      <charset val="128"/>
    </font>
    <font>
      <b/>
      <sz val="12"/>
      <color rgb="FFFF0000"/>
      <name val="ＭＳ Ｐゴシック"/>
      <family val="3"/>
      <charset val="128"/>
    </font>
    <font>
      <sz val="11"/>
      <color theme="0"/>
      <name val="ＭＳ Ｐゴシック"/>
      <family val="3"/>
      <charset val="128"/>
    </font>
    <font>
      <b/>
      <u/>
      <sz val="14"/>
      <color rgb="FFFF0000"/>
      <name val="ＭＳ Ｐゴシック"/>
      <family val="3"/>
      <charset val="128"/>
    </font>
    <font>
      <b/>
      <sz val="11"/>
      <color theme="1"/>
      <name val="ＭＳ ゴシック"/>
      <family val="3"/>
      <charset val="128"/>
    </font>
    <font>
      <b/>
      <u/>
      <sz val="11"/>
      <color rgb="FFFF0000"/>
      <name val="ＭＳ ゴシック"/>
      <family val="3"/>
      <charset val="128"/>
    </font>
    <font>
      <b/>
      <u/>
      <sz val="10"/>
      <color rgb="FFFF0000"/>
      <name val="ＭＳ Ｐゴシック"/>
      <family val="3"/>
      <charset val="128"/>
    </font>
    <font>
      <b/>
      <u/>
      <sz val="22"/>
      <color indexed="12"/>
      <name val="ＭＳ Ｐゴシック"/>
      <family val="3"/>
      <charset val="128"/>
    </font>
    <font>
      <b/>
      <sz val="11"/>
      <color indexed="12"/>
      <name val="ＭＳ Ｐゴシック"/>
      <family val="3"/>
      <charset val="128"/>
    </font>
    <font>
      <sz val="24"/>
      <name val="ＭＳ Ｐゴシック"/>
      <family val="3"/>
      <charset val="128"/>
    </font>
    <font>
      <sz val="24"/>
      <color theme="1"/>
      <name val="游ゴシック"/>
      <family val="3"/>
      <charset val="128"/>
      <scheme val="minor"/>
    </font>
    <font>
      <b/>
      <sz val="16"/>
      <color theme="1"/>
      <name val="游ゴシック"/>
      <family val="3"/>
      <charset val="128"/>
      <scheme val="minor"/>
    </font>
    <font>
      <sz val="8"/>
      <color theme="1"/>
      <name val="游ゴシック"/>
      <family val="2"/>
      <charset val="128"/>
      <scheme val="minor"/>
    </font>
    <font>
      <sz val="16"/>
      <color theme="1"/>
      <name val="游ゴシック"/>
      <family val="3"/>
      <charset val="128"/>
      <scheme val="minor"/>
    </font>
    <font>
      <b/>
      <sz val="14"/>
      <name val="ＭＳ Ｐゴシック"/>
      <family val="3"/>
      <charset val="128"/>
    </font>
    <font>
      <b/>
      <sz val="14"/>
      <color theme="1"/>
      <name val="ＭＳ ゴシック"/>
      <family val="3"/>
      <charset val="128"/>
    </font>
    <font>
      <sz val="14"/>
      <color theme="1"/>
      <name val="ＭＳ ゴシック"/>
      <family val="3"/>
      <charset val="128"/>
    </font>
    <font>
      <sz val="11"/>
      <color rgb="FFFF0000"/>
      <name val="游ゴシック"/>
      <family val="3"/>
      <charset val="128"/>
      <scheme val="minor"/>
    </font>
    <font>
      <sz val="10.5"/>
      <color theme="1"/>
      <name val="游明朝"/>
      <family val="1"/>
      <charset val="128"/>
    </font>
    <font>
      <b/>
      <sz val="14"/>
      <color rgb="FFFF0000"/>
      <name val="游ゴシック"/>
      <family val="3"/>
      <charset val="128"/>
    </font>
    <font>
      <sz val="11"/>
      <name val="游ゴシック"/>
      <family val="3"/>
      <charset val="128"/>
    </font>
    <font>
      <b/>
      <sz val="9"/>
      <color indexed="81"/>
      <name val="MS P ゴシック"/>
      <family val="3"/>
      <charset val="128"/>
    </font>
    <font>
      <sz val="11"/>
      <color theme="1"/>
      <name val="游ゴシック"/>
      <family val="2"/>
      <charset val="128"/>
    </font>
    <font>
      <sz val="9"/>
      <color indexed="81"/>
      <name val="MS P ゴシック"/>
      <family val="3"/>
      <charset val="128"/>
    </font>
    <font>
      <b/>
      <sz val="12"/>
      <color theme="1"/>
      <name val="ＭＳ ゴシック"/>
      <family val="3"/>
      <charset val="128"/>
    </font>
    <font>
      <b/>
      <u/>
      <sz val="14"/>
      <color rgb="FFFF0000"/>
      <name val="游ゴシック"/>
      <family val="3"/>
      <charset val="128"/>
      <scheme val="minor"/>
    </font>
    <font>
      <b/>
      <sz val="20"/>
      <color theme="1"/>
      <name val="游ゴシック"/>
      <family val="3"/>
      <charset val="128"/>
      <scheme val="minor"/>
    </font>
    <font>
      <u/>
      <sz val="11"/>
      <name val="游ゴシック"/>
      <family val="3"/>
      <charset val="128"/>
      <scheme val="minor"/>
    </font>
    <font>
      <b/>
      <u/>
      <sz val="16"/>
      <color theme="0"/>
      <name val="游ゴシック"/>
      <family val="3"/>
      <charset val="128"/>
      <scheme val="minor"/>
    </font>
    <font>
      <sz val="12"/>
      <name val="ＭＳ Ｐゴシック"/>
      <family val="3"/>
      <charset val="128"/>
    </font>
    <font>
      <sz val="11"/>
      <color rgb="FFFF0000"/>
      <name val="ＭＳ Ｐゴシック"/>
      <family val="3"/>
      <charset val="128"/>
    </font>
    <font>
      <b/>
      <u/>
      <sz val="14"/>
      <name val="ＭＳ Ｐゴシック"/>
      <family val="3"/>
      <charset val="128"/>
    </font>
    <font>
      <sz val="12"/>
      <color rgb="FFFF0000"/>
      <name val="ＭＳ Ｐゴシック"/>
      <family val="3"/>
      <charset val="128"/>
    </font>
    <font>
      <b/>
      <sz val="14"/>
      <color theme="0"/>
      <name val="游ゴシック"/>
      <family val="3"/>
      <charset val="128"/>
      <scheme val="minor"/>
    </font>
    <font>
      <b/>
      <sz val="11"/>
      <color rgb="FFFF0000"/>
      <name val="ＭＳ ゴシック"/>
      <family val="3"/>
      <charset val="128"/>
    </font>
    <font>
      <b/>
      <sz val="10"/>
      <color rgb="FFFF0000"/>
      <name val="ＭＳ Ｐゴシック"/>
      <family val="3"/>
      <charset val="128"/>
    </font>
    <font>
      <b/>
      <sz val="12"/>
      <color rgb="FFFF0000"/>
      <name val="游ゴシック"/>
      <family val="3"/>
      <charset val="128"/>
      <scheme val="minor"/>
    </font>
    <font>
      <b/>
      <i/>
      <u val="double"/>
      <sz val="16"/>
      <color rgb="FFFF0000"/>
      <name val="游ゴシック"/>
      <family val="3"/>
      <charset val="128"/>
      <scheme val="minor"/>
    </font>
  </fonts>
  <fills count="10">
    <fill>
      <patternFill patternType="none"/>
    </fill>
    <fill>
      <patternFill patternType="gray125"/>
    </fill>
    <fill>
      <patternFill patternType="solid">
        <fgColor rgb="FF00B0F0"/>
        <bgColor indexed="64"/>
      </patternFill>
    </fill>
    <fill>
      <patternFill patternType="solid">
        <fgColor rgb="FF99FF99"/>
        <bgColor indexed="64"/>
      </patternFill>
    </fill>
    <fill>
      <patternFill patternType="solid">
        <fgColor rgb="FF99FFCC"/>
        <bgColor indexed="64"/>
      </patternFill>
    </fill>
    <fill>
      <patternFill patternType="solid">
        <fgColor rgb="FFFFFF00"/>
        <bgColor indexed="64"/>
      </patternFill>
    </fill>
    <fill>
      <patternFill patternType="solid">
        <fgColor theme="0" tint="-0.249977111117893"/>
        <bgColor indexed="64"/>
      </patternFill>
    </fill>
    <fill>
      <patternFill patternType="solid">
        <fgColor rgb="FFCCECFF"/>
        <bgColor indexed="64"/>
      </patternFill>
    </fill>
    <fill>
      <patternFill patternType="solid">
        <fgColor rgb="FFFF0000"/>
        <bgColor indexed="64"/>
      </patternFill>
    </fill>
    <fill>
      <patternFill patternType="solid">
        <fgColor theme="2" tint="-9.9978637043366805E-2"/>
        <bgColor indexed="64"/>
      </patternFill>
    </fill>
  </fills>
  <borders count="144">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auto="1"/>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auto="1"/>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auto="1"/>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auto="1"/>
      </bottom>
      <diagonal/>
    </border>
    <border>
      <left/>
      <right/>
      <top style="double">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double">
        <color auto="1"/>
      </top>
      <bottom style="thin">
        <color auto="1"/>
      </bottom>
      <diagonal/>
    </border>
    <border>
      <left style="hair">
        <color auto="1"/>
      </left>
      <right style="medium">
        <color auto="1"/>
      </right>
      <top style="double">
        <color auto="1"/>
      </top>
      <bottom style="thin">
        <color auto="1"/>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double">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hair">
        <color indexed="64"/>
      </left>
      <right style="hair">
        <color indexed="64"/>
      </right>
      <top style="double">
        <color indexed="64"/>
      </top>
      <bottom style="thin">
        <color indexed="64"/>
      </bottom>
      <diagonal/>
    </border>
    <border>
      <left/>
      <right style="medium">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auto="1"/>
      </right>
      <top/>
      <bottom style="medium">
        <color indexed="64"/>
      </bottom>
      <diagonal/>
    </border>
    <border>
      <left style="hair">
        <color auto="1"/>
      </left>
      <right/>
      <top/>
      <bottom style="medium">
        <color auto="1"/>
      </bottom>
      <diagonal/>
    </border>
    <border>
      <left style="thin">
        <color indexed="64"/>
      </left>
      <right style="hair">
        <color auto="1"/>
      </right>
      <top style="medium">
        <color indexed="64"/>
      </top>
      <bottom style="medium">
        <color indexed="64"/>
      </bottom>
      <diagonal/>
    </border>
    <border>
      <left style="hair">
        <color auto="1"/>
      </left>
      <right style="thin">
        <color indexed="64"/>
      </right>
      <top style="medium">
        <color indexed="64"/>
      </top>
      <bottom style="medium">
        <color auto="1"/>
      </bottom>
      <diagonal/>
    </border>
    <border>
      <left style="thin">
        <color indexed="64"/>
      </left>
      <right style="thin">
        <color indexed="64"/>
      </right>
      <top style="medium">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double">
        <color auto="1"/>
      </top>
      <bottom style="thin">
        <color indexed="64"/>
      </bottom>
      <diagonal/>
    </border>
    <border>
      <left style="hair">
        <color indexed="64"/>
      </left>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auto="1"/>
      </right>
      <top style="thin">
        <color auto="1"/>
      </top>
      <bottom style="thin">
        <color auto="1"/>
      </bottom>
      <diagonal/>
    </border>
    <border>
      <left style="thin">
        <color indexed="64"/>
      </left>
      <right style="medium">
        <color auto="1"/>
      </right>
      <top style="thin">
        <color auto="1"/>
      </top>
      <bottom style="double">
        <color auto="1"/>
      </bottom>
      <diagonal/>
    </border>
    <border>
      <left style="thin">
        <color indexed="64"/>
      </left>
      <right style="medium">
        <color auto="1"/>
      </right>
      <top style="double">
        <color auto="1"/>
      </top>
      <bottom style="thin">
        <color auto="1"/>
      </bottom>
      <diagonal/>
    </border>
    <border>
      <left style="medium">
        <color auto="1"/>
      </left>
      <right/>
      <top style="double">
        <color auto="1"/>
      </top>
      <bottom style="thin">
        <color auto="1"/>
      </bottom>
      <diagonal/>
    </border>
    <border>
      <left style="medium">
        <color auto="1"/>
      </left>
      <right/>
      <top style="thin">
        <color auto="1"/>
      </top>
      <bottom style="double">
        <color auto="1"/>
      </bottom>
      <diagonal/>
    </border>
    <border>
      <left style="medium">
        <color indexed="64"/>
      </left>
      <right style="hair">
        <color indexed="64"/>
      </right>
      <top style="hair">
        <color indexed="64"/>
      </top>
      <bottom/>
      <diagonal/>
    </border>
    <border>
      <left style="thin">
        <color indexed="64"/>
      </left>
      <right/>
      <top style="hair">
        <color indexed="64"/>
      </top>
      <bottom style="double">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553">
    <xf numFmtId="0" fontId="0" fillId="0" borderId="0" xfId="0">
      <alignment vertical="center"/>
    </xf>
    <xf numFmtId="0" fontId="9" fillId="0" borderId="0" xfId="0" applyFont="1">
      <alignment vertical="center"/>
    </xf>
    <xf numFmtId="0" fontId="0" fillId="0" borderId="0" xfId="0" applyBorder="1">
      <alignment vertical="center"/>
    </xf>
    <xf numFmtId="0" fontId="0" fillId="0" borderId="0" xfId="0" applyFill="1">
      <alignment vertical="center"/>
    </xf>
    <xf numFmtId="0" fontId="28" fillId="0" borderId="0" xfId="4" applyAlignment="1" applyProtection="1">
      <alignment vertical="center"/>
    </xf>
    <xf numFmtId="0" fontId="21" fillId="0" borderId="0" xfId="0" applyFont="1" applyProtection="1">
      <alignment vertical="center"/>
      <protection locked="0"/>
    </xf>
    <xf numFmtId="0" fontId="21" fillId="0" borderId="0" xfId="0" applyFont="1" applyFill="1" applyProtection="1">
      <alignment vertical="center"/>
    </xf>
    <xf numFmtId="0" fontId="22" fillId="0" borderId="0" xfId="0" applyFont="1" applyFill="1" applyProtection="1">
      <alignment vertical="center"/>
    </xf>
    <xf numFmtId="0" fontId="19" fillId="0" borderId="20" xfId="0" applyFont="1" applyBorder="1" applyProtection="1">
      <alignment vertical="center"/>
    </xf>
    <xf numFmtId="0" fontId="0" fillId="0" borderId="0" xfId="0" applyProtection="1">
      <alignment vertical="center"/>
    </xf>
    <xf numFmtId="0" fontId="0" fillId="0" borderId="20" xfId="0" applyBorder="1" applyProtection="1">
      <alignment vertical="center"/>
    </xf>
    <xf numFmtId="0" fontId="0" fillId="0" borderId="20" xfId="0" applyBorder="1">
      <alignment vertical="center"/>
    </xf>
    <xf numFmtId="0" fontId="21" fillId="0" borderId="0" xfId="0" applyFont="1" applyProtection="1">
      <alignment vertical="center"/>
    </xf>
    <xf numFmtId="0" fontId="9" fillId="0" borderId="0" xfId="0" applyFont="1" applyProtection="1">
      <alignment vertical="center"/>
    </xf>
    <xf numFmtId="0" fontId="20" fillId="0" borderId="0" xfId="0" applyFont="1" applyAlignment="1" applyProtection="1">
      <alignment horizontal="left" vertical="center"/>
    </xf>
    <xf numFmtId="0" fontId="9" fillId="0" borderId="0" xfId="0" applyFont="1" applyBorder="1" applyAlignment="1" applyProtection="1">
      <alignment horizontal="center" vertical="center"/>
    </xf>
    <xf numFmtId="0" fontId="21" fillId="0" borderId="0" xfId="0" applyFont="1" applyAlignment="1" applyProtection="1">
      <alignment horizontal="right" vertical="center"/>
    </xf>
    <xf numFmtId="0" fontId="21" fillId="0" borderId="0" xfId="0" applyFont="1" applyAlignment="1" applyProtection="1">
      <alignment horizontal="center" vertical="center"/>
    </xf>
    <xf numFmtId="0" fontId="21" fillId="0" borderId="0" xfId="0" applyFont="1" applyAlignment="1" applyProtection="1">
      <alignment vertical="center"/>
    </xf>
    <xf numFmtId="0" fontId="21" fillId="0" borderId="0" xfId="0" applyFont="1" applyFill="1" applyAlignment="1" applyProtection="1">
      <alignment vertical="center"/>
    </xf>
    <xf numFmtId="0" fontId="31" fillId="0" borderId="0" xfId="0" applyFont="1" applyAlignment="1" applyProtection="1">
      <alignment horizontal="right" vertical="center"/>
    </xf>
    <xf numFmtId="176" fontId="24" fillId="0" borderId="19" xfId="0" applyNumberFormat="1" applyFont="1" applyBorder="1" applyAlignment="1" applyProtection="1">
      <alignment vertical="center"/>
    </xf>
    <xf numFmtId="3" fontId="24" fillId="0" borderId="17" xfId="0" applyNumberFormat="1" applyFont="1" applyBorder="1" applyAlignment="1" applyProtection="1">
      <alignment vertical="center"/>
    </xf>
    <xf numFmtId="0" fontId="24" fillId="0" borderId="19" xfId="0" applyFont="1" applyBorder="1" applyAlignment="1" applyProtection="1">
      <alignment vertical="center"/>
    </xf>
    <xf numFmtId="0" fontId="24" fillId="0" borderId="21" xfId="0" applyFont="1" applyBorder="1" applyAlignment="1" applyProtection="1">
      <alignment vertical="center"/>
    </xf>
    <xf numFmtId="0" fontId="21" fillId="0" borderId="22" xfId="0" applyFont="1" applyBorder="1" applyProtection="1">
      <alignment vertical="center"/>
    </xf>
    <xf numFmtId="177" fontId="21" fillId="0" borderId="0" xfId="0" applyNumberFormat="1" applyFont="1" applyProtection="1">
      <alignment vertical="center"/>
    </xf>
    <xf numFmtId="177" fontId="25" fillId="0" borderId="0" xfId="0" applyNumberFormat="1" applyFont="1" applyProtection="1">
      <alignment vertical="center"/>
    </xf>
    <xf numFmtId="0" fontId="0" fillId="0" borderId="0" xfId="0" applyBorder="1" applyProtection="1">
      <alignment vertical="center"/>
    </xf>
    <xf numFmtId="0" fontId="13" fillId="0" borderId="0" xfId="0" applyFont="1" applyAlignment="1" applyProtection="1">
      <alignment horizontal="left" vertical="center"/>
    </xf>
    <xf numFmtId="0" fontId="12" fillId="0" borderId="0" xfId="0" applyFont="1" applyBorder="1" applyAlignment="1" applyProtection="1">
      <alignment vertical="center"/>
    </xf>
    <xf numFmtId="0" fontId="9" fillId="0" borderId="8" xfId="0" applyFont="1" applyBorder="1" applyProtection="1">
      <alignment vertical="center"/>
    </xf>
    <xf numFmtId="0" fontId="9" fillId="0" borderId="0" xfId="0" applyFont="1" applyBorder="1" applyProtection="1">
      <alignment vertical="center"/>
    </xf>
    <xf numFmtId="0" fontId="9" fillId="0" borderId="28" xfId="0" applyFont="1" applyBorder="1" applyProtection="1">
      <alignment vertical="center"/>
    </xf>
    <xf numFmtId="0" fontId="9" fillId="0" borderId="9" xfId="0" applyFont="1" applyBorder="1" applyProtection="1">
      <alignment vertical="center"/>
    </xf>
    <xf numFmtId="0" fontId="0" fillId="0" borderId="0" xfId="0" applyFill="1" applyBorder="1" applyProtection="1">
      <alignment vertical="center"/>
    </xf>
    <xf numFmtId="0" fontId="36" fillId="0" borderId="0" xfId="0" applyFont="1" applyProtection="1">
      <alignment vertical="center"/>
    </xf>
    <xf numFmtId="0" fontId="11" fillId="0" borderId="0" xfId="0" applyFont="1" applyProtection="1">
      <alignment vertical="center"/>
    </xf>
    <xf numFmtId="0" fontId="9" fillId="0" borderId="12" xfId="0" applyFont="1" applyBorder="1" applyProtection="1">
      <alignment vertical="center"/>
    </xf>
    <xf numFmtId="0" fontId="9" fillId="0" borderId="16" xfId="0" applyFont="1" applyBorder="1" applyProtection="1">
      <alignment vertical="center"/>
    </xf>
    <xf numFmtId="177" fontId="25" fillId="0" borderId="0" xfId="0" applyNumberFormat="1" applyFont="1" applyAlignment="1" applyProtection="1">
      <alignment vertical="center"/>
    </xf>
    <xf numFmtId="0" fontId="16"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9" fillId="0" borderId="0" xfId="0" applyFont="1" applyBorder="1" applyAlignment="1" applyProtection="1">
      <alignment horizontal="right" vertical="center"/>
    </xf>
    <xf numFmtId="178" fontId="39" fillId="0" borderId="0" xfId="0" applyNumberFormat="1" applyFont="1" applyAlignment="1" applyProtection="1">
      <alignment horizontal="left" vertical="center" wrapText="1"/>
    </xf>
    <xf numFmtId="0" fontId="11" fillId="0" borderId="0" xfId="0" applyFont="1" applyBorder="1" applyAlignment="1" applyProtection="1">
      <alignment horizontal="center" vertical="center"/>
    </xf>
    <xf numFmtId="3" fontId="9" fillId="0" borderId="0" xfId="0" applyNumberFormat="1" applyFont="1" applyBorder="1" applyAlignment="1" applyProtection="1">
      <alignment horizontal="right" vertical="center"/>
    </xf>
    <xf numFmtId="0" fontId="11" fillId="0" borderId="24" xfId="0" applyFont="1" applyBorder="1" applyAlignment="1" applyProtection="1">
      <alignment horizontal="right" vertical="center"/>
    </xf>
    <xf numFmtId="0" fontId="9" fillId="0" borderId="22" xfId="0" applyFont="1" applyBorder="1" applyProtection="1">
      <alignment vertical="center"/>
    </xf>
    <xf numFmtId="0" fontId="0" fillId="0" borderId="37" xfId="0" applyFill="1" applyBorder="1" applyProtection="1">
      <alignment vertical="center"/>
    </xf>
    <xf numFmtId="0" fontId="0" fillId="0" borderId="37" xfId="0" applyBorder="1" applyProtection="1">
      <alignment vertical="center"/>
    </xf>
    <xf numFmtId="0" fontId="0" fillId="0" borderId="0" xfId="0" applyFill="1" applyProtection="1">
      <alignment vertical="center"/>
    </xf>
    <xf numFmtId="0" fontId="17" fillId="0" borderId="0" xfId="0" applyFont="1" applyBorder="1" applyAlignment="1" applyProtection="1">
      <alignment vertical="top" wrapText="1"/>
    </xf>
    <xf numFmtId="178" fontId="33" fillId="0" borderId="0" xfId="0" applyNumberFormat="1" applyFont="1" applyProtection="1">
      <alignment vertical="center"/>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21" fillId="0" borderId="0" xfId="0" applyFont="1" applyFill="1" applyAlignment="1" applyProtection="1">
      <alignment vertical="center" wrapText="1"/>
    </xf>
    <xf numFmtId="0" fontId="27" fillId="0" borderId="0" xfId="0" applyFont="1" applyAlignment="1" applyProtection="1">
      <alignment vertical="center"/>
    </xf>
    <xf numFmtId="0" fontId="36" fillId="0" borderId="0" xfId="0" applyFont="1" applyFill="1" applyAlignment="1" applyProtection="1">
      <alignment horizontal="left" vertical="center"/>
    </xf>
    <xf numFmtId="0" fontId="9" fillId="0" borderId="0" xfId="0" applyFont="1" applyFill="1" applyProtection="1">
      <alignment vertical="center"/>
    </xf>
    <xf numFmtId="0" fontId="11" fillId="0" borderId="0" xfId="0" applyFont="1" applyFill="1" applyProtection="1">
      <alignment vertical="center"/>
    </xf>
    <xf numFmtId="0" fontId="23" fillId="0" borderId="0" xfId="0" applyFont="1" applyAlignment="1" applyProtection="1">
      <alignment vertical="center"/>
    </xf>
    <xf numFmtId="0" fontId="23" fillId="0" borderId="0" xfId="0" applyFont="1" applyAlignment="1" applyProtection="1">
      <alignment horizontal="center" vertical="center"/>
    </xf>
    <xf numFmtId="0" fontId="30" fillId="0" borderId="0" xfId="0" applyFont="1" applyBorder="1" applyAlignment="1" applyProtection="1">
      <alignment horizontal="left" vertical="top"/>
    </xf>
    <xf numFmtId="0" fontId="44" fillId="0" borderId="9" xfId="4" applyFont="1" applyFill="1" applyBorder="1" applyAlignment="1" applyProtection="1">
      <protection locked="0"/>
    </xf>
    <xf numFmtId="178" fontId="9" fillId="0" borderId="71" xfId="0" applyNumberFormat="1" applyFont="1" applyBorder="1" applyAlignment="1" applyProtection="1">
      <alignment horizontal="center" vertical="center"/>
      <protection locked="0"/>
    </xf>
    <xf numFmtId="0" fontId="9" fillId="0" borderId="72" xfId="0" applyFont="1" applyBorder="1" applyAlignment="1" applyProtection="1">
      <alignment horizontal="center" vertical="center"/>
      <protection locked="0"/>
    </xf>
    <xf numFmtId="0" fontId="9" fillId="0" borderId="72" xfId="0" applyFont="1" applyBorder="1" applyAlignment="1" applyProtection="1">
      <alignment horizontal="left" vertical="center"/>
      <protection locked="0"/>
    </xf>
    <xf numFmtId="0" fontId="10" fillId="0" borderId="73" xfId="2" applyFont="1" applyBorder="1" applyAlignment="1" applyProtection="1">
      <alignment horizontal="right" vertical="center"/>
      <protection locked="0"/>
    </xf>
    <xf numFmtId="38" fontId="9" fillId="0" borderId="4" xfId="1" applyFont="1" applyBorder="1" applyAlignment="1" applyProtection="1">
      <alignment horizontal="right" vertical="center"/>
      <protection locked="0"/>
    </xf>
    <xf numFmtId="0" fontId="44" fillId="0" borderId="0" xfId="4" applyFont="1" applyFill="1" applyAlignment="1" applyProtection="1">
      <protection locked="0"/>
    </xf>
    <xf numFmtId="178" fontId="7" fillId="0" borderId="71" xfId="2" applyNumberFormat="1" applyFont="1" applyBorder="1" applyAlignment="1" applyProtection="1">
      <alignment horizontal="center" vertical="center"/>
      <protection locked="0"/>
    </xf>
    <xf numFmtId="0" fontId="9" fillId="0" borderId="5" xfId="0" applyFont="1" applyBorder="1" applyAlignment="1" applyProtection="1">
      <alignment horizontal="left" vertical="center"/>
    </xf>
    <xf numFmtId="0" fontId="9" fillId="0" borderId="78" xfId="0" applyFont="1" applyBorder="1" applyAlignment="1" applyProtection="1">
      <alignment horizontal="left" vertical="center"/>
    </xf>
    <xf numFmtId="0" fontId="9" fillId="0" borderId="82" xfId="0" applyFont="1" applyFill="1" applyBorder="1" applyAlignment="1" applyProtection="1">
      <alignment horizontal="left" vertical="center"/>
      <protection locked="0"/>
    </xf>
    <xf numFmtId="0" fontId="9" fillId="0" borderId="83" xfId="0" applyFont="1" applyFill="1" applyBorder="1" applyAlignment="1" applyProtection="1">
      <alignment horizontal="left" vertical="center"/>
      <protection locked="0"/>
    </xf>
    <xf numFmtId="0" fontId="11" fillId="4" borderId="51" xfId="0" applyFont="1" applyFill="1" applyBorder="1" applyAlignment="1" applyProtection="1">
      <alignment horizontal="center" vertical="center"/>
    </xf>
    <xf numFmtId="0" fontId="11" fillId="4" borderId="44" xfId="0" applyFont="1" applyFill="1" applyBorder="1" applyAlignment="1" applyProtection="1">
      <alignment horizontal="center" vertical="center"/>
    </xf>
    <xf numFmtId="0" fontId="11" fillId="4" borderId="70" xfId="0" applyFont="1" applyFill="1" applyBorder="1" applyAlignment="1" applyProtection="1">
      <alignment horizontal="center" vertical="center"/>
    </xf>
    <xf numFmtId="0" fontId="9" fillId="0" borderId="71" xfId="0" applyFont="1" applyBorder="1" applyAlignment="1" applyProtection="1">
      <alignment horizontal="left" vertical="center"/>
    </xf>
    <xf numFmtId="49" fontId="18" fillId="0" borderId="72" xfId="0" applyNumberFormat="1" applyFont="1" applyBorder="1" applyAlignment="1" applyProtection="1">
      <alignment horizontal="right" vertical="center"/>
    </xf>
    <xf numFmtId="0" fontId="9" fillId="0" borderId="72" xfId="0" applyFont="1" applyBorder="1" applyAlignment="1" applyProtection="1">
      <alignment horizontal="left" vertical="center"/>
    </xf>
    <xf numFmtId="38" fontId="18" fillId="0" borderId="72" xfId="1" applyFont="1" applyBorder="1" applyAlignment="1" applyProtection="1">
      <alignment horizontal="right" vertical="center"/>
    </xf>
    <xf numFmtId="0" fontId="18" fillId="0" borderId="72" xfId="0" applyFont="1" applyBorder="1" applyAlignment="1" applyProtection="1">
      <alignment horizontal="center" vertical="center"/>
    </xf>
    <xf numFmtId="0" fontId="9" fillId="0" borderId="4" xfId="0" applyFont="1" applyBorder="1" applyAlignment="1" applyProtection="1">
      <alignment horizontal="left" vertical="center"/>
    </xf>
    <xf numFmtId="49" fontId="18" fillId="0" borderId="5" xfId="0" applyNumberFormat="1" applyFont="1" applyFill="1" applyBorder="1" applyAlignment="1" applyProtection="1">
      <alignment horizontal="right" vertical="center"/>
    </xf>
    <xf numFmtId="0" fontId="9" fillId="0" borderId="5" xfId="0" applyFont="1" applyFill="1" applyBorder="1" applyAlignment="1" applyProtection="1">
      <alignment horizontal="left" vertical="center"/>
    </xf>
    <xf numFmtId="38" fontId="18" fillId="0" borderId="5" xfId="1" applyFont="1" applyFill="1" applyBorder="1" applyAlignment="1" applyProtection="1">
      <alignment horizontal="right" vertical="center"/>
    </xf>
    <xf numFmtId="0" fontId="18" fillId="0" borderId="5" xfId="0" applyFont="1" applyFill="1" applyBorder="1" applyAlignment="1" applyProtection="1">
      <alignment horizontal="center" vertical="center"/>
    </xf>
    <xf numFmtId="0" fontId="26" fillId="0" borderId="4" xfId="0" applyFont="1" applyBorder="1" applyAlignment="1" applyProtection="1">
      <alignment horizontal="left" vertical="center"/>
    </xf>
    <xf numFmtId="0" fontId="26" fillId="0" borderId="77" xfId="0" applyFont="1" applyBorder="1" applyAlignment="1" applyProtection="1">
      <alignment horizontal="left" vertical="center"/>
    </xf>
    <xf numFmtId="49" fontId="18" fillId="0" borderId="78" xfId="0" applyNumberFormat="1" applyFont="1" applyFill="1" applyBorder="1" applyAlignment="1" applyProtection="1">
      <alignment horizontal="right" vertical="center"/>
    </xf>
    <xf numFmtId="0" fontId="9" fillId="0" borderId="78" xfId="0" applyFont="1" applyFill="1" applyBorder="1" applyAlignment="1" applyProtection="1">
      <alignment horizontal="left" vertical="center"/>
    </xf>
    <xf numFmtId="38" fontId="18" fillId="0" borderId="78" xfId="1" applyFont="1" applyFill="1" applyBorder="1" applyAlignment="1" applyProtection="1">
      <alignment horizontal="right" vertical="center"/>
    </xf>
    <xf numFmtId="0" fontId="18" fillId="0" borderId="78" xfId="0" applyFont="1" applyFill="1" applyBorder="1" applyAlignment="1" applyProtection="1">
      <alignment horizontal="center" vertical="center"/>
    </xf>
    <xf numFmtId="49" fontId="18" fillId="0" borderId="72" xfId="0" applyNumberFormat="1" applyFont="1" applyFill="1" applyBorder="1" applyAlignment="1" applyProtection="1">
      <alignment horizontal="right" vertical="center"/>
    </xf>
    <xf numFmtId="0" fontId="9" fillId="0" borderId="72" xfId="0" applyFont="1" applyFill="1" applyBorder="1" applyAlignment="1" applyProtection="1">
      <alignment horizontal="left" vertical="center"/>
    </xf>
    <xf numFmtId="38" fontId="18" fillId="0" borderId="72" xfId="1" applyFont="1" applyFill="1" applyBorder="1" applyAlignment="1" applyProtection="1">
      <alignment horizontal="right" vertical="center"/>
    </xf>
    <xf numFmtId="0" fontId="18" fillId="0" borderId="72" xfId="0" applyFont="1" applyFill="1" applyBorder="1" applyAlignment="1" applyProtection="1">
      <alignment horizontal="center" vertical="center"/>
    </xf>
    <xf numFmtId="49" fontId="18" fillId="0" borderId="5" xfId="0" applyNumberFormat="1" applyFont="1" applyBorder="1" applyAlignment="1" applyProtection="1">
      <alignment horizontal="right" vertical="center"/>
    </xf>
    <xf numFmtId="38" fontId="18" fillId="0" borderId="5" xfId="1" applyFont="1" applyBorder="1" applyAlignment="1" applyProtection="1">
      <alignment horizontal="right" vertical="center"/>
    </xf>
    <xf numFmtId="0" fontId="18" fillId="0" borderId="5" xfId="0" applyFont="1" applyBorder="1" applyAlignment="1" applyProtection="1">
      <alignment horizontal="center" vertical="center"/>
    </xf>
    <xf numFmtId="49" fontId="18" fillId="0" borderId="78" xfId="0" applyNumberFormat="1" applyFont="1" applyBorder="1" applyAlignment="1" applyProtection="1">
      <alignment horizontal="right" vertical="center"/>
    </xf>
    <xf numFmtId="38" fontId="18" fillId="0" borderId="78" xfId="1" applyFont="1" applyBorder="1" applyAlignment="1" applyProtection="1">
      <alignment horizontal="right" vertical="center"/>
    </xf>
    <xf numFmtId="0" fontId="18" fillId="0" borderId="78" xfId="0" applyFont="1" applyBorder="1" applyAlignment="1" applyProtection="1">
      <alignment horizontal="center" vertical="center"/>
    </xf>
    <xf numFmtId="0" fontId="18" fillId="5" borderId="80" xfId="0" applyFont="1" applyFill="1" applyBorder="1" applyAlignment="1" applyProtection="1">
      <alignment horizontal="center" vertical="center"/>
    </xf>
    <xf numFmtId="38" fontId="18" fillId="5" borderId="80" xfId="1" applyFont="1" applyFill="1" applyBorder="1" applyAlignment="1" applyProtection="1">
      <alignment horizontal="right" vertical="center"/>
    </xf>
    <xf numFmtId="178" fontId="0" fillId="5" borderId="0" xfId="0" applyNumberFormat="1" applyFill="1" applyProtection="1">
      <alignment vertical="center"/>
    </xf>
    <xf numFmtId="38" fontId="15" fillId="0" borderId="78" xfId="1" applyFont="1" applyFill="1" applyBorder="1" applyAlignment="1" applyProtection="1">
      <alignment horizontal="right" vertical="center"/>
    </xf>
    <xf numFmtId="38" fontId="15" fillId="0" borderId="78" xfId="1" applyFont="1" applyBorder="1" applyAlignment="1" applyProtection="1">
      <alignment horizontal="right" vertical="center"/>
    </xf>
    <xf numFmtId="0" fontId="26" fillId="3" borderId="67" xfId="0" applyFont="1" applyFill="1" applyBorder="1" applyAlignment="1" applyProtection="1">
      <alignment horizontal="left" vertical="center"/>
    </xf>
    <xf numFmtId="38" fontId="18" fillId="3" borderId="90" xfId="1" applyFont="1" applyFill="1" applyBorder="1" applyAlignment="1" applyProtection="1">
      <alignment horizontal="right" vertical="center"/>
    </xf>
    <xf numFmtId="0" fontId="18" fillId="3" borderId="90" xfId="0" applyFont="1" applyFill="1" applyBorder="1" applyAlignment="1" applyProtection="1">
      <alignment horizontal="center" vertical="center"/>
    </xf>
    <xf numFmtId="0" fontId="26" fillId="3" borderId="87" xfId="0" applyFont="1" applyFill="1" applyBorder="1" applyAlignment="1" applyProtection="1">
      <alignment horizontal="left" vertical="center"/>
    </xf>
    <xf numFmtId="38" fontId="18" fillId="3" borderId="88" xfId="1" applyFont="1" applyFill="1" applyBorder="1" applyAlignment="1" applyProtection="1">
      <alignment horizontal="right" vertical="center"/>
    </xf>
    <xf numFmtId="0" fontId="18" fillId="3" borderId="88" xfId="0" applyFont="1" applyFill="1" applyBorder="1" applyAlignment="1" applyProtection="1">
      <alignment horizontal="center" vertical="center"/>
    </xf>
    <xf numFmtId="0" fontId="9" fillId="0" borderId="81" xfId="0" applyFont="1" applyFill="1" applyBorder="1" applyAlignment="1" applyProtection="1">
      <alignment horizontal="left" vertical="center" wrapText="1"/>
      <protection locked="0"/>
    </xf>
    <xf numFmtId="0" fontId="9" fillId="0" borderId="82" xfId="0" applyFont="1" applyFill="1" applyBorder="1" applyAlignment="1" applyProtection="1">
      <alignment horizontal="left" vertical="center" wrapText="1"/>
      <protection locked="0"/>
    </xf>
    <xf numFmtId="0" fontId="9" fillId="0" borderId="83"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34" fillId="0" borderId="0" xfId="4" applyFont="1" applyAlignment="1" applyProtection="1">
      <alignment horizontal="center" vertical="center"/>
      <protection locked="0"/>
    </xf>
    <xf numFmtId="0" fontId="47" fillId="3" borderId="1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Alignment="1" applyProtection="1">
      <alignment horizontal="center" vertical="center"/>
    </xf>
    <xf numFmtId="0" fontId="44" fillId="0" borderId="9" xfId="4" applyFont="1" applyFill="1" applyBorder="1" applyAlignment="1" applyProtection="1">
      <alignment horizontal="center"/>
      <protection locked="0"/>
    </xf>
    <xf numFmtId="0" fontId="7" fillId="0" borderId="74" xfId="2" applyFont="1" applyFill="1" applyBorder="1" applyAlignment="1" applyProtection="1">
      <alignment horizontal="center" vertical="center" shrinkToFit="1"/>
    </xf>
    <xf numFmtId="0" fontId="0" fillId="0" borderId="9" xfId="0" applyFill="1" applyBorder="1" applyProtection="1">
      <alignment vertical="center"/>
    </xf>
    <xf numFmtId="0" fontId="14" fillId="0" borderId="100" xfId="2" applyFont="1" applyFill="1" applyBorder="1" applyAlignment="1" applyProtection="1">
      <alignment horizontal="center" vertical="center" wrapText="1"/>
    </xf>
    <xf numFmtId="0" fontId="14" fillId="5" borderId="7" xfId="2" applyFont="1" applyFill="1" applyBorder="1" applyAlignment="1" applyProtection="1">
      <alignment horizontal="left" vertical="center" wrapText="1"/>
    </xf>
    <xf numFmtId="0" fontId="10" fillId="5" borderId="102" xfId="2" applyFont="1" applyFill="1" applyBorder="1" applyAlignment="1" applyProtection="1">
      <alignment horizontal="center" vertical="center" wrapText="1"/>
    </xf>
    <xf numFmtId="0" fontId="7" fillId="3" borderId="102" xfId="2" applyFont="1" applyFill="1" applyBorder="1" applyAlignment="1" applyProtection="1">
      <alignment horizontal="center" vertical="center" wrapText="1"/>
    </xf>
    <xf numFmtId="0" fontId="48" fillId="0" borderId="0" xfId="0" applyFont="1" applyAlignment="1" applyProtection="1">
      <alignment horizontal="right" vertical="center"/>
    </xf>
    <xf numFmtId="49" fontId="49" fillId="0" borderId="0" xfId="0" applyNumberFormat="1" applyFont="1" applyFill="1" applyProtection="1">
      <alignment vertical="center"/>
    </xf>
    <xf numFmtId="0" fontId="9" fillId="6" borderId="73"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38" fontId="0" fillId="0" borderId="0" xfId="1" applyFont="1" applyProtection="1">
      <alignment vertical="center"/>
    </xf>
    <xf numFmtId="0" fontId="18" fillId="0" borderId="75" xfId="0" applyFont="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79" xfId="0" applyFont="1" applyFill="1" applyBorder="1" applyAlignment="1" applyProtection="1">
      <alignment horizontal="center" vertical="center"/>
    </xf>
    <xf numFmtId="0" fontId="18" fillId="3" borderId="68" xfId="0" applyFont="1" applyFill="1" applyBorder="1" applyAlignment="1" applyProtection="1">
      <alignment horizontal="center" vertical="center"/>
    </xf>
    <xf numFmtId="0" fontId="18" fillId="0" borderId="75" xfId="0" applyFont="1" applyFill="1" applyBorder="1" applyAlignment="1" applyProtection="1">
      <alignment horizontal="center" vertical="center"/>
    </xf>
    <xf numFmtId="0" fontId="18" fillId="0" borderId="6"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3" borderId="89" xfId="0" applyFont="1" applyFill="1" applyBorder="1" applyAlignment="1" applyProtection="1">
      <alignment horizontal="center" vertical="center"/>
    </xf>
    <xf numFmtId="0" fontId="18" fillId="5" borderId="76" xfId="0" applyFont="1" applyFill="1" applyBorder="1" applyAlignment="1" applyProtection="1">
      <alignment horizontal="center" vertical="center"/>
    </xf>
    <xf numFmtId="0" fontId="14" fillId="0" borderId="0" xfId="0" applyFont="1" applyAlignment="1" applyProtection="1">
      <alignment vertical="center"/>
    </xf>
    <xf numFmtId="0" fontId="9" fillId="7" borderId="66" xfId="0" applyNumberFormat="1" applyFont="1" applyFill="1" applyBorder="1" applyAlignment="1" applyProtection="1">
      <alignment horizontal="left" vertical="center" wrapText="1"/>
    </xf>
    <xf numFmtId="0" fontId="14" fillId="0" borderId="9" xfId="0" applyFont="1" applyBorder="1" applyAlignment="1" applyProtection="1"/>
    <xf numFmtId="3" fontId="9" fillId="0" borderId="50" xfId="0" applyNumberFormat="1" applyFont="1" applyBorder="1" applyAlignment="1" applyProtection="1">
      <alignment horizontal="center" vertical="center"/>
    </xf>
    <xf numFmtId="0" fontId="34" fillId="0" borderId="0" xfId="4" applyFont="1" applyAlignment="1" applyProtection="1">
      <alignment horizontal="left" vertical="center"/>
    </xf>
    <xf numFmtId="0" fontId="11" fillId="0" borderId="24" xfId="0" applyFont="1" applyBorder="1" applyAlignment="1" applyProtection="1">
      <alignment horizontal="center" vertical="center"/>
    </xf>
    <xf numFmtId="0" fontId="9" fillId="0" borderId="10" xfId="0" applyFont="1" applyFill="1" applyBorder="1" applyAlignment="1" applyProtection="1">
      <alignment horizontal="center" vertical="center"/>
    </xf>
    <xf numFmtId="0" fontId="11" fillId="4" borderId="107" xfId="0" applyFont="1" applyFill="1" applyBorder="1" applyProtection="1">
      <alignment vertical="center"/>
    </xf>
    <xf numFmtId="0" fontId="11" fillId="4" borderId="6" xfId="0" applyFont="1" applyFill="1" applyBorder="1" applyProtection="1">
      <alignment vertical="center"/>
    </xf>
    <xf numFmtId="0" fontId="11" fillId="4" borderId="108" xfId="0" applyFont="1" applyFill="1" applyBorder="1" applyProtection="1">
      <alignment vertical="center"/>
    </xf>
    <xf numFmtId="0" fontId="14" fillId="5" borderId="63" xfId="2" applyFont="1" applyFill="1" applyBorder="1" applyAlignment="1" applyProtection="1">
      <alignment horizontal="center" vertical="center" textRotation="255" wrapText="1"/>
    </xf>
    <xf numFmtId="0" fontId="9" fillId="0" borderId="2" xfId="0" applyFont="1" applyFill="1" applyBorder="1" applyAlignment="1" applyProtection="1">
      <alignment horizontal="center" vertical="center" wrapText="1"/>
    </xf>
    <xf numFmtId="178" fontId="9" fillId="0" borderId="110" xfId="0" applyNumberFormat="1" applyFont="1" applyBorder="1" applyAlignment="1" applyProtection="1">
      <alignment horizontal="center" vertical="center"/>
      <protection locked="0"/>
    </xf>
    <xf numFmtId="0" fontId="9" fillId="0" borderId="111" xfId="0" applyFont="1" applyBorder="1" applyAlignment="1" applyProtection="1">
      <alignment horizontal="center" vertical="center"/>
      <protection locked="0"/>
    </xf>
    <xf numFmtId="0" fontId="9" fillId="0" borderId="111" xfId="0" applyFont="1" applyBorder="1" applyAlignment="1" applyProtection="1">
      <alignment horizontal="left" vertical="center"/>
      <protection locked="0"/>
    </xf>
    <xf numFmtId="0" fontId="9" fillId="6" borderId="85" xfId="0" applyFont="1" applyFill="1" applyBorder="1" applyAlignment="1" applyProtection="1">
      <alignment horizontal="left" vertical="center"/>
      <protection locked="0"/>
    </xf>
    <xf numFmtId="0" fontId="10" fillId="0" borderId="85" xfId="2" applyFont="1" applyBorder="1" applyAlignment="1" applyProtection="1">
      <alignment horizontal="right" vertical="center"/>
      <protection locked="0"/>
    </xf>
    <xf numFmtId="3" fontId="50" fillId="0" borderId="93" xfId="0" applyNumberFormat="1" applyFont="1" applyBorder="1" applyAlignment="1" applyProtection="1">
      <alignment horizontal="right" vertical="center"/>
    </xf>
    <xf numFmtId="0" fontId="41" fillId="5" borderId="1" xfId="0" applyFont="1" applyFill="1" applyBorder="1" applyAlignment="1" applyProtection="1">
      <alignment horizontal="center" vertical="center" wrapText="1"/>
    </xf>
    <xf numFmtId="0" fontId="9" fillId="0" borderId="0" xfId="0" applyFont="1" applyFill="1" applyBorder="1" applyProtection="1">
      <alignment vertical="center"/>
    </xf>
    <xf numFmtId="0" fontId="37" fillId="0" borderId="0" xfId="0" applyFont="1" applyFill="1" applyBorder="1" applyAlignment="1" applyProtection="1">
      <alignment horizontal="center" vertical="center"/>
    </xf>
    <xf numFmtId="0" fontId="52" fillId="0" borderId="0" xfId="0" applyFont="1" applyAlignment="1" applyProtection="1">
      <alignment horizontal="center" vertical="center"/>
    </xf>
    <xf numFmtId="3" fontId="53" fillId="0" borderId="109" xfId="0" applyNumberFormat="1" applyFont="1" applyBorder="1" applyProtection="1">
      <alignment vertical="center"/>
    </xf>
    <xf numFmtId="3" fontId="53" fillId="0" borderId="109" xfId="0" applyNumberFormat="1" applyFont="1" applyFill="1" applyBorder="1" applyAlignment="1" applyProtection="1">
      <alignment horizontal="right" vertical="center"/>
    </xf>
    <xf numFmtId="3" fontId="53" fillId="0" borderId="20" xfId="0" applyNumberFormat="1" applyFont="1" applyBorder="1" applyProtection="1">
      <alignment vertical="center"/>
    </xf>
    <xf numFmtId="3" fontId="53" fillId="0" borderId="20" xfId="0" applyNumberFormat="1" applyFont="1" applyFill="1" applyBorder="1" applyAlignment="1" applyProtection="1">
      <alignment horizontal="right" vertical="center"/>
    </xf>
    <xf numFmtId="0" fontId="7" fillId="0" borderId="0" xfId="2" applyFont="1" applyFill="1" applyBorder="1" applyAlignment="1" applyProtection="1">
      <alignment horizontal="center" vertical="center" shrinkToFit="1"/>
    </xf>
    <xf numFmtId="0" fontId="7" fillId="0" borderId="111" xfId="2" applyFont="1" applyFill="1" applyBorder="1" applyAlignment="1" applyProtection="1">
      <alignment horizontal="center" vertical="center" shrinkToFit="1"/>
    </xf>
    <xf numFmtId="0" fontId="26" fillId="0" borderId="86" xfId="0" applyFont="1" applyFill="1" applyBorder="1" applyAlignment="1" applyProtection="1">
      <alignment horizontal="left" vertical="center"/>
      <protection locked="0"/>
    </xf>
    <xf numFmtId="0" fontId="0" fillId="0" borderId="20" xfId="0" applyFill="1" applyBorder="1" applyProtection="1">
      <alignment vertical="center"/>
    </xf>
    <xf numFmtId="0" fontId="55" fillId="0" borderId="0" xfId="0" applyFont="1">
      <alignment vertical="center"/>
    </xf>
    <xf numFmtId="0" fontId="56" fillId="0" borderId="0" xfId="0" applyFont="1">
      <alignment vertical="center"/>
    </xf>
    <xf numFmtId="0" fontId="56" fillId="0" borderId="0" xfId="0" applyFont="1" applyProtection="1">
      <alignment vertical="center"/>
    </xf>
    <xf numFmtId="0" fontId="57" fillId="0" borderId="0" xfId="0" applyFont="1">
      <alignment vertical="center"/>
    </xf>
    <xf numFmtId="3" fontId="57" fillId="0" borderId="0" xfId="0" applyNumberFormat="1" applyFont="1">
      <alignment vertical="center"/>
    </xf>
    <xf numFmtId="38" fontId="57" fillId="0" borderId="0" xfId="1" applyFont="1">
      <alignment vertical="center"/>
    </xf>
    <xf numFmtId="179" fontId="36" fillId="0" borderId="0" xfId="5" applyNumberFormat="1" applyFont="1" applyBorder="1" applyAlignment="1" applyProtection="1">
      <alignment vertical="center"/>
    </xf>
    <xf numFmtId="38" fontId="9" fillId="0" borderId="70" xfId="1" applyFont="1" applyBorder="1" applyAlignment="1" applyProtection="1">
      <alignment horizontal="right" vertical="center"/>
      <protection locked="0"/>
    </xf>
    <xf numFmtId="3" fontId="9" fillId="0" borderId="0" xfId="0" applyNumberFormat="1" applyFont="1" applyBorder="1" applyAlignment="1" applyProtection="1">
      <alignment horizontal="right" vertical="center"/>
    </xf>
    <xf numFmtId="0" fontId="35" fillId="0" borderId="0" xfId="0" applyFont="1" applyAlignment="1">
      <alignment horizontal="justify" vertical="center"/>
    </xf>
    <xf numFmtId="0" fontId="61" fillId="0" borderId="0" xfId="0" applyFont="1">
      <alignment vertical="center"/>
    </xf>
    <xf numFmtId="0" fontId="62" fillId="0" borderId="0" xfId="0" applyFont="1" applyFill="1" applyProtection="1">
      <alignment vertical="center"/>
    </xf>
    <xf numFmtId="38" fontId="63" fillId="0" borderId="0" xfId="1" applyFont="1" applyProtection="1">
      <alignment vertical="center"/>
    </xf>
    <xf numFmtId="0" fontId="2" fillId="0" borderId="0" xfId="0" applyFont="1" applyProtection="1">
      <alignment vertical="center"/>
    </xf>
    <xf numFmtId="0" fontId="64" fillId="0" borderId="0" xfId="0" applyFont="1" applyProtection="1">
      <alignment vertical="center"/>
    </xf>
    <xf numFmtId="0" fontId="9" fillId="0" borderId="0" xfId="0" applyFont="1" applyBorder="1" applyAlignment="1" applyProtection="1">
      <alignment horizontal="left" vertical="center"/>
    </xf>
    <xf numFmtId="0" fontId="14" fillId="0" borderId="0" xfId="0" applyFont="1" applyAlignment="1" applyProtection="1">
      <alignment horizontal="left"/>
    </xf>
    <xf numFmtId="0" fontId="14" fillId="5" borderId="16" xfId="2" applyFont="1" applyFill="1" applyBorder="1" applyAlignment="1" applyProtection="1">
      <alignment horizontal="left" vertical="center" wrapText="1"/>
    </xf>
    <xf numFmtId="0" fontId="6" fillId="2" borderId="98" xfId="2" applyFont="1" applyFill="1" applyBorder="1" applyAlignment="1" applyProtection="1">
      <alignment horizontal="left" vertical="center" wrapText="1"/>
    </xf>
    <xf numFmtId="0" fontId="51" fillId="2" borderId="99" xfId="2" applyFont="1" applyFill="1" applyBorder="1" applyAlignment="1" applyProtection="1">
      <alignment horizontal="center" vertical="center" wrapText="1"/>
    </xf>
    <xf numFmtId="0" fontId="3" fillId="0" borderId="0" xfId="0" applyFont="1" applyProtection="1">
      <alignment vertical="center"/>
    </xf>
    <xf numFmtId="0" fontId="34" fillId="7" borderId="65" xfId="4" applyNumberFormat="1" applyFont="1" applyFill="1" applyBorder="1" applyAlignment="1" applyProtection="1">
      <alignment horizontal="center" vertical="center"/>
    </xf>
    <xf numFmtId="0" fontId="11" fillId="5" borderId="1" xfId="0" applyFont="1" applyFill="1" applyBorder="1" applyAlignment="1" applyProtection="1">
      <alignment horizontal="center" vertical="center" wrapText="1"/>
    </xf>
    <xf numFmtId="0" fontId="11" fillId="0" borderId="2" xfId="0" applyFont="1" applyFill="1" applyBorder="1" applyAlignment="1" applyProtection="1">
      <alignment horizontal="left" vertical="center" wrapText="1"/>
    </xf>
    <xf numFmtId="0" fontId="7" fillId="0" borderId="38" xfId="0" applyFont="1" applyBorder="1" applyAlignment="1" applyProtection="1">
      <alignment vertical="center"/>
    </xf>
    <xf numFmtId="0" fontId="7" fillId="0" borderId="39" xfId="0" applyFont="1" applyBorder="1" applyAlignment="1" applyProtection="1">
      <alignment vertical="center"/>
    </xf>
    <xf numFmtId="179" fontId="10" fillId="0" borderId="39" xfId="5" applyNumberFormat="1" applyFont="1" applyBorder="1" applyAlignment="1" applyProtection="1">
      <alignment vertical="center"/>
    </xf>
    <xf numFmtId="0" fontId="7" fillId="0" borderId="48" xfId="0" applyFont="1" applyBorder="1" applyAlignment="1" applyProtection="1">
      <alignment vertical="center"/>
    </xf>
    <xf numFmtId="0" fontId="7" fillId="0" borderId="47" xfId="0" applyFont="1" applyBorder="1" applyAlignment="1" applyProtection="1">
      <alignment vertical="center"/>
    </xf>
    <xf numFmtId="0" fontId="10" fillId="0" borderId="47" xfId="0" applyFont="1" applyBorder="1" applyAlignment="1" applyProtection="1">
      <alignment vertical="center"/>
    </xf>
    <xf numFmtId="179" fontId="10" fillId="0" borderId="47" xfId="5" applyNumberFormat="1" applyFont="1" applyBorder="1" applyAlignment="1" applyProtection="1">
      <alignment vertical="center"/>
    </xf>
    <xf numFmtId="180" fontId="26" fillId="0" borderId="10" xfId="0" applyNumberFormat="1" applyFont="1" applyFill="1" applyBorder="1" applyAlignment="1" applyProtection="1">
      <alignment horizontal="left" vertical="center"/>
      <protection locked="0"/>
    </xf>
    <xf numFmtId="0" fontId="9" fillId="3" borderId="120" xfId="0" applyNumberFormat="1" applyFont="1" applyFill="1" applyBorder="1" applyAlignment="1" applyProtection="1">
      <alignment horizontal="left" vertical="center" wrapText="1"/>
    </xf>
    <xf numFmtId="0" fontId="34" fillId="3" borderId="64" xfId="4" applyFont="1" applyFill="1" applyBorder="1" applyAlignment="1" applyProtection="1">
      <alignment horizontal="center" vertical="center"/>
    </xf>
    <xf numFmtId="0" fontId="9" fillId="3" borderId="122" xfId="0" applyNumberFormat="1" applyFont="1" applyFill="1" applyBorder="1" applyAlignment="1" applyProtection="1">
      <alignment horizontal="left" vertical="center" wrapText="1"/>
    </xf>
    <xf numFmtId="0" fontId="34" fillId="3" borderId="36" xfId="4" applyFont="1" applyFill="1" applyBorder="1" applyAlignment="1" applyProtection="1">
      <alignment horizontal="center" vertical="center"/>
    </xf>
    <xf numFmtId="0" fontId="9" fillId="3" borderId="123" xfId="0" applyNumberFormat="1" applyFont="1" applyFill="1" applyBorder="1" applyAlignment="1" applyProtection="1">
      <alignment horizontal="left" vertical="center" wrapText="1"/>
    </xf>
    <xf numFmtId="0" fontId="34" fillId="7" borderId="125" xfId="4" applyNumberFormat="1" applyFont="1" applyFill="1" applyBorder="1" applyAlignment="1" applyProtection="1">
      <alignment horizontal="center" vertical="center"/>
    </xf>
    <xf numFmtId="0" fontId="9" fillId="7" borderId="124" xfId="0" applyNumberFormat="1" applyFont="1" applyFill="1" applyBorder="1" applyAlignment="1" applyProtection="1">
      <alignment horizontal="left" vertical="center" wrapText="1"/>
    </xf>
    <xf numFmtId="0" fontId="34" fillId="7" borderId="126" xfId="4" applyNumberFormat="1" applyFont="1" applyFill="1" applyBorder="1" applyAlignment="1" applyProtection="1">
      <alignment horizontal="center" vertical="center"/>
    </xf>
    <xf numFmtId="0" fontId="9" fillId="7" borderId="123" xfId="0" applyNumberFormat="1" applyFont="1" applyFill="1" applyBorder="1" applyAlignment="1" applyProtection="1">
      <alignment horizontal="left" vertical="center" wrapText="1"/>
    </xf>
    <xf numFmtId="0" fontId="0" fillId="0" borderId="12" xfId="0" applyFill="1" applyBorder="1" applyProtection="1">
      <alignment vertical="center"/>
    </xf>
    <xf numFmtId="38" fontId="9" fillId="0" borderId="127" xfId="1" applyFont="1" applyBorder="1" applyAlignment="1" applyProtection="1">
      <alignment horizontal="right" vertical="center"/>
      <protection locked="0"/>
    </xf>
    <xf numFmtId="3" fontId="53" fillId="0" borderId="116" xfId="0" applyNumberFormat="1" applyFont="1" applyBorder="1" applyProtection="1">
      <alignment vertical="center"/>
    </xf>
    <xf numFmtId="0" fontId="43" fillId="0" borderId="0" xfId="0" applyFont="1" applyFill="1" applyBorder="1" applyAlignment="1" applyProtection="1">
      <alignment horizontal="left" vertical="top" wrapText="1"/>
    </xf>
    <xf numFmtId="0" fontId="11" fillId="0" borderId="0" xfId="0" applyFont="1" applyBorder="1" applyAlignment="1" applyProtection="1">
      <alignment horizontal="center" vertical="center"/>
    </xf>
    <xf numFmtId="3" fontId="9" fillId="0" borderId="0" xfId="0" applyNumberFormat="1" applyFont="1" applyBorder="1" applyAlignment="1" applyProtection="1">
      <alignment horizontal="right" vertical="center"/>
    </xf>
    <xf numFmtId="0" fontId="7" fillId="0" borderId="0" xfId="0" applyFont="1" applyAlignment="1" applyProtection="1">
      <alignment horizontal="left" vertical="center"/>
    </xf>
    <xf numFmtId="3" fontId="9" fillId="0" borderId="0" xfId="0" applyNumberFormat="1" applyFont="1" applyBorder="1" applyAlignment="1" applyProtection="1">
      <alignment horizontal="right" vertical="center"/>
    </xf>
    <xf numFmtId="0" fontId="11" fillId="0" borderId="104" xfId="0" applyFont="1" applyBorder="1" applyAlignment="1" applyProtection="1">
      <alignment horizontal="center" vertical="center" wrapText="1"/>
    </xf>
    <xf numFmtId="0" fontId="7" fillId="0" borderId="0" xfId="0" applyFont="1" applyAlignment="1">
      <alignment vertical="top"/>
    </xf>
    <xf numFmtId="0" fontId="2" fillId="0" borderId="20" xfId="0" applyFont="1" applyBorder="1">
      <alignment vertical="center"/>
    </xf>
    <xf numFmtId="0" fontId="7" fillId="0" borderId="45" xfId="0" applyFont="1" applyBorder="1" applyAlignment="1" applyProtection="1"/>
    <xf numFmtId="0" fontId="7" fillId="0" borderId="91" xfId="0" applyFont="1" applyBorder="1" applyAlignment="1" applyProtection="1"/>
    <xf numFmtId="0" fontId="11" fillId="0" borderId="0" xfId="0" applyFont="1" applyBorder="1" applyAlignment="1" applyProtection="1">
      <alignment vertical="center"/>
    </xf>
    <xf numFmtId="0" fontId="7" fillId="0" borderId="0" xfId="0" applyFont="1" applyAlignment="1" applyProtection="1">
      <alignment horizontal="left" vertical="center"/>
    </xf>
    <xf numFmtId="0" fontId="0" fillId="8" borderId="0" xfId="0" applyFill="1">
      <alignment vertical="center"/>
    </xf>
    <xf numFmtId="0" fontId="56" fillId="0" borderId="0" xfId="0" applyFont="1" applyAlignment="1" applyProtection="1">
      <alignment horizontal="left" vertical="center"/>
    </xf>
    <xf numFmtId="0" fontId="65" fillId="8" borderId="0" xfId="0" applyFont="1" applyFill="1" applyBorder="1">
      <alignment vertical="center"/>
    </xf>
    <xf numFmtId="0" fontId="0" fillId="8" borderId="0" xfId="0" applyFill="1" applyBorder="1">
      <alignment vertical="center"/>
    </xf>
    <xf numFmtId="0" fontId="19" fillId="0" borderId="116" xfId="0" applyFont="1" applyBorder="1" applyAlignment="1" applyProtection="1">
      <alignment horizontal="right" vertical="center"/>
    </xf>
    <xf numFmtId="0" fontId="19" fillId="0" borderId="121" xfId="0" applyFont="1" applyBorder="1" applyAlignment="1" applyProtection="1">
      <alignment horizontal="right" vertical="center"/>
    </xf>
    <xf numFmtId="0" fontId="19" fillId="0" borderId="119" xfId="0" applyFont="1" applyBorder="1" applyAlignment="1" applyProtection="1">
      <alignment horizontal="right" vertical="center"/>
    </xf>
    <xf numFmtId="0" fontId="34" fillId="3" borderId="33" xfId="4" applyFont="1" applyFill="1" applyBorder="1" applyAlignment="1" applyProtection="1">
      <alignment horizontal="center" vertical="center"/>
    </xf>
    <xf numFmtId="0" fontId="10" fillId="5" borderId="101" xfId="2" applyFont="1" applyFill="1" applyBorder="1" applyAlignment="1" applyProtection="1">
      <alignment horizontal="center" vertical="center" wrapText="1"/>
    </xf>
    <xf numFmtId="0" fontId="18" fillId="0" borderId="49" xfId="0" applyFont="1" applyBorder="1" applyAlignment="1" applyProtection="1">
      <alignment horizontal="right" vertical="center"/>
    </xf>
    <xf numFmtId="3" fontId="18" fillId="0" borderId="61" xfId="0" applyNumberFormat="1" applyFont="1" applyBorder="1" applyAlignment="1" applyProtection="1">
      <alignment vertical="center"/>
    </xf>
    <xf numFmtId="3" fontId="18" fillId="0" borderId="62" xfId="0" applyNumberFormat="1" applyFont="1" applyFill="1" applyBorder="1" applyAlignment="1" applyProtection="1">
      <alignment vertical="center"/>
    </xf>
    <xf numFmtId="0" fontId="18" fillId="0" borderId="9" xfId="0" applyFont="1" applyBorder="1" applyAlignment="1" applyProtection="1">
      <alignment vertical="center"/>
    </xf>
    <xf numFmtId="3" fontId="18" fillId="0" borderId="62" xfId="0" applyNumberFormat="1" applyFont="1" applyBorder="1" applyAlignment="1" applyProtection="1">
      <alignment horizontal="right" vertical="center"/>
    </xf>
    <xf numFmtId="0" fontId="70" fillId="8" borderId="0" xfId="0" applyFont="1" applyFill="1" applyProtection="1">
      <alignment vertical="center"/>
    </xf>
    <xf numFmtId="3" fontId="9" fillId="0" borderId="0" xfId="0" applyNumberFormat="1" applyFont="1" applyBorder="1" applyAlignment="1" applyProtection="1">
      <alignment horizontal="right" vertical="center"/>
    </xf>
    <xf numFmtId="0" fontId="46" fillId="0" borderId="0" xfId="0" applyFont="1" applyFill="1" applyBorder="1" applyAlignment="1" applyProtection="1">
      <alignment horizontal="center" vertical="center"/>
    </xf>
    <xf numFmtId="0" fontId="18" fillId="0" borderId="30" xfId="0" applyFont="1" applyBorder="1" applyAlignment="1" applyProtection="1">
      <alignment horizontal="right" vertical="center"/>
    </xf>
    <xf numFmtId="0" fontId="71" fillId="0" borderId="0" xfId="0" applyFont="1" applyProtection="1">
      <alignment vertical="center"/>
    </xf>
    <xf numFmtId="0" fontId="18" fillId="0" borderId="9" xfId="0" applyFont="1" applyBorder="1" applyAlignment="1" applyProtection="1">
      <alignment horizontal="right" vertical="center"/>
    </xf>
    <xf numFmtId="3" fontId="53" fillId="0" borderId="0" xfId="0" applyNumberFormat="1" applyFont="1" applyFill="1" applyBorder="1" applyAlignment="1" applyProtection="1">
      <alignment horizontal="right" vertical="center"/>
    </xf>
    <xf numFmtId="3" fontId="53" fillId="0" borderId="0" xfId="0" applyNumberFormat="1" applyFont="1" applyBorder="1" applyProtection="1">
      <alignment vertical="center"/>
    </xf>
    <xf numFmtId="0" fontId="10" fillId="0" borderId="140" xfId="0" applyFont="1" applyFill="1" applyBorder="1" applyAlignment="1" applyProtection="1">
      <alignment horizontal="center" vertical="center" wrapText="1"/>
    </xf>
    <xf numFmtId="0" fontId="10" fillId="0" borderId="102" xfId="0" applyFont="1" applyFill="1" applyBorder="1" applyAlignment="1" applyProtection="1">
      <alignment horizontal="center" vertical="center" wrapText="1"/>
    </xf>
    <xf numFmtId="0" fontId="10" fillId="0" borderId="141" xfId="0" applyFont="1" applyFill="1" applyBorder="1" applyAlignment="1" applyProtection="1">
      <alignment horizontal="center" vertical="center" wrapText="1"/>
    </xf>
    <xf numFmtId="3" fontId="38" fillId="0" borderId="139" xfId="0" applyNumberFormat="1" applyFont="1" applyFill="1" applyBorder="1" applyAlignment="1" applyProtection="1">
      <alignment horizontal="right" vertical="center"/>
    </xf>
    <xf numFmtId="3" fontId="38" fillId="0" borderId="109" xfId="0" applyNumberFormat="1" applyFont="1" applyFill="1" applyBorder="1" applyAlignment="1" applyProtection="1">
      <alignment horizontal="right" vertical="center"/>
    </xf>
    <xf numFmtId="3" fontId="38" fillId="0" borderId="119" xfId="0" applyNumberFormat="1" applyFont="1" applyFill="1" applyBorder="1" applyAlignment="1" applyProtection="1">
      <alignment horizontal="right" vertical="center"/>
    </xf>
    <xf numFmtId="0" fontId="10" fillId="9" borderId="99" xfId="0" applyFont="1" applyFill="1" applyBorder="1" applyAlignment="1" applyProtection="1">
      <alignment horizontal="center" vertical="center" wrapText="1"/>
    </xf>
    <xf numFmtId="3" fontId="9" fillId="9" borderId="73" xfId="0" applyNumberFormat="1" applyFont="1" applyFill="1" applyBorder="1" applyAlignment="1" applyProtection="1">
      <alignment horizontal="right" vertical="center"/>
    </xf>
    <xf numFmtId="0" fontId="7" fillId="9" borderId="72" xfId="2" applyFont="1" applyFill="1" applyBorder="1" applyAlignment="1" applyProtection="1">
      <alignment horizontal="right" vertical="center" shrinkToFit="1"/>
    </xf>
    <xf numFmtId="0" fontId="7" fillId="9" borderId="74" xfId="2" applyFont="1" applyFill="1" applyBorder="1" applyAlignment="1" applyProtection="1">
      <alignment horizontal="left" vertical="center" shrinkToFit="1"/>
    </xf>
    <xf numFmtId="0" fontId="7" fillId="9" borderId="111" xfId="2" applyFont="1" applyFill="1" applyBorder="1" applyAlignment="1" applyProtection="1">
      <alignment horizontal="right" vertical="center" shrinkToFit="1"/>
    </xf>
    <xf numFmtId="0" fontId="11" fillId="0" borderId="2" xfId="0" applyFont="1" applyFill="1" applyBorder="1" applyAlignment="1" applyProtection="1">
      <alignment horizontal="center" vertical="center" wrapText="1"/>
    </xf>
    <xf numFmtId="3" fontId="9" fillId="0" borderId="72" xfId="0" applyNumberFormat="1" applyFont="1" applyBorder="1" applyAlignment="1" applyProtection="1">
      <alignment horizontal="right" vertical="center"/>
      <protection locked="0"/>
    </xf>
    <xf numFmtId="3" fontId="9" fillId="0" borderId="5" xfId="0" applyNumberFormat="1" applyFont="1" applyBorder="1" applyAlignment="1" applyProtection="1">
      <alignment horizontal="right" vertical="center"/>
      <protection locked="0"/>
    </xf>
    <xf numFmtId="3" fontId="9" fillId="0" borderId="78" xfId="0" applyNumberFormat="1" applyFont="1" applyBorder="1" applyAlignment="1" applyProtection="1">
      <alignment horizontal="right" vertical="center"/>
      <protection locked="0"/>
    </xf>
    <xf numFmtId="0" fontId="11" fillId="0" borderId="3" xfId="0" applyFont="1" applyBorder="1" applyAlignment="1" applyProtection="1">
      <alignment horizontal="center" vertical="center"/>
    </xf>
    <xf numFmtId="0" fontId="73" fillId="0" borderId="84" xfId="0" applyFont="1" applyBorder="1" applyProtection="1">
      <alignment vertical="center"/>
    </xf>
    <xf numFmtId="0" fontId="73" fillId="0" borderId="45" xfId="0" applyFont="1" applyBorder="1" applyProtection="1">
      <alignment vertical="center"/>
    </xf>
    <xf numFmtId="0" fontId="73" fillId="0" borderId="97" xfId="0" applyFont="1" applyBorder="1" applyProtection="1">
      <alignment vertical="center"/>
    </xf>
    <xf numFmtId="3" fontId="38" fillId="0" borderId="142" xfId="0" applyNumberFormat="1" applyFont="1" applyFill="1" applyBorder="1" applyAlignment="1" applyProtection="1">
      <alignment horizontal="right" vertical="center"/>
    </xf>
    <xf numFmtId="3" fontId="38" fillId="0" borderId="143" xfId="0" applyNumberFormat="1" applyFont="1" applyFill="1" applyBorder="1" applyAlignment="1" applyProtection="1">
      <alignment horizontal="right" vertical="center"/>
    </xf>
    <xf numFmtId="3" fontId="9" fillId="9" borderId="108" xfId="0" applyNumberFormat="1" applyFont="1" applyFill="1" applyBorder="1" applyAlignment="1" applyProtection="1">
      <alignment horizontal="right" vertical="center"/>
    </xf>
    <xf numFmtId="181" fontId="9" fillId="0" borderId="86" xfId="0" applyNumberFormat="1" applyFont="1" applyFill="1" applyBorder="1" applyAlignment="1" applyProtection="1">
      <alignment horizontal="center" vertical="center"/>
      <protection locked="0"/>
    </xf>
    <xf numFmtId="3" fontId="38" fillId="0" borderId="136" xfId="0" applyNumberFormat="1" applyFont="1" applyFill="1" applyBorder="1" applyAlignment="1" applyProtection="1">
      <alignment horizontal="right" vertical="center"/>
    </xf>
    <xf numFmtId="3" fontId="9" fillId="0" borderId="0" xfId="0" applyNumberFormat="1" applyFont="1" applyBorder="1" applyAlignment="1" applyProtection="1">
      <alignment horizontal="right" vertical="center"/>
    </xf>
    <xf numFmtId="0" fontId="74" fillId="0" borderId="0" xfId="0" applyFont="1" applyFill="1" applyProtection="1">
      <alignment vertical="center"/>
    </xf>
    <xf numFmtId="0" fontId="7" fillId="9" borderId="111" xfId="2" applyFont="1" applyFill="1" applyBorder="1" applyAlignment="1" applyProtection="1">
      <alignment horizontal="left" vertical="center" shrinkToFit="1"/>
    </xf>
    <xf numFmtId="0" fontId="0" fillId="0" borderId="0" xfId="0" applyAlignment="1">
      <alignment horizontal="left" vertical="top"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34" fillId="0" borderId="0" xfId="4" applyFont="1" applyBorder="1" applyAlignment="1" applyProtection="1">
      <alignment horizontal="left" vertical="center"/>
    </xf>
    <xf numFmtId="0" fontId="36" fillId="0" borderId="0" xfId="0" applyFont="1" applyAlignment="1" applyProtection="1">
      <alignment horizontal="left" vertical="center"/>
    </xf>
    <xf numFmtId="0" fontId="11" fillId="4" borderId="44" xfId="0" applyFont="1" applyFill="1" applyBorder="1" applyAlignment="1" applyProtection="1">
      <alignment vertical="center"/>
    </xf>
    <xf numFmtId="0" fontId="0" fillId="0" borderId="45" xfId="0" applyFont="1" applyBorder="1" applyAlignment="1" applyProtection="1">
      <alignment vertical="center"/>
    </xf>
    <xf numFmtId="0" fontId="11" fillId="4" borderId="70" xfId="0" applyFont="1" applyFill="1" applyBorder="1" applyAlignment="1" applyProtection="1">
      <alignment vertical="center"/>
    </xf>
    <xf numFmtId="0" fontId="0" fillId="0" borderId="69" xfId="0" applyFont="1" applyBorder="1" applyAlignment="1" applyProtection="1">
      <alignment vertical="center"/>
    </xf>
    <xf numFmtId="0" fontId="11" fillId="4" borderId="29" xfId="0" applyFont="1" applyFill="1" applyBorder="1" applyAlignment="1" applyProtection="1">
      <alignment horizontal="left" vertical="center"/>
    </xf>
    <xf numFmtId="0" fontId="0" fillId="0" borderId="12" xfId="0" applyFont="1" applyBorder="1" applyAlignment="1" applyProtection="1">
      <alignment horizontal="left" vertical="center"/>
    </xf>
    <xf numFmtId="0" fontId="11" fillId="4" borderId="7" xfId="4" applyFont="1" applyFill="1" applyBorder="1" applyAlignment="1" applyProtection="1">
      <alignment horizontal="left" vertical="center"/>
    </xf>
    <xf numFmtId="0" fontId="45" fillId="4" borderId="30" xfId="4" applyFont="1" applyFill="1" applyBorder="1" applyAlignment="1" applyProtection="1">
      <alignment horizontal="left" vertical="center"/>
    </xf>
    <xf numFmtId="0" fontId="11" fillId="4" borderId="7" xfId="0" applyFont="1" applyFill="1" applyBorder="1" applyAlignment="1" applyProtection="1">
      <alignment vertical="center"/>
    </xf>
    <xf numFmtId="0" fontId="0" fillId="0" borderId="16" xfId="0" applyFont="1" applyBorder="1" applyAlignment="1" applyProtection="1">
      <alignment vertical="center"/>
    </xf>
    <xf numFmtId="0" fontId="11" fillId="4" borderId="29" xfId="0" applyFont="1" applyFill="1" applyBorder="1" applyAlignment="1" applyProtection="1">
      <alignment vertical="center"/>
    </xf>
    <xf numFmtId="0" fontId="0" fillId="0" borderId="31" xfId="0" applyFont="1" applyBorder="1" applyAlignment="1" applyProtection="1">
      <alignment vertical="center"/>
    </xf>
    <xf numFmtId="0" fontId="11" fillId="4" borderId="51" xfId="0" applyFont="1" applyFill="1" applyBorder="1" applyAlignment="1" applyProtection="1">
      <alignment vertical="center"/>
    </xf>
    <xf numFmtId="0" fontId="0" fillId="0" borderId="84" xfId="0" applyFont="1" applyBorder="1" applyAlignment="1" applyProtection="1">
      <alignment vertical="center"/>
    </xf>
    <xf numFmtId="0" fontId="11" fillId="4" borderId="7" xfId="0" applyFont="1" applyFill="1" applyBorder="1" applyAlignment="1" applyProtection="1">
      <alignment horizontal="left" vertical="center"/>
    </xf>
    <xf numFmtId="0" fontId="11" fillId="4" borderId="30" xfId="0" applyFont="1" applyFill="1" applyBorder="1" applyAlignment="1" applyProtection="1">
      <alignment horizontal="left" vertical="center"/>
    </xf>
    <xf numFmtId="0" fontId="14" fillId="9" borderId="16" xfId="2"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xf>
    <xf numFmtId="0" fontId="48" fillId="0" borderId="93" xfId="0" applyFont="1" applyBorder="1" applyAlignment="1" applyProtection="1">
      <alignment horizontal="right" vertical="center"/>
    </xf>
    <xf numFmtId="0" fontId="0" fillId="0" borderId="0" xfId="0" applyAlignment="1" applyProtection="1">
      <alignment horizontal="center" vertical="center"/>
    </xf>
    <xf numFmtId="0" fontId="17" fillId="0" borderId="116"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0" fontId="12" fillId="0" borderId="63"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178" fontId="9" fillId="0" borderId="23" xfId="0" applyNumberFormat="1" applyFont="1" applyBorder="1" applyAlignment="1" applyProtection="1">
      <alignment horizontal="center" vertical="center"/>
      <protection locked="0"/>
    </xf>
    <xf numFmtId="178" fontId="9" fillId="0" borderId="14" xfId="0" applyNumberFormat="1" applyFont="1" applyBorder="1" applyAlignment="1" applyProtection="1">
      <alignment horizontal="center" vertical="center"/>
      <protection locked="0"/>
    </xf>
    <xf numFmtId="178" fontId="9" fillId="0" borderId="17" xfId="0" applyNumberFormat="1" applyFont="1" applyBorder="1" applyAlignment="1" applyProtection="1">
      <alignment horizontal="center" vertical="center"/>
      <protection locked="0"/>
    </xf>
    <xf numFmtId="178" fontId="9" fillId="0" borderId="15" xfId="0" applyNumberFormat="1" applyFont="1" applyBorder="1" applyAlignment="1" applyProtection="1">
      <alignment horizontal="center" vertical="center"/>
      <protection locked="0"/>
    </xf>
    <xf numFmtId="0" fontId="14" fillId="0" borderId="0" xfId="0" applyFont="1" applyBorder="1" applyAlignment="1" applyProtection="1">
      <alignment horizontal="left"/>
    </xf>
    <xf numFmtId="3" fontId="26" fillId="0" borderId="56" xfId="0" applyNumberFormat="1" applyFont="1" applyBorder="1" applyAlignment="1" applyProtection="1">
      <alignment horizontal="right" vertical="center"/>
      <protection locked="0"/>
    </xf>
    <xf numFmtId="3" fontId="26" fillId="0" borderId="57" xfId="0" applyNumberFormat="1" applyFont="1" applyBorder="1" applyAlignment="1" applyProtection="1">
      <alignment horizontal="right" vertical="center"/>
      <protection locked="0"/>
    </xf>
    <xf numFmtId="3" fontId="26" fillId="0" borderId="58" xfId="0" applyNumberFormat="1" applyFont="1" applyBorder="1" applyAlignment="1" applyProtection="1">
      <alignment horizontal="right" vertical="center"/>
      <protection locked="0"/>
    </xf>
    <xf numFmtId="0" fontId="7" fillId="0" borderId="128" xfId="0" applyFont="1" applyBorder="1" applyAlignment="1" applyProtection="1">
      <alignment horizontal="left" vertical="center"/>
    </xf>
    <xf numFmtId="0" fontId="7" fillId="0" borderId="96" xfId="0" applyFont="1" applyBorder="1" applyAlignment="1" applyProtection="1">
      <alignment horizontal="left" vertical="center"/>
    </xf>
    <xf numFmtId="0" fontId="7" fillId="0" borderId="97" xfId="0" applyFont="1" applyBorder="1" applyAlignment="1" applyProtection="1">
      <alignment horizontal="left" vertical="center"/>
    </xf>
    <xf numFmtId="3" fontId="9" fillId="0" borderId="44" xfId="0" applyNumberFormat="1" applyFont="1" applyBorder="1" applyAlignment="1" applyProtection="1">
      <alignment horizontal="right" vertical="center"/>
    </xf>
    <xf numFmtId="3" fontId="9" fillId="0" borderId="43" xfId="0" applyNumberFormat="1" applyFont="1" applyBorder="1" applyAlignment="1" applyProtection="1">
      <alignment horizontal="right" vertical="center"/>
    </xf>
    <xf numFmtId="3" fontId="9" fillId="0" borderId="45" xfId="0" applyNumberFormat="1" applyFont="1" applyBorder="1" applyAlignment="1" applyProtection="1">
      <alignment horizontal="right" vertical="center"/>
    </xf>
    <xf numFmtId="3" fontId="9" fillId="0" borderId="95" xfId="0" applyNumberFormat="1" applyFont="1" applyBorder="1" applyAlignment="1" applyProtection="1">
      <alignment horizontal="right" vertical="center"/>
    </xf>
    <xf numFmtId="3" fontId="9" fillId="0" borderId="96" xfId="0" applyNumberFormat="1" applyFont="1" applyBorder="1" applyAlignment="1" applyProtection="1">
      <alignment horizontal="right" vertical="center"/>
    </xf>
    <xf numFmtId="3" fontId="9" fillId="0" borderId="97" xfId="0" applyNumberFormat="1" applyFont="1" applyBorder="1" applyAlignment="1" applyProtection="1">
      <alignment horizontal="right" vertical="center"/>
    </xf>
    <xf numFmtId="0" fontId="10" fillId="0" borderId="59" xfId="0" applyFont="1" applyBorder="1" applyAlignment="1" applyProtection="1">
      <alignment horizontal="left" vertical="center"/>
    </xf>
    <xf numFmtId="0" fontId="10" fillId="0" borderId="50" xfId="0" applyFont="1" applyBorder="1" applyAlignment="1" applyProtection="1">
      <alignment horizontal="left" vertical="center"/>
    </xf>
    <xf numFmtId="0" fontId="10" fillId="0" borderId="60" xfId="0" applyFont="1" applyBorder="1" applyAlignment="1" applyProtection="1">
      <alignment horizontal="left" vertical="center"/>
    </xf>
    <xf numFmtId="3" fontId="9" fillId="0" borderId="50" xfId="0" applyNumberFormat="1" applyFont="1" applyBorder="1" applyAlignment="1" applyProtection="1">
      <alignment horizontal="right" vertical="center"/>
    </xf>
    <xf numFmtId="3" fontId="9" fillId="0" borderId="60" xfId="0" applyNumberFormat="1" applyFont="1" applyBorder="1" applyAlignment="1" applyProtection="1">
      <alignment horizontal="right" vertical="center"/>
    </xf>
    <xf numFmtId="0" fontId="9" fillId="0" borderId="115" xfId="0" applyFont="1" applyBorder="1" applyAlignment="1" applyProtection="1">
      <alignment horizontal="center" vertical="center"/>
      <protection locked="0"/>
    </xf>
    <xf numFmtId="0" fontId="9" fillId="0" borderId="114" xfId="0" applyFont="1" applyBorder="1" applyAlignment="1" applyProtection="1">
      <alignment horizontal="center" vertical="center"/>
      <protection locked="0"/>
    </xf>
    <xf numFmtId="179" fontId="9" fillId="0" borderId="95" xfId="0" applyNumberFormat="1" applyFont="1" applyBorder="1" applyAlignment="1" applyProtection="1">
      <alignment horizontal="center" vertical="center"/>
    </xf>
    <xf numFmtId="179" fontId="9" fillId="0" borderId="97" xfId="0" applyNumberFormat="1" applyFont="1" applyBorder="1" applyAlignment="1" applyProtection="1">
      <alignment horizontal="center" vertical="center"/>
    </xf>
    <xf numFmtId="179" fontId="9" fillId="0" borderId="8" xfId="0" applyNumberFormat="1" applyFont="1" applyBorder="1" applyAlignment="1" applyProtection="1">
      <alignment horizontal="center" vertical="center"/>
    </xf>
    <xf numFmtId="179" fontId="9" fillId="0" borderId="37" xfId="0" applyNumberFormat="1" applyFont="1" applyBorder="1" applyAlignment="1" applyProtection="1">
      <alignment horizontal="center" vertical="center"/>
    </xf>
    <xf numFmtId="179" fontId="9" fillId="0" borderId="64" xfId="0" applyNumberFormat="1" applyFont="1" applyBorder="1" applyAlignment="1" applyProtection="1">
      <alignment horizontal="center" vertical="center"/>
    </xf>
    <xf numFmtId="179" fontId="9" fillId="0" borderId="14" xfId="0" applyNumberFormat="1" applyFont="1" applyBorder="1" applyAlignment="1" applyProtection="1">
      <alignment horizontal="center" vertical="center"/>
    </xf>
    <xf numFmtId="0" fontId="11" fillId="0" borderId="29" xfId="0" applyFont="1" applyBorder="1" applyAlignment="1" applyProtection="1">
      <alignment horizontal="center" vertical="center" wrapText="1"/>
    </xf>
    <xf numFmtId="0" fontId="11" fillId="0" borderId="31"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37" xfId="0" applyFont="1" applyBorder="1" applyAlignment="1" applyProtection="1">
      <alignment horizontal="center" vertical="center" wrapText="1"/>
    </xf>
    <xf numFmtId="179" fontId="9" fillId="0" borderId="29" xfId="0" applyNumberFormat="1" applyFont="1" applyBorder="1" applyAlignment="1" applyProtection="1">
      <alignment horizontal="center" vertical="center"/>
    </xf>
    <xf numFmtId="179" fontId="9" fillId="0" borderId="31" xfId="0" applyNumberFormat="1" applyFont="1" applyBorder="1" applyAlignment="1" applyProtection="1">
      <alignment horizontal="center" vertical="center"/>
    </xf>
    <xf numFmtId="179" fontId="9" fillId="0" borderId="44" xfId="0" applyNumberFormat="1" applyFont="1" applyBorder="1" applyAlignment="1" applyProtection="1">
      <alignment horizontal="center" vertical="center"/>
    </xf>
    <xf numFmtId="179" fontId="9" fillId="0" borderId="45" xfId="0" applyNumberFormat="1" applyFont="1" applyBorder="1" applyAlignment="1" applyProtection="1">
      <alignment horizontal="center" vertical="center"/>
    </xf>
    <xf numFmtId="0" fontId="35" fillId="0" borderId="12" xfId="0" applyFont="1" applyBorder="1" applyAlignment="1" applyProtection="1">
      <alignment horizontal="center" vertical="top"/>
    </xf>
    <xf numFmtId="0" fontId="14" fillId="0" borderId="9" xfId="0" applyFont="1" applyBorder="1" applyAlignment="1" applyProtection="1">
      <alignment horizontal="left"/>
    </xf>
    <xf numFmtId="3" fontId="9" fillId="0" borderId="44" xfId="0" applyNumberFormat="1" applyFont="1" applyBorder="1" applyAlignment="1" applyProtection="1">
      <alignment vertical="center"/>
      <protection locked="0"/>
    </xf>
    <xf numFmtId="3" fontId="9" fillId="0" borderId="43" xfId="0" applyNumberFormat="1" applyFont="1" applyBorder="1" applyAlignment="1" applyProtection="1">
      <alignment vertical="center"/>
      <protection locked="0"/>
    </xf>
    <xf numFmtId="3" fontId="9" fillId="0" borderId="45" xfId="0" applyNumberFormat="1" applyFont="1" applyBorder="1" applyAlignment="1" applyProtection="1">
      <alignment vertical="center"/>
      <protection locked="0"/>
    </xf>
    <xf numFmtId="178" fontId="9" fillId="0" borderId="118" xfId="0" applyNumberFormat="1" applyFont="1" applyBorder="1" applyAlignment="1" applyProtection="1">
      <alignment horizontal="center" vertical="center"/>
      <protection locked="0"/>
    </xf>
    <xf numFmtId="178" fontId="9" fillId="0" borderId="129"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12" fillId="0" borderId="134" xfId="0" applyFont="1" applyBorder="1" applyAlignment="1" applyProtection="1">
      <alignment horizontal="center" vertical="center" wrapText="1"/>
    </xf>
    <xf numFmtId="0" fontId="12" fillId="0" borderId="135" xfId="0" applyFont="1" applyBorder="1" applyAlignment="1" applyProtection="1">
      <alignment horizontal="center" vertical="center" wrapText="1"/>
    </xf>
    <xf numFmtId="0" fontId="12" fillId="0" borderId="137" xfId="0" applyFont="1" applyBorder="1" applyAlignment="1" applyProtection="1">
      <alignment horizontal="center" vertical="center" wrapText="1"/>
    </xf>
    <xf numFmtId="0" fontId="12" fillId="0" borderId="138" xfId="0" applyFont="1" applyBorder="1" applyAlignment="1" applyProtection="1">
      <alignment horizontal="center" vertical="center" wrapText="1"/>
    </xf>
    <xf numFmtId="3" fontId="18" fillId="0" borderId="63" xfId="0" applyNumberFormat="1" applyFont="1" applyBorder="1" applyAlignment="1" applyProtection="1">
      <alignment horizontal="right" vertical="center"/>
    </xf>
    <xf numFmtId="3" fontId="18" fillId="0" borderId="16" xfId="0" applyNumberFormat="1" applyFont="1" applyBorder="1" applyAlignment="1" applyProtection="1">
      <alignment horizontal="right" vertical="center"/>
    </xf>
    <xf numFmtId="3" fontId="19" fillId="0" borderId="63" xfId="0" applyNumberFormat="1" applyFont="1" applyBorder="1" applyAlignment="1" applyProtection="1">
      <alignment horizontal="right" vertical="center"/>
    </xf>
    <xf numFmtId="3" fontId="19" fillId="0" borderId="16" xfId="0" applyNumberFormat="1" applyFont="1" applyBorder="1" applyAlignment="1" applyProtection="1">
      <alignment horizontal="right" vertical="center"/>
    </xf>
    <xf numFmtId="0" fontId="18" fillId="0" borderId="16" xfId="0" applyFont="1" applyBorder="1" applyAlignment="1" applyProtection="1">
      <alignment horizontal="right" vertical="center"/>
    </xf>
    <xf numFmtId="3" fontId="18" fillId="0" borderId="63" xfId="0" applyNumberFormat="1" applyFont="1" applyFill="1" applyBorder="1" applyAlignment="1" applyProtection="1">
      <alignment horizontal="right" vertical="center"/>
    </xf>
    <xf numFmtId="3" fontId="18" fillId="0" borderId="16" xfId="0" applyNumberFormat="1" applyFont="1" applyFill="1" applyBorder="1" applyAlignment="1" applyProtection="1">
      <alignment horizontal="right" vertical="center"/>
    </xf>
    <xf numFmtId="0" fontId="17" fillId="0" borderId="119" xfId="0" applyFont="1" applyBorder="1" applyAlignment="1" applyProtection="1">
      <alignment horizontal="center" vertical="center" wrapText="1"/>
      <protection locked="0"/>
    </xf>
    <xf numFmtId="178" fontId="9" fillId="0" borderId="116" xfId="0" applyNumberFormat="1" applyFont="1" applyBorder="1" applyAlignment="1" applyProtection="1">
      <alignment horizontal="center" vertical="center"/>
      <protection locked="0"/>
    </xf>
    <xf numFmtId="178" fontId="9" fillId="0" borderId="20" xfId="0" applyNumberFormat="1" applyFont="1" applyBorder="1" applyAlignment="1" applyProtection="1">
      <alignment horizontal="center" vertical="center"/>
      <protection locked="0"/>
    </xf>
    <xf numFmtId="178" fontId="9" fillId="0" borderId="119" xfId="0" applyNumberFormat="1"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12" fillId="0" borderId="63" xfId="0" applyFont="1" applyBorder="1" applyAlignment="1" applyProtection="1">
      <alignment horizontal="left" vertical="center"/>
    </xf>
    <xf numFmtId="0" fontId="12" fillId="0" borderId="16" xfId="0" applyFont="1" applyBorder="1" applyAlignment="1" applyProtection="1">
      <alignment horizontal="left" vertical="center"/>
    </xf>
    <xf numFmtId="0" fontId="12" fillId="0" borderId="62" xfId="0" applyFont="1" applyBorder="1" applyAlignment="1" applyProtection="1">
      <alignment horizontal="left" vertical="center"/>
    </xf>
    <xf numFmtId="0" fontId="12" fillId="0" borderId="102" xfId="0" applyFont="1" applyBorder="1" applyAlignment="1" applyProtection="1">
      <alignment horizontal="left" vertical="center"/>
    </xf>
    <xf numFmtId="0" fontId="12" fillId="0" borderId="102" xfId="0" applyFont="1" applyBorder="1" applyAlignment="1" applyProtection="1">
      <alignment horizontal="left" vertical="center" wrapText="1"/>
    </xf>
    <xf numFmtId="0" fontId="11" fillId="0" borderId="32"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179" fontId="9" fillId="0" borderId="33" xfId="0" applyNumberFormat="1" applyFont="1" applyBorder="1" applyAlignment="1" applyProtection="1">
      <alignment horizontal="center" vertical="center"/>
    </xf>
    <xf numFmtId="179" fontId="9" fillId="0" borderId="35" xfId="0" applyNumberFormat="1" applyFont="1" applyBorder="1" applyAlignment="1" applyProtection="1">
      <alignment horizontal="center" vertical="center"/>
    </xf>
    <xf numFmtId="179" fontId="9" fillId="0" borderId="36" xfId="0" applyNumberFormat="1" applyFont="1" applyBorder="1" applyAlignment="1" applyProtection="1">
      <alignment horizontal="center" vertical="center"/>
    </xf>
    <xf numFmtId="179" fontId="9" fillId="0" borderId="15" xfId="0" applyNumberFormat="1" applyFont="1" applyBorder="1" applyAlignment="1" applyProtection="1">
      <alignment horizontal="center" vertical="center"/>
    </xf>
    <xf numFmtId="0" fontId="9" fillId="0" borderId="118" xfId="0" applyFont="1" applyBorder="1" applyAlignment="1" applyProtection="1">
      <alignment horizontal="center" vertical="center"/>
      <protection locked="0"/>
    </xf>
    <xf numFmtId="0" fontId="9" fillId="0" borderId="117" xfId="0" applyFont="1" applyBorder="1" applyAlignment="1" applyProtection="1">
      <alignment horizontal="center" vertical="center"/>
      <protection locked="0"/>
    </xf>
    <xf numFmtId="3" fontId="9" fillId="0" borderId="116" xfId="0" applyNumberFormat="1" applyFont="1" applyBorder="1" applyAlignment="1" applyProtection="1">
      <alignment horizontal="center" vertical="center"/>
      <protection locked="0"/>
    </xf>
    <xf numFmtId="3" fontId="9" fillId="0" borderId="119" xfId="0" applyNumberFormat="1" applyFont="1" applyBorder="1" applyAlignment="1" applyProtection="1">
      <alignment horizontal="center" vertical="center"/>
      <protection locked="0"/>
    </xf>
    <xf numFmtId="3" fontId="9" fillId="0" borderId="17" xfId="0" applyNumberFormat="1" applyFont="1" applyBorder="1" applyAlignment="1" applyProtection="1">
      <alignment horizontal="center" vertical="center"/>
      <protection locked="0"/>
    </xf>
    <xf numFmtId="3" fontId="9" fillId="0" borderId="19" xfId="0" applyNumberFormat="1" applyFont="1" applyBorder="1" applyAlignment="1" applyProtection="1">
      <alignment horizontal="center" vertical="center"/>
      <protection locked="0"/>
    </xf>
    <xf numFmtId="179" fontId="9" fillId="0" borderId="59" xfId="0" applyNumberFormat="1" applyFont="1" applyBorder="1" applyAlignment="1" applyProtection="1">
      <alignment horizontal="center" vertical="center"/>
    </xf>
    <xf numFmtId="179" fontId="9" fillId="0" borderId="60" xfId="0" applyNumberFormat="1" applyFont="1" applyBorder="1" applyAlignment="1" applyProtection="1">
      <alignment horizontal="center" vertical="center"/>
    </xf>
    <xf numFmtId="0" fontId="17" fillId="0" borderId="51" xfId="0" applyFont="1" applyBorder="1" applyAlignment="1" applyProtection="1">
      <alignment horizontal="left" vertical="center"/>
    </xf>
    <xf numFmtId="0" fontId="17" fillId="0" borderId="52" xfId="0" applyFont="1" applyBorder="1" applyAlignment="1" applyProtection="1">
      <alignment horizontal="left" vertical="center"/>
    </xf>
    <xf numFmtId="3" fontId="9" fillId="0" borderId="8" xfId="0" applyNumberFormat="1" applyFont="1" applyBorder="1" applyAlignment="1" applyProtection="1">
      <alignment vertical="center"/>
      <protection locked="0"/>
    </xf>
    <xf numFmtId="3" fontId="9" fillId="0" borderId="0" xfId="0" applyNumberFormat="1" applyFont="1" applyBorder="1" applyAlignment="1" applyProtection="1">
      <alignment vertical="center"/>
      <protection locked="0"/>
    </xf>
    <xf numFmtId="3" fontId="9" fillId="0" borderId="37" xfId="0" applyNumberFormat="1" applyFont="1" applyBorder="1" applyAlignment="1" applyProtection="1">
      <alignment vertical="center"/>
      <protection locked="0"/>
    </xf>
    <xf numFmtId="3" fontId="9" fillId="0" borderId="53" xfId="0" applyNumberFormat="1" applyFont="1" applyBorder="1" applyAlignment="1" applyProtection="1">
      <alignment horizontal="right" vertical="center"/>
    </xf>
    <xf numFmtId="3" fontId="9" fillId="0" borderId="54" xfId="0" applyNumberFormat="1" applyFont="1" applyBorder="1" applyAlignment="1" applyProtection="1">
      <alignment horizontal="right" vertical="center"/>
    </xf>
    <xf numFmtId="3" fontId="9" fillId="0" borderId="55" xfId="0" applyNumberFormat="1" applyFont="1" applyBorder="1" applyAlignment="1" applyProtection="1">
      <alignment horizontal="right" vertical="center"/>
    </xf>
    <xf numFmtId="0" fontId="72" fillId="0" borderId="0" xfId="0" applyFont="1" applyBorder="1" applyAlignment="1" applyProtection="1">
      <alignment horizontal="left" vertical="center"/>
    </xf>
    <xf numFmtId="3" fontId="9" fillId="0" borderId="59" xfId="0" applyNumberFormat="1" applyFont="1" applyBorder="1" applyAlignment="1" applyProtection="1">
      <alignment horizontal="right" vertical="center"/>
    </xf>
    <xf numFmtId="3" fontId="9" fillId="0" borderId="105" xfId="0" applyNumberFormat="1" applyFont="1" applyBorder="1" applyAlignment="1" applyProtection="1">
      <alignment horizontal="center" vertical="center"/>
    </xf>
    <xf numFmtId="3" fontId="9" fillId="0" borderId="104" xfId="0" applyNumberFormat="1" applyFont="1" applyBorder="1" applyAlignment="1" applyProtection="1">
      <alignment horizontal="center" vertical="center"/>
    </xf>
    <xf numFmtId="0" fontId="10" fillId="0" borderId="95" xfId="0" applyFont="1" applyBorder="1" applyAlignment="1" applyProtection="1">
      <alignment horizontal="left" vertical="center" wrapText="1"/>
    </xf>
    <xf numFmtId="0" fontId="18" fillId="0" borderId="96" xfId="0" applyFont="1" applyBorder="1" applyAlignment="1" applyProtection="1">
      <alignment horizontal="left" vertical="center"/>
    </xf>
    <xf numFmtId="0" fontId="18" fillId="0" borderId="97" xfId="0" applyFont="1" applyBorder="1" applyAlignment="1" applyProtection="1">
      <alignment horizontal="left" vertical="center"/>
    </xf>
    <xf numFmtId="3" fontId="9" fillId="0" borderId="96" xfId="0" applyNumberFormat="1" applyFont="1" applyBorder="1" applyAlignment="1" applyProtection="1">
      <alignment horizontal="right" vertical="center"/>
      <protection locked="0"/>
    </xf>
    <xf numFmtId="3" fontId="9" fillId="0" borderId="97" xfId="0" applyNumberFormat="1" applyFont="1" applyBorder="1" applyAlignment="1" applyProtection="1">
      <alignment horizontal="right" vertical="center"/>
      <protection locked="0"/>
    </xf>
    <xf numFmtId="0" fontId="11" fillId="0" borderId="86" xfId="0" applyFont="1" applyBorder="1" applyAlignment="1" applyProtection="1">
      <alignment horizontal="center" vertical="center"/>
    </xf>
    <xf numFmtId="0" fontId="11" fillId="0" borderId="103" xfId="0" applyFont="1" applyBorder="1" applyAlignment="1" applyProtection="1">
      <alignment horizontal="center" vertical="center"/>
    </xf>
    <xf numFmtId="0" fontId="11" fillId="0" borderId="106"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37" xfId="0" applyFont="1" applyBorder="1" applyAlignment="1" applyProtection="1">
      <alignment horizontal="center" vertical="center"/>
    </xf>
    <xf numFmtId="0" fontId="11" fillId="0" borderId="11" xfId="0" applyFont="1" applyBorder="1" applyAlignment="1" applyProtection="1">
      <alignment horizontal="center" vertical="center"/>
    </xf>
    <xf numFmtId="0" fontId="17" fillId="0" borderId="44" xfId="0" applyFont="1" applyBorder="1" applyAlignment="1" applyProtection="1">
      <alignment horizontal="left" vertical="center"/>
    </xf>
    <xf numFmtId="0" fontId="17" fillId="0" borderId="43" xfId="0" applyFont="1" applyBorder="1" applyAlignment="1" applyProtection="1">
      <alignment horizontal="left" vertical="center"/>
    </xf>
    <xf numFmtId="0" fontId="17" fillId="0" borderId="45" xfId="0" applyFont="1" applyBorder="1" applyAlignment="1" applyProtection="1">
      <alignment horizontal="left" vertical="center"/>
    </xf>
    <xf numFmtId="3" fontId="9" fillId="0" borderId="8" xfId="0" applyNumberFormat="1" applyFont="1" applyBorder="1" applyAlignment="1" applyProtection="1">
      <alignment horizontal="right" vertical="center"/>
    </xf>
    <xf numFmtId="3" fontId="9" fillId="0" borderId="0" xfId="0" applyNumberFormat="1" applyFont="1" applyBorder="1" applyAlignment="1" applyProtection="1">
      <alignment horizontal="right" vertical="center"/>
    </xf>
    <xf numFmtId="3" fontId="9" fillId="0" borderId="37" xfId="0" applyNumberFormat="1" applyFont="1" applyBorder="1" applyAlignment="1" applyProtection="1">
      <alignment horizontal="right" vertical="center"/>
    </xf>
    <xf numFmtId="0" fontId="10" fillId="0" borderId="92" xfId="0" applyFont="1" applyBorder="1" applyAlignment="1" applyProtection="1">
      <alignment horizontal="left" vertical="center"/>
    </xf>
    <xf numFmtId="0" fontId="10" fillId="0" borderId="93"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37" xfId="0" applyFont="1" applyBorder="1" applyAlignment="1" applyProtection="1">
      <alignment horizontal="left" vertical="center"/>
    </xf>
    <xf numFmtId="3" fontId="9" fillId="0" borderId="93" xfId="0" applyNumberFormat="1" applyFont="1" applyBorder="1" applyAlignment="1" applyProtection="1">
      <alignment horizontal="right" vertical="center"/>
    </xf>
    <xf numFmtId="3" fontId="9" fillId="0" borderId="94" xfId="0" applyNumberFormat="1" applyFont="1" applyBorder="1" applyAlignment="1" applyProtection="1">
      <alignment horizontal="right" vertical="center"/>
    </xf>
    <xf numFmtId="3" fontId="9" fillId="0" borderId="92" xfId="0" applyNumberFormat="1" applyFont="1" applyBorder="1" applyAlignment="1" applyProtection="1">
      <alignment horizontal="right" vertical="center"/>
    </xf>
    <xf numFmtId="0" fontId="7" fillId="0" borderId="48" xfId="0" applyFont="1" applyBorder="1" applyAlignment="1" applyProtection="1">
      <alignment horizontal="left" vertical="center"/>
    </xf>
    <xf numFmtId="0" fontId="7" fillId="0" borderId="47" xfId="0" applyFont="1" applyBorder="1" applyAlignment="1" applyProtection="1">
      <alignment horizontal="left" vertical="center"/>
    </xf>
    <xf numFmtId="0" fontId="7" fillId="0" borderId="91" xfId="0" applyFont="1" applyBorder="1" applyAlignment="1" applyProtection="1">
      <alignment horizontal="left" vertical="center"/>
    </xf>
    <xf numFmtId="3" fontId="26" fillId="0" borderId="44" xfId="0" applyNumberFormat="1" applyFont="1" applyBorder="1" applyAlignment="1" applyProtection="1">
      <alignment horizontal="right" vertical="center"/>
      <protection locked="0"/>
    </xf>
    <xf numFmtId="3" fontId="26" fillId="0" borderId="43" xfId="0" applyNumberFormat="1" applyFont="1" applyBorder="1" applyAlignment="1" applyProtection="1">
      <alignment horizontal="right" vertical="center"/>
      <protection locked="0"/>
    </xf>
    <xf numFmtId="3" fontId="26" fillId="0" borderId="45" xfId="0" applyNumberFormat="1" applyFont="1" applyBorder="1" applyAlignment="1" applyProtection="1">
      <alignment horizontal="right" vertical="center"/>
      <protection locked="0"/>
    </xf>
    <xf numFmtId="0" fontId="11" fillId="0" borderId="86" xfId="0" applyFont="1" applyBorder="1" applyAlignment="1" applyProtection="1">
      <alignment horizontal="center" vertical="center" wrapText="1"/>
    </xf>
    <xf numFmtId="0" fontId="11" fillId="0" borderId="103" xfId="0" applyFont="1" applyBorder="1" applyAlignment="1" applyProtection="1">
      <alignment horizontal="center" vertical="center" wrapText="1"/>
    </xf>
    <xf numFmtId="0" fontId="7" fillId="0" borderId="42" xfId="0" applyFont="1" applyBorder="1" applyAlignment="1" applyProtection="1">
      <alignment horizontal="left" vertical="center"/>
    </xf>
    <xf numFmtId="0" fontId="7" fillId="0" borderId="43" xfId="0" applyFont="1" applyBorder="1" applyAlignment="1" applyProtection="1">
      <alignment horizontal="left" vertical="center"/>
    </xf>
    <xf numFmtId="0" fontId="7" fillId="0" borderId="45" xfId="0" applyFont="1" applyBorder="1" applyAlignment="1" applyProtection="1">
      <alignment horizontal="left" vertical="center"/>
    </xf>
    <xf numFmtId="0" fontId="16"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28" xfId="0" applyFont="1" applyBorder="1" applyAlignment="1" applyProtection="1">
      <alignment horizontal="left" vertical="center"/>
    </xf>
    <xf numFmtId="0" fontId="7" fillId="0" borderId="26"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37" xfId="0" applyFont="1" applyBorder="1" applyAlignment="1" applyProtection="1">
      <alignment horizontal="left" vertical="center"/>
    </xf>
    <xf numFmtId="0" fontId="11" fillId="0" borderId="8"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28" xfId="0" applyFont="1" applyBorder="1" applyAlignment="1" applyProtection="1">
      <alignment horizontal="left" vertical="center"/>
    </xf>
    <xf numFmtId="3" fontId="9" fillId="0" borderId="40" xfId="0" applyNumberFormat="1" applyFont="1" applyBorder="1" applyAlignment="1" applyProtection="1">
      <alignment horizontal="right" vertical="center"/>
    </xf>
    <xf numFmtId="3" fontId="9" fillId="0" borderId="39" xfId="0" applyNumberFormat="1" applyFont="1" applyBorder="1" applyAlignment="1" applyProtection="1">
      <alignment horizontal="right" vertical="center"/>
    </xf>
    <xf numFmtId="3" fontId="9" fillId="0" borderId="41" xfId="0" applyNumberFormat="1" applyFont="1" applyBorder="1" applyAlignment="1" applyProtection="1">
      <alignment horizontal="right" vertical="center"/>
    </xf>
    <xf numFmtId="3" fontId="26" fillId="0" borderId="24" xfId="0" applyNumberFormat="1" applyFont="1" applyBorder="1" applyAlignment="1" applyProtection="1">
      <alignment horizontal="right" vertical="center"/>
      <protection locked="0"/>
    </xf>
    <xf numFmtId="3" fontId="26" fillId="0" borderId="14" xfId="0" applyNumberFormat="1" applyFont="1" applyBorder="1" applyAlignment="1" applyProtection="1">
      <alignment horizontal="right" vertical="center"/>
      <protection locked="0"/>
    </xf>
    <xf numFmtId="0" fontId="11" fillId="0" borderId="36" xfId="0" applyFont="1" applyBorder="1" applyAlignment="1" applyProtection="1">
      <alignment horizontal="left" vertical="center"/>
    </xf>
    <xf numFmtId="0" fontId="11" fillId="0" borderId="18" xfId="0" applyFont="1" applyBorder="1" applyAlignment="1" applyProtection="1">
      <alignment horizontal="left" vertical="center"/>
    </xf>
    <xf numFmtId="0" fontId="11" fillId="0" borderId="15" xfId="0" applyFont="1" applyBorder="1" applyAlignment="1" applyProtection="1">
      <alignment horizontal="left" vertical="center"/>
    </xf>
    <xf numFmtId="3" fontId="26" fillId="0" borderId="34" xfId="0" applyNumberFormat="1" applyFont="1" applyBorder="1" applyAlignment="1" applyProtection="1">
      <alignment horizontal="right" vertical="center"/>
      <protection locked="0"/>
    </xf>
    <xf numFmtId="3" fontId="26" fillId="0" borderId="35" xfId="0" applyNumberFormat="1" applyFont="1" applyBorder="1" applyAlignment="1" applyProtection="1">
      <alignment horizontal="right" vertical="center"/>
      <protection locked="0"/>
    </xf>
    <xf numFmtId="3" fontId="9" fillId="0" borderId="33" xfId="0" applyNumberFormat="1" applyFont="1" applyBorder="1" applyAlignment="1" applyProtection="1">
      <alignment horizontal="right" vertical="center"/>
    </xf>
    <xf numFmtId="3" fontId="9" fillId="0" borderId="34" xfId="0" applyNumberFormat="1" applyFont="1" applyBorder="1" applyAlignment="1" applyProtection="1">
      <alignment horizontal="right" vertical="center"/>
    </xf>
    <xf numFmtId="3" fontId="9" fillId="0" borderId="35" xfId="0" applyNumberFormat="1" applyFont="1" applyBorder="1" applyAlignment="1" applyProtection="1">
      <alignment horizontal="right" vertical="center"/>
    </xf>
    <xf numFmtId="0" fontId="34" fillId="0" borderId="0" xfId="4" applyFont="1" applyAlignment="1" applyProtection="1">
      <alignment horizontal="left" vertical="center"/>
    </xf>
    <xf numFmtId="0" fontId="11" fillId="0" borderId="24" xfId="0" applyFont="1" applyBorder="1" applyAlignment="1" applyProtection="1">
      <alignment horizontal="center" vertical="center"/>
    </xf>
    <xf numFmtId="0" fontId="11" fillId="0" borderId="24" xfId="0" applyFont="1" applyBorder="1" applyAlignment="1" applyProtection="1">
      <alignment horizontal="left" vertical="center"/>
    </xf>
    <xf numFmtId="0" fontId="36" fillId="0" borderId="0" xfId="0" applyFont="1" applyAlignment="1" applyProtection="1">
      <alignment horizontal="center" vertical="center"/>
    </xf>
    <xf numFmtId="3" fontId="26" fillId="0" borderId="39" xfId="0" applyNumberFormat="1" applyFont="1" applyBorder="1" applyAlignment="1" applyProtection="1">
      <alignment horizontal="right" vertical="center"/>
      <protection locked="0"/>
    </xf>
    <xf numFmtId="3" fontId="26" fillId="0" borderId="41" xfId="0" applyNumberFormat="1" applyFont="1" applyBorder="1" applyAlignment="1" applyProtection="1">
      <alignment horizontal="right" vertical="center"/>
      <protection locked="0"/>
    </xf>
    <xf numFmtId="3" fontId="9" fillId="0" borderId="36" xfId="0" applyNumberFormat="1" applyFont="1" applyBorder="1" applyAlignment="1" applyProtection="1">
      <alignment horizontal="right" vertical="center"/>
    </xf>
    <xf numFmtId="3" fontId="9" fillId="0" borderId="18" xfId="0" applyNumberFormat="1" applyFont="1" applyBorder="1" applyAlignment="1" applyProtection="1">
      <alignment horizontal="right" vertical="center"/>
    </xf>
    <xf numFmtId="3" fontId="9" fillId="0" borderId="15" xfId="0" applyNumberFormat="1" applyFont="1" applyBorder="1" applyAlignment="1" applyProtection="1">
      <alignment horizontal="right" vertical="center"/>
    </xf>
    <xf numFmtId="0" fontId="7" fillId="0" borderId="18" xfId="0" applyFont="1" applyBorder="1" applyAlignment="1" applyProtection="1">
      <alignment horizontal="right" vertical="center"/>
    </xf>
    <xf numFmtId="0" fontId="7" fillId="0" borderId="15" xfId="0" applyFont="1" applyBorder="1" applyAlignment="1" applyProtection="1">
      <alignment horizontal="right" vertical="center"/>
    </xf>
    <xf numFmtId="3" fontId="26" fillId="0" borderId="18" xfId="0" applyNumberFormat="1" applyFont="1" applyBorder="1" applyAlignment="1" applyProtection="1">
      <alignment horizontal="right" vertical="center"/>
    </xf>
    <xf numFmtId="3" fontId="26" fillId="0" borderId="15" xfId="0" applyNumberFormat="1" applyFont="1" applyBorder="1" applyAlignment="1" applyProtection="1">
      <alignment horizontal="right" vertical="center"/>
    </xf>
    <xf numFmtId="0" fontId="72" fillId="0" borderId="12" xfId="0" applyFont="1" applyBorder="1" applyAlignment="1" applyProtection="1">
      <alignment horizontal="left" vertical="center" wrapText="1"/>
    </xf>
    <xf numFmtId="0" fontId="72" fillId="0" borderId="0" xfId="0" applyFont="1" applyBorder="1" applyAlignment="1" applyProtection="1">
      <alignment horizontal="left" vertical="center" wrapText="1"/>
    </xf>
    <xf numFmtId="178" fontId="9" fillId="0" borderId="132" xfId="0" applyNumberFormat="1" applyFont="1" applyBorder="1" applyAlignment="1" applyProtection="1">
      <alignment horizontal="center" vertical="center"/>
      <protection locked="0"/>
    </xf>
    <xf numFmtId="0" fontId="7" fillId="0" borderId="0" xfId="0" applyFont="1" applyAlignment="1" applyProtection="1">
      <alignment horizontal="left" vertical="center"/>
    </xf>
    <xf numFmtId="178" fontId="9" fillId="0" borderId="130" xfId="0" applyNumberFormat="1" applyFont="1" applyBorder="1" applyAlignment="1" applyProtection="1">
      <alignment horizontal="center" vertical="center"/>
      <protection locked="0"/>
    </xf>
    <xf numFmtId="178" fontId="9" fillId="0" borderId="131" xfId="0" applyNumberFormat="1" applyFont="1" applyBorder="1" applyAlignment="1" applyProtection="1">
      <alignment horizontal="center" vertical="center"/>
      <protection locked="0"/>
    </xf>
    <xf numFmtId="3" fontId="18" fillId="0" borderId="32" xfId="0" applyNumberFormat="1" applyFont="1" applyBorder="1" applyAlignment="1" applyProtection="1">
      <alignment horizontal="right" vertical="center"/>
    </xf>
    <xf numFmtId="3" fontId="18" fillId="0" borderId="9" xfId="0" applyNumberFormat="1" applyFont="1" applyBorder="1" applyAlignment="1" applyProtection="1">
      <alignment horizontal="right" vertical="center"/>
    </xf>
    <xf numFmtId="3" fontId="18" fillId="0" borderId="61" xfId="0" applyNumberFormat="1" applyFont="1" applyBorder="1" applyAlignment="1" applyProtection="1">
      <alignment horizontal="right" vertical="center"/>
    </xf>
    <xf numFmtId="0" fontId="12" fillId="0" borderId="133" xfId="0" applyFont="1" applyBorder="1" applyAlignment="1" applyProtection="1">
      <alignment horizontal="center" vertical="center" wrapText="1"/>
    </xf>
    <xf numFmtId="0" fontId="12" fillId="0" borderId="136" xfId="0" applyFont="1" applyBorder="1" applyAlignment="1" applyProtection="1">
      <alignment horizontal="center" vertical="center" wrapText="1"/>
    </xf>
    <xf numFmtId="0" fontId="17" fillId="0" borderId="46" xfId="0" applyFont="1" applyBorder="1" applyAlignment="1" applyProtection="1">
      <alignment horizontal="left" vertical="center"/>
    </xf>
    <xf numFmtId="0" fontId="17" fillId="0" borderId="47" xfId="0" applyFont="1" applyBorder="1" applyAlignment="1" applyProtection="1">
      <alignment horizontal="left" vertical="center"/>
    </xf>
    <xf numFmtId="3" fontId="9" fillId="0" borderId="56" xfId="0" applyNumberFormat="1" applyFont="1" applyBorder="1" applyAlignment="1" applyProtection="1">
      <alignment vertical="center"/>
      <protection locked="0"/>
    </xf>
    <xf numFmtId="3" fontId="9" fillId="0" borderId="57" xfId="0" applyNumberFormat="1" applyFont="1" applyBorder="1" applyAlignment="1" applyProtection="1">
      <alignment vertical="center"/>
      <protection locked="0"/>
    </xf>
    <xf numFmtId="3" fontId="9" fillId="0" borderId="58" xfId="0" applyNumberFormat="1" applyFont="1" applyBorder="1" applyAlignment="1" applyProtection="1">
      <alignment vertical="center"/>
      <protection locked="0"/>
    </xf>
    <xf numFmtId="0" fontId="43" fillId="0" borderId="0" xfId="0" applyFont="1" applyFill="1" applyBorder="1" applyAlignment="1" applyProtection="1">
      <alignment horizontal="left" vertical="top" wrapText="1"/>
    </xf>
    <xf numFmtId="3" fontId="9" fillId="0" borderId="32" xfId="0" applyNumberFormat="1" applyFont="1" applyBorder="1" applyAlignment="1" applyProtection="1">
      <alignment vertical="center"/>
    </xf>
    <xf numFmtId="3" fontId="9" fillId="0" borderId="9" xfId="0" applyNumberFormat="1" applyFont="1" applyBorder="1" applyAlignment="1" applyProtection="1">
      <alignment vertical="center"/>
    </xf>
    <xf numFmtId="3" fontId="9" fillId="0" borderId="11" xfId="0" applyNumberFormat="1" applyFont="1" applyBorder="1" applyAlignment="1" applyProtection="1">
      <alignment vertical="center"/>
    </xf>
    <xf numFmtId="0" fontId="11" fillId="5" borderId="59" xfId="0" applyFont="1" applyFill="1" applyBorder="1" applyAlignment="1" applyProtection="1">
      <alignment horizontal="center" vertical="center"/>
    </xf>
    <xf numFmtId="0" fontId="11" fillId="5" borderId="50" xfId="0" applyFont="1" applyFill="1" applyBorder="1" applyAlignment="1" applyProtection="1">
      <alignment horizontal="center" vertical="center"/>
    </xf>
    <xf numFmtId="0" fontId="11" fillId="3" borderId="90" xfId="0" applyFont="1" applyFill="1" applyBorder="1" applyAlignment="1" applyProtection="1">
      <alignment horizontal="right" vertical="center"/>
    </xf>
    <xf numFmtId="49" fontId="11" fillId="3" borderId="88" xfId="0" applyNumberFormat="1" applyFont="1" applyFill="1" applyBorder="1" applyAlignment="1" applyProtection="1">
      <alignment horizontal="right" vertical="center"/>
    </xf>
    <xf numFmtId="0" fontId="32" fillId="3" borderId="113" xfId="0" applyFont="1" applyFill="1" applyBorder="1" applyAlignment="1" applyProtection="1">
      <alignment horizontal="right" vertical="center"/>
    </xf>
    <xf numFmtId="0" fontId="32" fillId="3" borderId="112" xfId="0" applyFont="1" applyFill="1" applyBorder="1" applyAlignment="1" applyProtection="1">
      <alignment horizontal="right" vertical="center"/>
    </xf>
    <xf numFmtId="0" fontId="41" fillId="5" borderId="2" xfId="0" applyFont="1" applyFill="1" applyBorder="1" applyAlignment="1" applyProtection="1">
      <alignment horizontal="center" vertical="center"/>
    </xf>
    <xf numFmtId="0" fontId="41" fillId="0" borderId="2" xfId="0" applyFont="1" applyBorder="1" applyAlignment="1" applyProtection="1">
      <alignment horizontal="center" vertical="center"/>
    </xf>
    <xf numFmtId="0" fontId="41" fillId="0" borderId="3" xfId="0" applyFont="1" applyBorder="1" applyAlignment="1" applyProtection="1">
      <alignment horizontal="center" vertical="center"/>
    </xf>
    <xf numFmtId="0" fontId="0" fillId="5" borderId="0" xfId="0" applyFill="1" applyAlignment="1" applyProtection="1">
      <alignment horizontal="center" vertical="center"/>
    </xf>
    <xf numFmtId="0" fontId="21" fillId="0" borderId="0" xfId="0" applyFont="1" applyAlignment="1" applyProtection="1">
      <alignment horizontal="center" vertical="center"/>
    </xf>
    <xf numFmtId="0" fontId="21" fillId="0" borderId="0" xfId="0" applyFont="1" applyAlignment="1" applyProtection="1">
      <alignment horizontal="distributed" vertical="center"/>
    </xf>
    <xf numFmtId="0" fontId="24" fillId="0" borderId="20" xfId="0" applyFont="1" applyBorder="1" applyAlignment="1" applyProtection="1">
      <alignment horizontal="center" vertical="center" wrapText="1"/>
    </xf>
    <xf numFmtId="0" fontId="24" fillId="0" borderId="20" xfId="0" applyFont="1" applyBorder="1" applyAlignment="1" applyProtection="1">
      <alignment horizontal="center" vertical="center"/>
    </xf>
    <xf numFmtId="0" fontId="21" fillId="0" borderId="27" xfId="0" applyFont="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0" borderId="28"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5"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9" xfId="0" applyFont="1" applyBorder="1" applyAlignment="1" applyProtection="1">
      <alignment horizontal="center" vertical="center"/>
    </xf>
    <xf numFmtId="49" fontId="21" fillId="0" borderId="20" xfId="0" applyNumberFormat="1"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3" fontId="24" fillId="0" borderId="17" xfId="0" applyNumberFormat="1" applyFont="1" applyBorder="1" applyAlignment="1" applyProtection="1">
      <alignment horizontal="right" vertical="center"/>
    </xf>
    <xf numFmtId="0" fontId="24" fillId="0" borderId="18" xfId="0" applyFont="1" applyBorder="1" applyAlignment="1" applyProtection="1">
      <alignment horizontal="right" vertical="center"/>
    </xf>
    <xf numFmtId="0" fontId="22" fillId="0" borderId="20" xfId="0" applyFont="1" applyBorder="1" applyAlignment="1" applyProtection="1">
      <alignment horizontal="center" vertical="center" wrapText="1"/>
    </xf>
    <xf numFmtId="0" fontId="21" fillId="0" borderId="18" xfId="0" applyFont="1" applyBorder="1" applyAlignment="1" applyProtection="1">
      <alignment horizontal="center" vertical="center"/>
    </xf>
    <xf numFmtId="0" fontId="23" fillId="0" borderId="0" xfId="0" applyFont="1" applyAlignment="1" applyProtection="1">
      <alignment horizontal="right" vertical="center"/>
    </xf>
    <xf numFmtId="0" fontId="21" fillId="0" borderId="0" xfId="0" applyFont="1" applyAlignment="1" applyProtection="1">
      <alignment horizontal="left" vertical="center"/>
    </xf>
    <xf numFmtId="38" fontId="21" fillId="0" borderId="0" xfId="1" applyFont="1" applyAlignment="1" applyProtection="1">
      <alignment horizontal="center" vertical="center"/>
    </xf>
    <xf numFmtId="0" fontId="21" fillId="0" borderId="24" xfId="0" applyFont="1" applyBorder="1" applyAlignment="1" applyProtection="1">
      <alignment horizontal="left" vertical="center"/>
    </xf>
    <xf numFmtId="0" fontId="0" fillId="0" borderId="24" xfId="0" applyBorder="1" applyAlignment="1" applyProtection="1">
      <alignment horizontal="left" vertical="center"/>
    </xf>
    <xf numFmtId="0" fontId="24" fillId="0" borderId="27"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21"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24" xfId="0" applyFont="1" applyBorder="1" applyAlignment="1" applyProtection="1">
      <alignment horizontal="center" vertical="center"/>
    </xf>
    <xf numFmtId="0" fontId="24" fillId="0" borderId="25" xfId="0" applyFont="1" applyBorder="1" applyAlignment="1" applyProtection="1">
      <alignment horizontal="center" vertical="center"/>
    </xf>
    <xf numFmtId="0" fontId="21" fillId="0" borderId="0" xfId="0" applyFont="1" applyFill="1" applyAlignment="1" applyProtection="1">
      <alignment horizontal="left" vertical="center" wrapText="1"/>
    </xf>
    <xf numFmtId="0" fontId="21" fillId="0" borderId="17" xfId="0" applyFont="1" applyBorder="1" applyAlignment="1" applyProtection="1">
      <alignment horizontal="left" vertical="center"/>
    </xf>
    <xf numFmtId="0" fontId="21" fillId="0" borderId="18" xfId="0" applyFont="1" applyBorder="1" applyAlignment="1" applyProtection="1">
      <alignment horizontal="left" vertical="center"/>
    </xf>
    <xf numFmtId="0" fontId="21" fillId="0" borderId="0" xfId="0" applyFont="1" applyFill="1" applyAlignment="1" applyProtection="1">
      <alignment horizontal="left" vertical="center"/>
    </xf>
  </cellXfs>
  <cellStyles count="6">
    <cellStyle name="パーセント" xfId="5" builtinId="5"/>
    <cellStyle name="ハイパーリンク" xfId="4" builtinId="8"/>
    <cellStyle name="桁区切り" xfId="1" builtinId="6"/>
    <cellStyle name="桁区切り 2" xfId="3" xr:uid="{00000000-0005-0000-0000-000003000000}"/>
    <cellStyle name="標準" xfId="0" builtinId="0"/>
    <cellStyle name="標準 2" xfId="2" xr:uid="{00000000-0005-0000-0000-000005000000}"/>
  </cellStyles>
  <dxfs count="206">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0000"/>
        </patternFill>
      </fill>
    </dxf>
    <dxf>
      <font>
        <color auto="1"/>
      </font>
      <fill>
        <patternFill>
          <fgColor rgb="FFFF0000"/>
        </patternFill>
      </fill>
    </dxf>
    <dxf>
      <fill>
        <patternFill patternType="solid">
          <fgColor auto="1"/>
          <bgColor rgb="FFFF0000"/>
        </patternFill>
      </fill>
    </dxf>
    <dxf>
      <font>
        <b/>
        <i val="0"/>
        <u val="double"/>
        <color rgb="FFFF0000"/>
      </font>
    </dxf>
    <dxf>
      <font>
        <b/>
        <i val="0"/>
        <u val="double"/>
        <color rgb="FFFF0000"/>
      </font>
    </dxf>
    <dxf>
      <font>
        <b/>
        <i val="0"/>
        <u val="double"/>
        <color rgb="FFFF0000"/>
      </font>
    </dxf>
    <dxf>
      <fill>
        <patternFill>
          <bgColor rgb="FFFF0000"/>
        </patternFill>
      </fill>
    </dxf>
    <dxf>
      <fill>
        <patternFill>
          <bgColor rgb="FFFFFF00"/>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patternFill>
      </fill>
    </dxf>
    <dxf>
      <fill>
        <patternFill>
          <bgColor rgb="FFFFCCCC"/>
        </patternFill>
      </fill>
    </dxf>
    <dxf>
      <fill>
        <patternFill>
          <bgColor rgb="FFFFCCCC"/>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patternType="solid">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CCCC"/>
      <color rgb="FFFF99CC"/>
      <color rgb="FF99FF99"/>
      <color rgb="FFCCECFF"/>
      <color rgb="FFDDDDDD"/>
      <color rgb="FFFFCCFF"/>
      <color rgb="FFFFFF66"/>
      <color rgb="FFFFFF99"/>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12513;&#12491;&#12517;&#12540;&#30011;&#38754;!B7"/></Relationships>
</file>

<file path=xl/drawings/drawing1.xml><?xml version="1.0" encoding="utf-8"?>
<xdr:wsDr xmlns:xdr="http://schemas.openxmlformats.org/drawingml/2006/spreadsheetDrawing" xmlns:a="http://schemas.openxmlformats.org/drawingml/2006/main">
  <xdr:twoCellAnchor>
    <xdr:from>
      <xdr:col>3</xdr:col>
      <xdr:colOff>28575</xdr:colOff>
      <xdr:row>3</xdr:row>
      <xdr:rowOff>114299</xdr:rowOff>
    </xdr:from>
    <xdr:to>
      <xdr:col>4</xdr:col>
      <xdr:colOff>155576</xdr:colOff>
      <xdr:row>4</xdr:row>
      <xdr:rowOff>752475</xdr:rowOff>
    </xdr:to>
    <xdr:sp macro="" textlink="">
      <xdr:nvSpPr>
        <xdr:cNvPr id="8" name="右中かっこ 7">
          <a:extLst>
            <a:ext uri="{FF2B5EF4-FFF2-40B4-BE49-F238E27FC236}">
              <a16:creationId xmlns:a16="http://schemas.microsoft.com/office/drawing/2014/main" id="{66C28178-EB4F-4EB8-934A-302BAB74BAB5}"/>
            </a:ext>
          </a:extLst>
        </xdr:cNvPr>
        <xdr:cNvSpPr/>
      </xdr:nvSpPr>
      <xdr:spPr>
        <a:xfrm>
          <a:off x="6534150" y="866774"/>
          <a:ext cx="288926" cy="1419226"/>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6</xdr:col>
      <xdr:colOff>229589</xdr:colOff>
      <xdr:row>4</xdr:row>
      <xdr:rowOff>271400</xdr:rowOff>
    </xdr:from>
    <xdr:to>
      <xdr:col>8</xdr:col>
      <xdr:colOff>366854</xdr:colOff>
      <xdr:row>4</xdr:row>
      <xdr:rowOff>509525</xdr:rowOff>
    </xdr:to>
    <xdr:pic>
      <xdr:nvPicPr>
        <xdr:cNvPr id="9" name="図 8">
          <a:extLst>
            <a:ext uri="{FF2B5EF4-FFF2-40B4-BE49-F238E27FC236}">
              <a16:creationId xmlns:a16="http://schemas.microsoft.com/office/drawing/2014/main" id="{898A20E0-6DC4-466A-B1E6-1DCDE2BC83EE}"/>
            </a:ext>
          </a:extLst>
        </xdr:cNvPr>
        <xdr:cNvPicPr>
          <a:picLocks noChangeAspect="1"/>
        </xdr:cNvPicPr>
      </xdr:nvPicPr>
      <xdr:blipFill rotWithShape="1">
        <a:blip xmlns:r="http://schemas.openxmlformats.org/officeDocument/2006/relationships" r:embed="rId1"/>
        <a:srcRect l="23795" t="39198" r="56584" b="55202"/>
        <a:stretch/>
      </xdr:blipFill>
      <xdr:spPr>
        <a:xfrm>
          <a:off x="7144492" y="2596984"/>
          <a:ext cx="1473239" cy="238125"/>
        </a:xfrm>
        <a:prstGeom prst="rect">
          <a:avLst/>
        </a:prstGeom>
      </xdr:spPr>
    </xdr:pic>
    <xdr:clientData/>
  </xdr:twoCellAnchor>
  <xdr:twoCellAnchor>
    <xdr:from>
      <xdr:col>3</xdr:col>
      <xdr:colOff>12370</xdr:colOff>
      <xdr:row>2</xdr:row>
      <xdr:rowOff>482435</xdr:rowOff>
    </xdr:from>
    <xdr:to>
      <xdr:col>5</xdr:col>
      <xdr:colOff>0</xdr:colOff>
      <xdr:row>2</xdr:row>
      <xdr:rowOff>482435</xdr:rowOff>
    </xdr:to>
    <xdr:cxnSp macro="">
      <xdr:nvCxnSpPr>
        <xdr:cNvPr id="3" name="直線矢印コネクタ 2">
          <a:extLst>
            <a:ext uri="{FF2B5EF4-FFF2-40B4-BE49-F238E27FC236}">
              <a16:creationId xmlns:a16="http://schemas.microsoft.com/office/drawing/2014/main" id="{94DE3256-394B-40E0-B421-ADDEE5E77F48}"/>
            </a:ext>
          </a:extLst>
        </xdr:cNvPr>
        <xdr:cNvCxnSpPr/>
      </xdr:nvCxnSpPr>
      <xdr:spPr>
        <a:xfrm>
          <a:off x="5801591" y="940130"/>
          <a:ext cx="432954" cy="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365126</xdr:colOff>
      <xdr:row>4</xdr:row>
      <xdr:rowOff>132292</xdr:rowOff>
    </xdr:from>
    <xdr:to>
      <xdr:col>6</xdr:col>
      <xdr:colOff>631826</xdr:colOff>
      <xdr:row>6</xdr:row>
      <xdr:rowOff>151342</xdr:rowOff>
    </xdr:to>
    <xdr:sp macro="" textlink="">
      <xdr:nvSpPr>
        <xdr:cNvPr id="7" name="四角形: 角を丸くする 6">
          <a:extLst>
            <a:ext uri="{FF2B5EF4-FFF2-40B4-BE49-F238E27FC236}">
              <a16:creationId xmlns:a16="http://schemas.microsoft.com/office/drawing/2014/main" id="{ED146344-DD81-498A-9258-3F398F607C6B}"/>
            </a:ext>
          </a:extLst>
        </xdr:cNvPr>
        <xdr:cNvSpPr/>
      </xdr:nvSpPr>
      <xdr:spPr>
        <a:xfrm>
          <a:off x="5603876" y="1402292"/>
          <a:ext cx="2002367" cy="590550"/>
        </a:xfrm>
        <a:prstGeom prst="roundRect">
          <a:avLst/>
        </a:prstGeom>
        <a:ln w="38100">
          <a:solidFill>
            <a:srgbClr val="FFC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absolute">
    <xdr:from>
      <xdr:col>4</xdr:col>
      <xdr:colOff>20109</xdr:colOff>
      <xdr:row>5</xdr:row>
      <xdr:rowOff>132292</xdr:rowOff>
    </xdr:from>
    <xdr:to>
      <xdr:col>4</xdr:col>
      <xdr:colOff>363009</xdr:colOff>
      <xdr:row>5</xdr:row>
      <xdr:rowOff>132293</xdr:rowOff>
    </xdr:to>
    <xdr:cxnSp macro="">
      <xdr:nvCxnSpPr>
        <xdr:cNvPr id="3" name="直線矢印コネクタ 2">
          <a:extLst>
            <a:ext uri="{FF2B5EF4-FFF2-40B4-BE49-F238E27FC236}">
              <a16:creationId xmlns:a16="http://schemas.microsoft.com/office/drawing/2014/main" id="{6545589F-BB60-4017-AF15-88DD507D72A1}"/>
            </a:ext>
          </a:extLst>
        </xdr:cNvPr>
        <xdr:cNvCxnSpPr/>
      </xdr:nvCxnSpPr>
      <xdr:spPr>
        <a:xfrm flipH="1">
          <a:off x="5258859" y="1688042"/>
          <a:ext cx="342900" cy="1"/>
        </a:xfrm>
        <a:prstGeom prst="straightConnector1">
          <a:avLst/>
        </a:prstGeom>
        <a:ln w="57150">
          <a:solidFill>
            <a:srgbClr val="FFC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editAs="absolute">
    <xdr:from>
      <xdr:col>4</xdr:col>
      <xdr:colOff>346075</xdr:colOff>
      <xdr:row>4</xdr:row>
      <xdr:rowOff>160866</xdr:rowOff>
    </xdr:from>
    <xdr:to>
      <xdr:col>7</xdr:col>
      <xdr:colOff>579829</xdr:colOff>
      <xdr:row>6</xdr:row>
      <xdr:rowOff>308161</xdr:rowOff>
    </xdr:to>
    <xdr:sp macro="" textlink="">
      <xdr:nvSpPr>
        <xdr:cNvPr id="6" name="テキスト ボックス 5">
          <a:extLst>
            <a:ext uri="{FF2B5EF4-FFF2-40B4-BE49-F238E27FC236}">
              <a16:creationId xmlns:a16="http://schemas.microsoft.com/office/drawing/2014/main" id="{3DBFFAAF-D53F-4392-B34F-274418E3F53D}"/>
            </a:ext>
          </a:extLst>
        </xdr:cNvPr>
        <xdr:cNvSpPr txBox="1">
          <a:spLocks noChangeAspect="1"/>
        </xdr:cNvSpPr>
      </xdr:nvSpPr>
      <xdr:spPr>
        <a:xfrm>
          <a:off x="5584825" y="1407520"/>
          <a:ext cx="2657026" cy="707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該当する「助成区分」を、</a:t>
          </a:r>
          <a:endParaRPr kumimoji="1" lang="en-US" altLang="ja-JP" sz="1100" b="1"/>
        </a:p>
        <a:p>
          <a:r>
            <a:rPr kumimoji="1" lang="ja-JP" altLang="en-US" sz="1100" b="1"/>
            <a:t>プルダウンでご選択ください。</a:t>
          </a:r>
          <a:endParaRPr kumimoji="1" lang="en-US" altLang="ja-JP" sz="1100" b="1"/>
        </a:p>
      </xdr:txBody>
    </xdr:sp>
    <xdr:clientData/>
  </xdr:twoCellAnchor>
  <xdr:twoCellAnchor editAs="absolute">
    <xdr:from>
      <xdr:col>4</xdr:col>
      <xdr:colOff>21166</xdr:colOff>
      <xdr:row>14</xdr:row>
      <xdr:rowOff>137583</xdr:rowOff>
    </xdr:from>
    <xdr:to>
      <xdr:col>4</xdr:col>
      <xdr:colOff>364066</xdr:colOff>
      <xdr:row>14</xdr:row>
      <xdr:rowOff>137584</xdr:rowOff>
    </xdr:to>
    <xdr:cxnSp macro="">
      <xdr:nvCxnSpPr>
        <xdr:cNvPr id="8" name="直線矢印コネクタ 7">
          <a:extLst>
            <a:ext uri="{FF2B5EF4-FFF2-40B4-BE49-F238E27FC236}">
              <a16:creationId xmlns:a16="http://schemas.microsoft.com/office/drawing/2014/main" id="{100CD5CF-CD55-4FF3-AC16-71F32D103EB2}"/>
            </a:ext>
          </a:extLst>
        </xdr:cNvPr>
        <xdr:cNvCxnSpPr/>
      </xdr:nvCxnSpPr>
      <xdr:spPr>
        <a:xfrm flipH="1">
          <a:off x="5259916" y="4624916"/>
          <a:ext cx="342900" cy="1"/>
        </a:xfrm>
        <a:prstGeom prst="straightConnector1">
          <a:avLst/>
        </a:prstGeom>
        <a:noFill/>
        <a:ln w="57150" cap="flat" cmpd="sng" algn="ctr">
          <a:solidFill>
            <a:srgbClr val="FFC000"/>
          </a:solidFill>
          <a:prstDash val="solid"/>
          <a:miter lim="800000"/>
          <a:tailEnd type="triangle"/>
        </a:ln>
        <a:effectLst/>
      </xdr:spPr>
    </xdr:cxnSp>
    <xdr:clientData/>
  </xdr:twoCellAnchor>
  <xdr:twoCellAnchor editAs="absolute">
    <xdr:from>
      <xdr:col>4</xdr:col>
      <xdr:colOff>370417</xdr:colOff>
      <xdr:row>13</xdr:row>
      <xdr:rowOff>254000</xdr:rowOff>
    </xdr:from>
    <xdr:to>
      <xdr:col>6</xdr:col>
      <xdr:colOff>465666</xdr:colOff>
      <xdr:row>16</xdr:row>
      <xdr:rowOff>21166</xdr:rowOff>
    </xdr:to>
    <xdr:sp macro="" textlink="">
      <xdr:nvSpPr>
        <xdr:cNvPr id="9" name="四角形: 角を丸くする 8">
          <a:extLst>
            <a:ext uri="{FF2B5EF4-FFF2-40B4-BE49-F238E27FC236}">
              <a16:creationId xmlns:a16="http://schemas.microsoft.com/office/drawing/2014/main" id="{1950D37A-F3AE-49A2-B051-F7545EF4A1EF}"/>
            </a:ext>
          </a:extLst>
        </xdr:cNvPr>
        <xdr:cNvSpPr/>
      </xdr:nvSpPr>
      <xdr:spPr>
        <a:xfrm>
          <a:off x="5609167" y="4307417"/>
          <a:ext cx="1830916" cy="687916"/>
        </a:xfrm>
        <a:prstGeom prst="roundRect">
          <a:avLst/>
        </a:prstGeom>
        <a:solidFill>
          <a:sysClr val="window" lastClr="FFFFFF"/>
        </a:solidFill>
        <a:ln w="38100" cap="flat" cmpd="sng" algn="ctr">
          <a:solidFill>
            <a:srgbClr val="FFC000">
              <a:alpha val="99000"/>
            </a:srgbClr>
          </a:solidFill>
          <a:prstDash val="solid"/>
          <a:miter lim="800000"/>
        </a:ln>
        <a:effectLst/>
      </xdr:spPr>
      <xdr:txBody>
        <a:bodyPr vertOverflow="clip" horzOverflow="clip" rtlCol="0" anchor="t"/>
        <a:lstStyle/>
        <a:p>
          <a:r>
            <a:rPr kumimoji="1" lang="ja-JP" altLang="ja-JP" sz="1100" b="1">
              <a:effectLst/>
              <a:latin typeface="+mn-lt"/>
              <a:ea typeface="+mn-ea"/>
              <a:cs typeface="+mn-cs"/>
            </a:rPr>
            <a:t>要望書に</a:t>
          </a:r>
          <a:r>
            <a:rPr kumimoji="1" lang="ja-JP" altLang="en-US" sz="1100" b="1">
              <a:effectLst/>
              <a:latin typeface="+mn-lt"/>
              <a:ea typeface="+mn-ea"/>
              <a:cs typeface="+mn-cs"/>
            </a:rPr>
            <a:t>ご記載の</a:t>
          </a:r>
          <a:r>
            <a:rPr kumimoji="1" lang="ja-JP" altLang="ja-JP" sz="1100" b="1">
              <a:effectLst/>
              <a:latin typeface="+mn-lt"/>
              <a:ea typeface="+mn-ea"/>
              <a:cs typeface="+mn-cs"/>
            </a:rPr>
            <a:t>柱を</a:t>
          </a:r>
          <a:endParaRPr kumimoji="1" lang="en-US" altLang="ja-JP" sz="1100" b="1">
            <a:effectLst/>
            <a:latin typeface="+mn-lt"/>
            <a:ea typeface="+mn-ea"/>
            <a:cs typeface="+mn-cs"/>
          </a:endParaRPr>
        </a:p>
        <a:p>
          <a:r>
            <a:rPr kumimoji="1" lang="ja-JP" altLang="ja-JP" sz="1100" b="1">
              <a:effectLst/>
              <a:latin typeface="+mn-lt"/>
              <a:ea typeface="+mn-ea"/>
              <a:cs typeface="+mn-cs"/>
            </a:rPr>
            <a:t>ご記入ください。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202043</xdr:colOff>
      <xdr:row>1</xdr:row>
      <xdr:rowOff>57152</xdr:rowOff>
    </xdr:from>
    <xdr:to>
      <xdr:col>35</xdr:col>
      <xdr:colOff>121227</xdr:colOff>
      <xdr:row>15</xdr:row>
      <xdr:rowOff>69273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8126361" y="490107"/>
          <a:ext cx="11695548" cy="494780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重要</a:t>
          </a: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入力時の注意点</a:t>
          </a:r>
          <a:r>
            <a:rPr kumimoji="1" lang="ja-JP" altLang="en-US" sz="1600" b="1" baseline="0">
              <a:latin typeface="ＭＳ Ｐゴシック" panose="020B0600070205080204" pitchFamily="50" charset="-128"/>
              <a:ea typeface="ＭＳ Ｐゴシック" panose="020B0600070205080204" pitchFamily="50" charset="-128"/>
            </a:rPr>
            <a:t>　　　　　　　　　　　　　　　　　　　　　　　　　　　　　　　 　</a:t>
          </a:r>
          <a:r>
            <a:rPr kumimoji="1" lang="ja-JP" altLang="en-US" sz="1400" b="1" baseline="0">
              <a:latin typeface="ＭＳ Ｐゴシック" panose="020B0600070205080204" pitchFamily="50" charset="-128"/>
              <a:ea typeface="ＭＳ Ｐゴシック" panose="020B0600070205080204" pitchFamily="50" charset="-128"/>
            </a:rPr>
            <a:t>　　　　　　　　　　　　　　　　　　　　　　　　　　　　　　　　　　　　　　　　　</a:t>
          </a:r>
          <a:r>
            <a:rPr kumimoji="1" lang="ja-JP" altLang="en-US" sz="14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4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①</a:t>
          </a:r>
          <a:r>
            <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ピンク色</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のセルが入力</a:t>
          </a:r>
          <a:r>
            <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プルダウン選択をする箇所</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です。</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②必ずしも支出の年月日順に並んでいる必要はありません。</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入力漏れが判明した場合は、判明時点での最終行にご入力ください。　　　 　　</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③</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「行」の挿入及び削除はできません。</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既に入力した文字や数値を削除する場合は、その行のセルの入力内容を全てクリアしてください。 　　　　 </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④支出年月日は、赤色は「エラー」で</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助成</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対象外となり、黄色は「注意」となります。</a:t>
          </a:r>
          <a:r>
            <a:rPr kumimoji="1" lang="ja-JP" altLang="en-US"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「黄色」は、</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助成</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期間内の前払・</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後</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払金であれば「対象経費」となる場合があります。</a:t>
          </a:r>
          <a:r>
            <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事務の手引き</a:t>
          </a:r>
          <a:r>
            <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ページ参照）</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⑤立替払いの場合は、立替者ではなく実際の支払い相手（役務者や購入先）をご入力ください。</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⑥複数の柱立てにかかる費用の場合、その中で</a:t>
          </a:r>
          <a:r>
            <a:rPr kumimoji="0" lang="ja-JP" altLang="en-US" sz="1600" b="0" i="0" u="sng"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最も費用の割合が高い柱立て番号</a:t>
          </a: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を入力してください。</a:t>
          </a:r>
          <a:endPar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⑦</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未入力</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チェック欄では必要項目が入力されているかをご確認いただけます。「ピンク色のセルを全て入</a:t>
          </a:r>
          <a:endParaRPr lang="ja-JP" altLang="ja-JP" sz="16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　力してください」と出てきた場合は、今一度入力漏れがないかご確認ください。旅費を計上する場合は、</a:t>
          </a:r>
          <a:endParaRPr lang="ja-JP" altLang="ja-JP" sz="16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　旅行区間および宿泊地の入力を確認する注意喚起のメッセージが表示されます。</a:t>
          </a:r>
          <a:endParaRPr lang="ja-JP" altLang="ja-JP" sz="16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600" b="0" i="0" baseline="0">
              <a:solidFill>
                <a:schemeClr val="dk1"/>
              </a:solidFill>
              <a:effectLst/>
              <a:latin typeface="ＭＳ ゴシック" panose="020B0609070205080204" pitchFamily="49" charset="-128"/>
              <a:ea typeface="ＭＳ ゴシック" panose="020B0609070205080204" pitchFamily="49" charset="-128"/>
              <a:cs typeface="+mn-cs"/>
            </a:rPr>
            <a:t>⑧謝金の対象経費欄が黄色の場合は、「注意」表示です。謝金は一日一人あたり</a:t>
          </a:r>
          <a:r>
            <a:rPr lang="en-US" altLang="ja-JP" sz="1600" b="0" i="0" baseline="0">
              <a:solidFill>
                <a:schemeClr val="dk1"/>
              </a:solidFill>
              <a:effectLst/>
              <a:latin typeface="ＭＳ ゴシック" panose="020B0609070205080204" pitchFamily="49" charset="-128"/>
              <a:ea typeface="ＭＳ ゴシック" panose="020B0609070205080204" pitchFamily="49" charset="-128"/>
              <a:cs typeface="+mn-cs"/>
            </a:rPr>
            <a:t>15,700</a:t>
          </a:r>
          <a:r>
            <a:rPr lang="ja-JP" altLang="ja-JP" sz="1600" b="0" i="0" baseline="0">
              <a:solidFill>
                <a:schemeClr val="dk1"/>
              </a:solidFill>
              <a:effectLst/>
              <a:latin typeface="ＭＳ ゴシック" panose="020B0609070205080204" pitchFamily="49" charset="-128"/>
              <a:ea typeface="ＭＳ ゴシック" panose="020B0609070205080204" pitchFamily="49" charset="-128"/>
              <a:cs typeface="+mn-cs"/>
            </a:rPr>
            <a:t>円が上限となっております（外部の人</a:t>
          </a:r>
          <a:r>
            <a:rPr lang="en-US" altLang="ja-JP" sz="1600" b="0" i="0" baseline="0">
              <a:solidFill>
                <a:schemeClr val="dk1"/>
              </a:solidFill>
              <a:effectLst/>
              <a:latin typeface="ＭＳ ゴシック" panose="020B0609070205080204" pitchFamily="49" charset="-128"/>
              <a:ea typeface="ＭＳ ゴシック" panose="020B0609070205080204" pitchFamily="49" charset="-128"/>
              <a:cs typeface="+mn-cs"/>
            </a:rPr>
            <a:t>+3</a:t>
          </a:r>
          <a:r>
            <a:rPr lang="ja-JP" altLang="ja-JP" sz="1600" b="0" i="0" baseline="0">
              <a:solidFill>
                <a:schemeClr val="dk1"/>
              </a:solidFill>
              <a:effectLst/>
              <a:latin typeface="ＭＳ ゴシック" panose="020B0609070205080204" pitchFamily="49" charset="-128"/>
              <a:ea typeface="ＭＳ ゴシック" panose="020B0609070205080204" pitchFamily="49" charset="-128"/>
              <a:cs typeface="+mn-cs"/>
            </a:rPr>
            <a:t>時間以上の従事の場合は</a:t>
          </a:r>
          <a:r>
            <a:rPr lang="en-US" altLang="ja-JP" sz="1600" b="0" i="0" baseline="0">
              <a:solidFill>
                <a:schemeClr val="dk1"/>
              </a:solidFill>
              <a:effectLst/>
              <a:latin typeface="ＭＳ ゴシック" panose="020B0609070205080204" pitchFamily="49" charset="-128"/>
              <a:ea typeface="ＭＳ ゴシック" panose="020B0609070205080204" pitchFamily="49" charset="-128"/>
              <a:cs typeface="+mn-cs"/>
            </a:rPr>
            <a:t>47,100</a:t>
          </a:r>
          <a:r>
            <a:rPr lang="ja-JP" altLang="ja-JP" sz="1600" b="0" i="0" baseline="0">
              <a:solidFill>
                <a:schemeClr val="dk1"/>
              </a:solidFill>
              <a:effectLst/>
              <a:latin typeface="ＭＳ ゴシック" panose="020B0609070205080204" pitchFamily="49" charset="-128"/>
              <a:ea typeface="ＭＳ ゴシック" panose="020B0609070205080204" pitchFamily="49" charset="-128"/>
              <a:cs typeface="+mn-cs"/>
            </a:rPr>
            <a:t>円）。そのため、数日分をまとめて計上される場合には摘要欄に支払いの内容とともに「〇日分」との記載をお願いいたします。</a:t>
          </a:r>
          <a:endParaRPr lang="ja-JP" altLang="ja-JP" sz="16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⑨修繕費の対象経費欄が黄色の場合は、「注意」表示です。修繕費は一契約あたり</a:t>
          </a:r>
          <a:r>
            <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20</a:t>
          </a: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万円（税込み）が上限となっております。そのため、上限超えとなっていないか今一度ご確認ください。</a:t>
          </a:r>
          <a:endPar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503464</xdr:colOff>
      <xdr:row>1</xdr:row>
      <xdr:rowOff>249000</xdr:rowOff>
    </xdr:from>
    <xdr:to>
      <xdr:col>16</xdr:col>
      <xdr:colOff>68034</xdr:colOff>
      <xdr:row>4</xdr:row>
      <xdr:rowOff>435429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123714" y="602786"/>
          <a:ext cx="5687784" cy="9756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重要</a:t>
          </a: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入力時の注意点</a:t>
          </a:r>
          <a:endPar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latin typeface="ＭＳ Ｐゴシック" panose="020B0600070205080204" pitchFamily="50" charset="-128"/>
              <a:ea typeface="ＭＳ Ｐゴシック" panose="020B0600070205080204" pitchFamily="50" charset="-128"/>
            </a:rPr>
            <a:t>① ピンク色のセルが入力</a:t>
          </a:r>
          <a:r>
            <a:rPr kumimoji="1" lang="en-US" altLang="ja-JP" sz="1600" b="0">
              <a:latin typeface="ＭＳ Ｐゴシック" panose="020B0600070205080204" pitchFamily="50" charset="-128"/>
              <a:ea typeface="ＭＳ Ｐゴシック" panose="020B0600070205080204" pitchFamily="50" charset="-128"/>
            </a:rPr>
            <a:t>/</a:t>
          </a:r>
          <a:r>
            <a:rPr kumimoji="1" lang="ja-JP" altLang="en-US" sz="1600" b="0">
              <a:latin typeface="ＭＳ Ｐゴシック" panose="020B0600070205080204" pitchFamily="50" charset="-128"/>
              <a:ea typeface="ＭＳ Ｐゴシック" panose="020B0600070205080204" pitchFamily="50" charset="-128"/>
            </a:rPr>
            <a:t>プルダウン選択をする箇所です。</a:t>
          </a:r>
          <a:endParaRPr kumimoji="1" lang="en-US" altLang="ja-JP" sz="16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②</a:t>
          </a:r>
          <a:r>
            <a:rPr kumimoji="1" lang="en-US" altLang="ja-JP" sz="1600" b="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600" b="0">
              <a:solidFill>
                <a:schemeClr val="dk1"/>
              </a:solidFill>
              <a:latin typeface="ＭＳ Ｐゴシック" panose="020B0600070205080204" pitchFamily="50" charset="-128"/>
              <a:ea typeface="ＭＳ Ｐゴシック" panose="020B0600070205080204" pitchFamily="50" charset="-128"/>
              <a:cs typeface="+mn-cs"/>
            </a:rPr>
            <a:t>WAM</a:t>
          </a: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から</a:t>
          </a:r>
          <a:r>
            <a:rPr kumimoji="1" lang="ja-JP" altLang="en-US" sz="1600" b="0">
              <a:latin typeface="ＭＳ Ｐゴシック" panose="020B0600070205080204" pitchFamily="50" charset="-128"/>
              <a:ea typeface="ＭＳ Ｐゴシック" panose="020B0600070205080204" pitchFamily="50" charset="-128"/>
            </a:rPr>
            <a:t>の助成金額は入力しないでください。</a:t>
          </a:r>
          <a:endParaRPr kumimoji="1" lang="en-US" altLang="ja-JP" sz="1400" b="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158749</xdr:colOff>
      <xdr:row>0</xdr:row>
      <xdr:rowOff>63500</xdr:rowOff>
    </xdr:from>
    <xdr:to>
      <xdr:col>34</xdr:col>
      <xdr:colOff>606136</xdr:colOff>
      <xdr:row>9</xdr:row>
      <xdr:rowOff>173182</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233476" y="63500"/>
          <a:ext cx="8690842" cy="246495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a:t>
          </a:r>
          <a:r>
            <a:rPr kumimoji="1" lang="ja-JP" altLang="en-US"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重要</a:t>
          </a:r>
          <a:r>
            <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a:t>
          </a:r>
          <a:r>
            <a:rPr kumimoji="1" lang="ja-JP" altLang="en-US"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入力時の注意点</a:t>
          </a:r>
          <a:endPar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・「助成金決定時」のピンク色の箇所は、</a:t>
          </a:r>
          <a:r>
            <a:rPr kumimoji="1" lang="ja-JP" altLang="en-US" sz="1400" b="1"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応募時の「助成金要望額調書」にご記載の金額</a:t>
          </a: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をご入力ください。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もし、「申請書兼請求書」のご提出時に</a:t>
          </a:r>
          <a:r>
            <a:rPr kumimoji="1" lang="ja-JP" altLang="en-US" sz="1400" b="1" i="0" u="dbl"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予算の変更をした場合は、その金額</a:t>
          </a: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をご入力ください。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決定通知到着後、事業実施期間中に予算の変更が生じた場合であっても、変更後の金額は入力しないでください。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（ご不明な場合は、機構担当者までお問合せください。）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・事業完了時に「③助成金額の算定」の箇所で返還金が発生した場合は、「④返還金について（該当団体のみ）」の欄に必ずご入力ください。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（入力がない場合は、機構担当者より別途お伺いすることがあります。）</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endParaRPr kumimoji="1" lang="en-US" altLang="ja-JP" sz="1600" b="0">
            <a:solidFill>
              <a:sysClr val="windowText" lastClr="000000"/>
            </a:solidFill>
            <a:latin typeface="+mn-lt"/>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205740</xdr:colOff>
      <xdr:row>0</xdr:row>
      <xdr:rowOff>271779</xdr:rowOff>
    </xdr:from>
    <xdr:to>
      <xdr:col>27</xdr:col>
      <xdr:colOff>47625</xdr:colOff>
      <xdr:row>6</xdr:row>
      <xdr:rowOff>71437</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8254365" y="271779"/>
          <a:ext cx="3520916" cy="11688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重要</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入力時の注意点</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400" b="0">
              <a:latin typeface="ＭＳ Ｐゴシック" panose="020B0600070205080204" pitchFamily="50" charset="-128"/>
              <a:ea typeface="ＭＳ Ｐゴシック" panose="020B0600070205080204" pitchFamily="50" charset="-128"/>
            </a:rPr>
            <a:t>　ピンク色の箇所に入力してください。</a:t>
          </a:r>
          <a:endParaRPr kumimoji="0" lang="en-US" altLang="ja-JP" sz="1100" b="1" i="0" u="sng" strike="noStrike">
            <a:solidFill>
              <a:schemeClr val="dk1"/>
            </a:solidFill>
            <a:effectLst/>
            <a:latin typeface="+mn-lt"/>
            <a:ea typeface="+mn-ea"/>
            <a:cs typeface="+mn-cs"/>
          </a:endParaRPr>
        </a:p>
        <a:p>
          <a:endParaRPr kumimoji="0" lang="en-US" altLang="ja-JP" sz="1100" b="1" i="0" u="none" strike="noStrike">
            <a:solidFill>
              <a:schemeClr val="dk1"/>
            </a:solidFill>
            <a:effectLst/>
            <a:latin typeface="+mn-lt"/>
            <a:ea typeface="+mn-ea"/>
            <a:cs typeface="+mn-cs"/>
          </a:endParaRPr>
        </a:p>
        <a:p>
          <a:r>
            <a:rPr kumimoji="0" lang="ja-JP" altLang="en-US" sz="1100" b="1" i="0" u="none" strike="noStrike">
              <a:solidFill>
                <a:schemeClr val="dk1"/>
              </a:solidFill>
              <a:effectLst/>
              <a:latin typeface="+mn-lt"/>
              <a:ea typeface="+mn-ea"/>
              <a:cs typeface="+mn-cs"/>
            </a:rPr>
            <a:t>　</a:t>
          </a:r>
          <a:r>
            <a:rPr kumimoji="0" lang="ja-JP" altLang="en-US" sz="1400" b="1" i="0" u="sng" strike="noStrike">
              <a:solidFill>
                <a:schemeClr val="accent1">
                  <a:lumMod val="75000"/>
                </a:schemeClr>
              </a:solidFill>
              <a:effectLst/>
              <a:latin typeface="ＭＳ Ｐゴシック" panose="020B0600070205080204" pitchFamily="50" charset="-128"/>
              <a:ea typeface="ＭＳ Ｐゴシック" panose="020B0600070205080204" pitchFamily="50" charset="-128"/>
              <a:cs typeface="+mn-cs"/>
            </a:rPr>
            <a:t>メニュー画面へ</a:t>
          </a:r>
          <a:endParaRPr kumimoji="1" lang="en-US" altLang="ja-JP" sz="1400" b="0" u="sng">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9"/>
  <sheetViews>
    <sheetView showGridLines="0" tabSelected="1" view="pageBreakPreview" zoomScale="80" zoomScaleNormal="100" zoomScaleSheetLayoutView="80" workbookViewId="0">
      <selection activeCell="V3" sqref="V3"/>
    </sheetView>
  </sheetViews>
  <sheetFormatPr defaultRowHeight="18.75"/>
  <cols>
    <col min="1" max="1" width="2.625" style="9" customWidth="1"/>
    <col min="2" max="2" width="22.25" style="9" customWidth="1"/>
    <col min="3" max="3" width="51.125" style="9" customWidth="1"/>
    <col min="4" max="4" width="2.125" style="9" customWidth="1"/>
    <col min="5" max="5" width="3.75" customWidth="1"/>
    <col min="7" max="7" width="8.625" customWidth="1"/>
  </cols>
  <sheetData>
    <row r="1" spans="1:13">
      <c r="B1" s="36" t="s">
        <v>62</v>
      </c>
    </row>
    <row r="2" spans="1:13" s="1" customFormat="1" ht="18" thickBot="1">
      <c r="A2" s="13"/>
      <c r="B2" s="195" t="s">
        <v>237</v>
      </c>
      <c r="C2" s="13"/>
      <c r="D2" s="13"/>
    </row>
    <row r="3" spans="1:13" ht="73.5" customHeight="1">
      <c r="B3" s="238" t="s">
        <v>233</v>
      </c>
      <c r="C3" s="207" t="s">
        <v>291</v>
      </c>
      <c r="D3" s="13"/>
      <c r="E3" s="1"/>
      <c r="F3" s="281" t="s">
        <v>292</v>
      </c>
      <c r="G3" s="282"/>
      <c r="H3" s="282"/>
      <c r="I3" s="282"/>
      <c r="J3" s="282"/>
      <c r="K3" s="282"/>
      <c r="L3" s="282"/>
      <c r="M3" s="282"/>
    </row>
    <row r="4" spans="1:13" ht="74.25" customHeight="1">
      <c r="B4" s="208" t="s">
        <v>63</v>
      </c>
      <c r="C4" s="209" t="s">
        <v>296</v>
      </c>
      <c r="D4" s="13"/>
      <c r="E4" s="1"/>
      <c r="F4" s="281" t="s">
        <v>280</v>
      </c>
      <c r="G4" s="281"/>
      <c r="H4" s="281"/>
      <c r="I4" s="281"/>
      <c r="J4" s="281"/>
      <c r="K4" s="281"/>
      <c r="L4" s="281"/>
      <c r="M4" s="281"/>
    </row>
    <row r="5" spans="1:13" ht="74.25" customHeight="1" thickBot="1">
      <c r="B5" s="210" t="s">
        <v>97</v>
      </c>
      <c r="C5" s="211" t="s">
        <v>297</v>
      </c>
      <c r="D5" s="13"/>
      <c r="E5" s="1"/>
      <c r="F5" s="281"/>
      <c r="G5" s="281"/>
      <c r="H5" s="281"/>
      <c r="I5" s="281"/>
      <c r="J5" s="281"/>
      <c r="K5" s="281"/>
      <c r="L5" s="281"/>
      <c r="M5" s="281"/>
    </row>
    <row r="6" spans="1:13" ht="75.75" customHeight="1" thickTop="1">
      <c r="B6" s="212" t="s">
        <v>64</v>
      </c>
      <c r="C6" s="213" t="s">
        <v>298</v>
      </c>
      <c r="D6" s="13"/>
      <c r="E6" s="1"/>
      <c r="F6" s="1"/>
      <c r="G6" s="280"/>
      <c r="H6" s="280"/>
      <c r="I6" s="280"/>
      <c r="J6" s="280"/>
      <c r="K6" s="280"/>
      <c r="L6" s="280"/>
    </row>
    <row r="7" spans="1:13" ht="40.35" hidden="1" customHeight="1">
      <c r="B7" s="196" t="s">
        <v>95</v>
      </c>
      <c r="C7" s="146" t="s">
        <v>181</v>
      </c>
      <c r="D7" s="13"/>
      <c r="E7" s="1"/>
      <c r="F7" s="1"/>
      <c r="H7" s="1"/>
    </row>
    <row r="8" spans="1:13" ht="74.25" customHeight="1" thickBot="1">
      <c r="B8" s="214" t="s">
        <v>96</v>
      </c>
      <c r="C8" s="215" t="s">
        <v>299</v>
      </c>
      <c r="D8" s="13"/>
      <c r="E8" s="1"/>
      <c r="F8" s="1"/>
      <c r="G8" s="225"/>
      <c r="H8" s="1"/>
    </row>
    <row r="9" spans="1:13" ht="19.5" thickTop="1">
      <c r="B9" s="4"/>
    </row>
  </sheetData>
  <sheetProtection algorithmName="SHA-512" hashValue="6uf8EAqswIZHfAPq5F3sSsYO0dnKpcPcez3waYx9HpCs66unv8F7FRbbxB81Y2I3OBrq/MfJCMmsUecwYF5p0A==" saltValue="nUyb39LEtvIr5vXt8nEZKA==" spinCount="100000" sheet="1" objects="1" autoFilter="0"/>
  <mergeCells count="3">
    <mergeCell ref="G6:L6"/>
    <mergeCell ref="F4:M5"/>
    <mergeCell ref="F3:M3"/>
  </mergeCells>
  <phoneticPr fontId="4"/>
  <hyperlinks>
    <hyperlink ref="B7" location="総事業費の支出額内訳!B4" display="支出額内訳" xr:uid="{00000000-0004-0000-0000-000003000000}"/>
    <hyperlink ref="B4" location="支出入力表!B5" display="支出入力表" xr:uid="{00000000-0004-0000-0000-000004000000}"/>
    <hyperlink ref="B8" location="事業完了報告書!M4" display="事業完了報告書" xr:uid="{00000000-0004-0000-0000-000005000000}"/>
    <hyperlink ref="B6" location="精算額計算書!J8" display="精算額計算書" xr:uid="{00000000-0004-0000-0000-000006000000}"/>
    <hyperlink ref="B5" location="収入入力表!B5" display="収入入力表" xr:uid="{00000000-0004-0000-0000-000009000000}"/>
    <hyperlink ref="B3" location="団体基本情報入力!A1" display="団体基本情報入力" xr:uid="{F031CC3F-95C5-40B5-951E-17E74AA5354C}"/>
  </hyperlinks>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1:N24"/>
  <sheetViews>
    <sheetView showGridLines="0" view="pageBreakPreview" zoomScale="80" zoomScaleNormal="100" zoomScaleSheetLayoutView="80" workbookViewId="0">
      <selection activeCell="D18" sqref="D18"/>
    </sheetView>
  </sheetViews>
  <sheetFormatPr defaultRowHeight="18.75"/>
  <cols>
    <col min="1" max="1" width="2.125" customWidth="1"/>
    <col min="2" max="2" width="6.125" style="9" customWidth="1"/>
    <col min="3" max="3" width="23.75" style="9" bestFit="1" customWidth="1"/>
    <col min="4" max="4" width="36.75" style="9" customWidth="1"/>
    <col min="5" max="5" width="5.625" style="51" customWidth="1"/>
    <col min="6" max="6" width="17.125" style="9" customWidth="1"/>
  </cols>
  <sheetData>
    <row r="1" spans="2:13" ht="26.1" customHeight="1">
      <c r="B1" s="284" t="s">
        <v>100</v>
      </c>
      <c r="C1" s="284"/>
      <c r="D1" s="284"/>
      <c r="E1" s="58"/>
      <c r="F1" s="13"/>
    </row>
    <row r="2" spans="2:13" ht="26.1" customHeight="1" thickBot="1">
      <c r="B2" s="283" t="s">
        <v>101</v>
      </c>
      <c r="C2" s="283"/>
      <c r="D2" s="13"/>
      <c r="E2" s="59"/>
      <c r="F2" s="13"/>
    </row>
    <row r="3" spans="2:13" ht="26.1" customHeight="1" thickBot="1">
      <c r="B3" s="291" t="s">
        <v>151</v>
      </c>
      <c r="C3" s="292"/>
      <c r="D3" s="151">
        <f>IF(D5=プルダウン用リスト!Q5,5,6)</f>
        <v>5</v>
      </c>
      <c r="E3" s="60" t="s">
        <v>154</v>
      </c>
      <c r="F3" s="37"/>
    </row>
    <row r="4" spans="2:13" ht="23.1" customHeight="1" thickBot="1">
      <c r="B4" s="295" t="s">
        <v>152</v>
      </c>
      <c r="C4" s="296"/>
      <c r="D4" s="206"/>
      <c r="E4" s="37"/>
    </row>
    <row r="5" spans="2:13" ht="23.1" customHeight="1" thickBot="1">
      <c r="B5" s="299" t="s">
        <v>203</v>
      </c>
      <c r="C5" s="300"/>
      <c r="D5" s="173" t="s">
        <v>189</v>
      </c>
      <c r="E5" s="37"/>
    </row>
    <row r="6" spans="2:13" ht="23.1" customHeight="1" thickBot="1">
      <c r="B6" s="299" t="s">
        <v>187</v>
      </c>
      <c r="C6" s="300"/>
      <c r="D6" s="173"/>
      <c r="E6" s="37"/>
    </row>
    <row r="7" spans="2:13" ht="35.85" customHeight="1">
      <c r="B7" s="297" t="s">
        <v>13</v>
      </c>
      <c r="C7" s="298"/>
      <c r="D7" s="116"/>
      <c r="E7" s="59"/>
      <c r="F7" s="13"/>
    </row>
    <row r="8" spans="2:13">
      <c r="B8" s="285" t="s">
        <v>94</v>
      </c>
      <c r="C8" s="286"/>
      <c r="D8" s="74"/>
      <c r="E8" s="59"/>
      <c r="F8" s="13"/>
      <c r="I8" s="2"/>
    </row>
    <row r="9" spans="2:13" ht="35.1" customHeight="1">
      <c r="B9" s="285" t="s">
        <v>14</v>
      </c>
      <c r="C9" s="286"/>
      <c r="D9" s="117"/>
      <c r="E9" s="59"/>
      <c r="F9" s="13"/>
      <c r="H9" s="2"/>
      <c r="I9" s="2"/>
    </row>
    <row r="10" spans="2:13">
      <c r="B10" s="285" t="s">
        <v>15</v>
      </c>
      <c r="C10" s="286"/>
      <c r="D10" s="74"/>
      <c r="E10" s="59"/>
      <c r="F10" s="13"/>
    </row>
    <row r="11" spans="2:13" ht="19.5" thickBot="1">
      <c r="B11" s="287" t="s">
        <v>16</v>
      </c>
      <c r="C11" s="288"/>
      <c r="D11" s="75"/>
      <c r="E11" s="59"/>
      <c r="F11" s="13"/>
      <c r="H11" s="2"/>
    </row>
    <row r="12" spans="2:13" ht="13.35" customHeight="1" thickBot="1">
      <c r="B12" s="38"/>
      <c r="C12" s="39"/>
      <c r="D12" s="38"/>
      <c r="E12" s="59"/>
      <c r="F12" s="13"/>
      <c r="G12" s="2"/>
      <c r="H12" s="2"/>
      <c r="M12" s="2"/>
    </row>
    <row r="13" spans="2:13" ht="35.85" customHeight="1" thickBot="1">
      <c r="B13" s="289" t="s">
        <v>155</v>
      </c>
      <c r="C13" s="290"/>
      <c r="D13" s="275"/>
      <c r="E13" s="37" t="s">
        <v>153</v>
      </c>
      <c r="L13" s="2"/>
      <c r="M13" s="2"/>
    </row>
    <row r="14" spans="2:13" ht="33.75" customHeight="1" thickBot="1">
      <c r="B14" s="293" t="s">
        <v>125</v>
      </c>
      <c r="C14" s="294"/>
      <c r="D14" s="119"/>
      <c r="E14" s="37"/>
    </row>
    <row r="15" spans="2:13">
      <c r="B15" s="76">
        <v>1</v>
      </c>
      <c r="C15" s="152" t="s">
        <v>156</v>
      </c>
      <c r="D15" s="116"/>
      <c r="E15" s="37"/>
    </row>
    <row r="16" spans="2:13">
      <c r="B16" s="77">
        <v>2</v>
      </c>
      <c r="C16" s="153" t="s">
        <v>157</v>
      </c>
      <c r="D16" s="117"/>
      <c r="E16" s="59"/>
      <c r="F16" s="13"/>
    </row>
    <row r="17" spans="2:14">
      <c r="B17" s="77">
        <v>3</v>
      </c>
      <c r="C17" s="153" t="s">
        <v>158</v>
      </c>
      <c r="D17" s="117"/>
      <c r="E17" s="59"/>
      <c r="F17" s="13"/>
      <c r="M17" s="2"/>
      <c r="N17" s="2"/>
    </row>
    <row r="18" spans="2:14">
      <c r="B18" s="77">
        <v>4</v>
      </c>
      <c r="C18" s="153" t="s">
        <v>159</v>
      </c>
      <c r="D18" s="117"/>
      <c r="E18" s="59"/>
      <c r="F18" s="13"/>
    </row>
    <row r="19" spans="2:14">
      <c r="B19" s="77">
        <v>5</v>
      </c>
      <c r="C19" s="153" t="s">
        <v>160</v>
      </c>
      <c r="D19" s="117"/>
      <c r="E19" s="59"/>
      <c r="F19" s="13"/>
    </row>
    <row r="20" spans="2:14">
      <c r="B20" s="77">
        <v>6</v>
      </c>
      <c r="C20" s="153" t="s">
        <v>161</v>
      </c>
      <c r="D20" s="117"/>
      <c r="E20" s="59"/>
      <c r="F20" s="13"/>
    </row>
    <row r="21" spans="2:14">
      <c r="B21" s="77">
        <v>7</v>
      </c>
      <c r="C21" s="153" t="s">
        <v>162</v>
      </c>
      <c r="D21" s="117"/>
      <c r="E21" s="59"/>
      <c r="F21" s="13"/>
    </row>
    <row r="22" spans="2:14">
      <c r="B22" s="77">
        <v>8</v>
      </c>
      <c r="C22" s="153" t="s">
        <v>163</v>
      </c>
      <c r="D22" s="117"/>
      <c r="E22" s="59"/>
      <c r="F22" s="13"/>
    </row>
    <row r="23" spans="2:14">
      <c r="B23" s="77">
        <v>9</v>
      </c>
      <c r="C23" s="153" t="s">
        <v>164</v>
      </c>
      <c r="D23" s="117"/>
      <c r="E23" s="59"/>
      <c r="F23" s="13"/>
    </row>
    <row r="24" spans="2:14" ht="19.5" thickBot="1">
      <c r="B24" s="78">
        <v>10</v>
      </c>
      <c r="C24" s="154" t="s">
        <v>165</v>
      </c>
      <c r="D24" s="118"/>
      <c r="E24" s="59"/>
      <c r="F24" s="13"/>
    </row>
  </sheetData>
  <sheetProtection algorithmName="SHA-512" hashValue="+m/y+mtykTBzK0c31KkoMvRE2eA/4tNRHJwYm6jstW5jUD7kAhdQ5aq8n7AF71nT66kTKDcp/unlvFNlRwxy3w==" saltValue="nqA6derECwAkL0yj9UkfeA==" spinCount="100000" sheet="1" objects="1" autoFilter="0"/>
  <mergeCells count="13">
    <mergeCell ref="B14:C14"/>
    <mergeCell ref="B4:C4"/>
    <mergeCell ref="B7:C7"/>
    <mergeCell ref="B8:C8"/>
    <mergeCell ref="B9:C9"/>
    <mergeCell ref="B5:C5"/>
    <mergeCell ref="B6:C6"/>
    <mergeCell ref="B2:C2"/>
    <mergeCell ref="B1:D1"/>
    <mergeCell ref="B10:C10"/>
    <mergeCell ref="B11:C11"/>
    <mergeCell ref="B13:C13"/>
    <mergeCell ref="B3:C3"/>
  </mergeCells>
  <phoneticPr fontId="4"/>
  <conditionalFormatting sqref="D7:D11">
    <cfRule type="cellIs" dxfId="205" priority="3" operator="equal">
      <formula>""</formula>
    </cfRule>
  </conditionalFormatting>
  <conditionalFormatting sqref="D3:D6">
    <cfRule type="cellIs" dxfId="204" priority="2" operator="equal">
      <formula>""</formula>
    </cfRule>
  </conditionalFormatting>
  <conditionalFormatting sqref="D13:D24">
    <cfRule type="cellIs" dxfId="203" priority="1" operator="equal">
      <formula>""</formula>
    </cfRule>
  </conditionalFormatting>
  <dataValidations xWindow="412" yWindow="451" count="4">
    <dataValidation imeMode="disabled" allowBlank="1" showInputMessage="1" showErrorMessage="1" sqref="D8" xr:uid="{FF5CA655-53F5-4FED-AB6B-7B6EB840915A}"/>
    <dataValidation type="whole" imeMode="disabled" allowBlank="1" showInputMessage="1" showErrorMessage="1" promptTitle="千円単位" prompt="金額のみ入力してください。" sqref="D13" xr:uid="{5179AADB-CDEA-4BC3-9B33-FBB4FF20D288}">
      <formula1>0</formula1>
      <formula2>30000</formula2>
    </dataValidation>
    <dataValidation allowBlank="1" showInputMessage="1" showErrorMessage="1" promptTitle="柱立てについて" prompt="助成事業が複数の取り組みの組み合わせで成立する場合の各取り組みの単位を「柱立て」といいます。" sqref="D15 D16:D24" xr:uid="{8F63A813-372D-4F0F-9EC0-387883BA2333}"/>
    <dataValidation type="whole" allowBlank="1" showInputMessage="1" showErrorMessage="1" promptTitle="ご注意ください" prompt="11桁の数字を入れてください" sqref="D4" xr:uid="{84659C9B-DA32-4FF1-BEC2-06746AD5AA74}">
      <formula1>0</formula1>
      <formula2>100000000000</formula2>
    </dataValidation>
  </dataValidations>
  <hyperlinks>
    <hyperlink ref="B2:C2" location="メニュー画面!B2" display="メニュー画面へ" xr:uid="{00000000-0004-0000-0100-000000000000}"/>
  </hyperlink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xWindow="412" yWindow="451" count="2">
        <x14:dataValidation type="list" allowBlank="1" showInputMessage="1" showErrorMessage="1" xr:uid="{FD0B6036-76F3-4D40-9F75-B952602E90EF}">
          <x14:formula1>
            <xm:f>プルダウン用リスト!$Q$1:$Q$2</xm:f>
          </x14:formula1>
          <xm:sqref>D6</xm:sqref>
        </x14:dataValidation>
        <x14:dataValidation type="list" allowBlank="1" showInputMessage="1" showErrorMessage="1" xr:uid="{59DC3C93-3E2C-4E6E-9990-C8E983CCAB89}">
          <x14:formula1>
            <xm:f>プルダウン用リスト!$Q$4:$Q$6</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B1:S1005"/>
  <sheetViews>
    <sheetView showGridLines="0" view="pageBreakPreview" topLeftCell="A4" zoomScale="70" zoomScaleNormal="70" zoomScaleSheetLayoutView="70" workbookViewId="0">
      <selection activeCell="G7" sqref="G7"/>
    </sheetView>
  </sheetViews>
  <sheetFormatPr defaultRowHeight="18.75"/>
  <cols>
    <col min="1" max="1" width="2.375" customWidth="1"/>
    <col min="2" max="2" width="15.625" style="9" customWidth="1"/>
    <col min="3" max="3" width="6.625" style="9" customWidth="1"/>
    <col min="4" max="4" width="5.375" style="51" bestFit="1" customWidth="1"/>
    <col min="5" max="5" width="14.75" style="51" customWidth="1"/>
    <col min="6" max="6" width="7.125" style="123" hidden="1" customWidth="1"/>
    <col min="7" max="7" width="16.875" style="51" customWidth="1"/>
    <col min="8" max="8" width="22.625" style="9" customWidth="1"/>
    <col min="9" max="10" width="29.625" style="9" customWidth="1"/>
    <col min="11" max="11" width="13.625" style="9" customWidth="1"/>
    <col min="12" max="12" width="12.375" style="9" customWidth="1"/>
    <col min="13" max="13" width="13.75" style="9" customWidth="1"/>
    <col min="14" max="14" width="15.25" style="9" customWidth="1"/>
    <col min="15" max="15" width="8.5" style="9" hidden="1" customWidth="1"/>
    <col min="16" max="16" width="4.5" style="9" hidden="1" customWidth="1"/>
    <col min="17" max="17" width="42.125" style="9" customWidth="1"/>
    <col min="18" max="18" width="2.125" style="9" customWidth="1"/>
  </cols>
  <sheetData>
    <row r="1" spans="2:18" s="2" customFormat="1" ht="33.75" customHeight="1">
      <c r="B1" s="63" t="s">
        <v>63</v>
      </c>
      <c r="C1" s="28"/>
      <c r="D1" s="35"/>
      <c r="E1" s="35"/>
      <c r="F1" s="122"/>
      <c r="G1" s="35"/>
      <c r="H1" s="28"/>
      <c r="I1" s="28"/>
      <c r="J1" s="28"/>
      <c r="K1" s="28"/>
      <c r="L1" s="28"/>
      <c r="M1" s="28"/>
      <c r="N1" s="28"/>
      <c r="O1" s="28"/>
      <c r="P1" s="28"/>
      <c r="Q1" s="28"/>
      <c r="R1" s="28"/>
    </row>
    <row r="2" spans="2:18" ht="13.5" customHeight="1" thickBot="1">
      <c r="B2" s="53"/>
      <c r="C2" s="53"/>
      <c r="I2" s="28"/>
      <c r="J2" s="28"/>
      <c r="M2" s="28"/>
    </row>
    <row r="3" spans="2:18" ht="24" customHeight="1" thickBot="1">
      <c r="B3" s="70" t="s">
        <v>99</v>
      </c>
      <c r="C3" s="70"/>
      <c r="D3" s="70"/>
      <c r="J3" s="121" t="s">
        <v>134</v>
      </c>
      <c r="L3" s="302"/>
      <c r="M3" s="302"/>
      <c r="N3" s="302"/>
      <c r="O3" s="247"/>
      <c r="P3" s="247"/>
      <c r="Q3" s="247"/>
    </row>
    <row r="4" spans="2:18" ht="7.35" customHeight="1" thickBot="1">
      <c r="D4" s="64"/>
      <c r="E4" s="64"/>
      <c r="F4" s="124"/>
      <c r="G4" s="64"/>
      <c r="L4" s="126"/>
      <c r="M4" s="126"/>
      <c r="N4" s="126"/>
      <c r="O4" s="35"/>
      <c r="P4" s="35"/>
      <c r="Q4" s="35"/>
    </row>
    <row r="5" spans="2:18" ht="152.25" customHeight="1" thickBot="1">
      <c r="B5" s="128" t="s">
        <v>245</v>
      </c>
      <c r="C5" s="155" t="s">
        <v>242</v>
      </c>
      <c r="D5" s="301" t="s">
        <v>166</v>
      </c>
      <c r="E5" s="301"/>
      <c r="F5" s="127"/>
      <c r="G5" s="239" t="s">
        <v>281</v>
      </c>
      <c r="H5" s="129" t="s">
        <v>282</v>
      </c>
      <c r="I5" s="129" t="s">
        <v>180</v>
      </c>
      <c r="J5" s="130" t="s">
        <v>238</v>
      </c>
      <c r="K5" s="192" t="s">
        <v>235</v>
      </c>
      <c r="L5" s="193" t="s">
        <v>279</v>
      </c>
      <c r="M5" s="194" t="s">
        <v>243</v>
      </c>
      <c r="N5" s="259" t="s">
        <v>246</v>
      </c>
      <c r="O5" s="253" t="s">
        <v>293</v>
      </c>
      <c r="P5" s="254"/>
      <c r="Q5" s="255" t="s">
        <v>294</v>
      </c>
    </row>
    <row r="6" spans="2:18">
      <c r="B6" s="65"/>
      <c r="C6" s="66"/>
      <c r="D6" s="261" t="str">
        <f>IF(E6="","",IF(E6="謝金","01.",IF(E6="旅費","02.",IF(E6="その他","04.","03."))))</f>
        <v/>
      </c>
      <c r="E6" s="262" t="str">
        <f t="shared" ref="E6:E21" si="0">IF(G6="","",IF(OR(G6="1.謝金（内部）",G6="1.謝金（外部）"),"謝金",IF(G6="2.旅費","旅費",IF(G6="16.対象外経費","その他","所費"))))</f>
        <v/>
      </c>
      <c r="F6" s="125" t="str">
        <f>IF(G6="","",VLOOKUP(G6,プルダウン用リスト!$K$1:$M$17,2,FALSE))</f>
        <v/>
      </c>
      <c r="G6" s="67"/>
      <c r="H6" s="67"/>
      <c r="I6" s="67"/>
      <c r="J6" s="133"/>
      <c r="K6" s="68"/>
      <c r="L6" s="69"/>
      <c r="M6" s="69"/>
      <c r="N6" s="260" t="str">
        <f>IF(G6="16.対象外経費",L6,IF(M6="","",L6-M6))</f>
        <v/>
      </c>
      <c r="O6" s="256">
        <f>IF(L6&gt;0,COUNTA(B6,C6,G6,H6,I6,K6,,L6,J6),0)</f>
        <v>0</v>
      </c>
      <c r="P6" s="257" t="str">
        <f>IF(G6="2.旅費","〇","×")</f>
        <v>×</v>
      </c>
      <c r="Q6" s="272" t="str">
        <f>_xlfn.IFS(O6=0,"",AND(G6="16.対象外経費",O6=7),"OK",O6&lt;=7,"ピンク色のセルを全て入力してください",O6=9,"OK",P6="〇","旅行区間および宿泊地を入力してください",O6=8,"OK")</f>
        <v/>
      </c>
    </row>
    <row r="7" spans="2:18">
      <c r="B7" s="65"/>
      <c r="C7" s="54"/>
      <c r="D7" s="261" t="str">
        <f t="shared" ref="D7:D70" si="1">IF(E7="","",IF(E7="謝金","01.",IF(E7="旅費","02.",IF(E7="その他","04.","03."))))</f>
        <v/>
      </c>
      <c r="E7" s="262" t="str">
        <f t="shared" si="0"/>
        <v/>
      </c>
      <c r="F7" s="125" t="str">
        <f>IF(G7="","",VLOOKUP(G7,プルダウン用リスト!$K$1:$M$17,2,FALSE))</f>
        <v/>
      </c>
      <c r="G7" s="67"/>
      <c r="H7" s="67"/>
      <c r="I7" s="67"/>
      <c r="J7" s="133"/>
      <c r="K7" s="68"/>
      <c r="L7" s="69"/>
      <c r="M7" s="69"/>
      <c r="N7" s="260" t="str">
        <f t="shared" ref="N7:N70" si="2">IF(G7="16.対象外経費",L7,IF(M7="","",L7-M7))</f>
        <v/>
      </c>
      <c r="O7" s="256">
        <f>IF(L7&gt;0,COUNTA(B7,C7,G7,H7,I7,K7,,L7,J7),0)</f>
        <v>0</v>
      </c>
      <c r="P7" s="257" t="str">
        <f t="shared" ref="P7:P70" si="3">IF(G7="2.旅費","〇","×")</f>
        <v>×</v>
      </c>
      <c r="Q7" s="272" t="str">
        <f>_xlfn.IFS(O7=0,"",AND(G7="16.対象外経費",O7=7),"OK",O7&lt;=7,"ピンク色のセルを全て入力してください",O7=9,"OK",P7="〇","旅行区間および宿泊地を入力してください",O7=8,"OK")</f>
        <v/>
      </c>
    </row>
    <row r="8" spans="2:18">
      <c r="B8" s="65"/>
      <c r="C8" s="54"/>
      <c r="D8" s="261" t="str">
        <f t="shared" si="1"/>
        <v/>
      </c>
      <c r="E8" s="262" t="str">
        <f t="shared" si="0"/>
        <v/>
      </c>
      <c r="F8" s="125" t="str">
        <f>IF(G8="","",VLOOKUP(G8,プルダウン用リスト!$K$1:$M$17,2,FALSE))</f>
        <v/>
      </c>
      <c r="G8" s="67"/>
      <c r="H8" s="67"/>
      <c r="I8" s="67"/>
      <c r="J8" s="133"/>
      <c r="K8" s="68"/>
      <c r="L8" s="69"/>
      <c r="M8" s="69"/>
      <c r="N8" s="260" t="str">
        <f t="shared" si="2"/>
        <v/>
      </c>
      <c r="O8" s="256">
        <f t="shared" ref="O8:O71" si="4">IF(L8&gt;0,COUNTA(B8,C8,G8,H8,I8,K8,,L8,J8),0)</f>
        <v>0</v>
      </c>
      <c r="P8" s="257" t="str">
        <f t="shared" si="3"/>
        <v>×</v>
      </c>
      <c r="Q8" s="272" t="str">
        <f t="shared" ref="Q8:Q71" si="5">_xlfn.IFS(O8=0,"",AND(G8="16.対象外経費",O8=7),"OK",O8&lt;=7,"ピンク色のセルを全て入力してください",O8=9,"OK",P8="〇","旅行区間および宿泊地を入力してください",O8=8,"OK")</f>
        <v/>
      </c>
    </row>
    <row r="9" spans="2:18">
      <c r="B9" s="65"/>
      <c r="C9" s="54"/>
      <c r="D9" s="261" t="str">
        <f t="shared" si="1"/>
        <v/>
      </c>
      <c r="E9" s="262" t="str">
        <f t="shared" si="0"/>
        <v/>
      </c>
      <c r="F9" s="125" t="str">
        <f>IF(G9="","",VLOOKUP(G9,プルダウン用リスト!$K$1:$M$17,2,FALSE))</f>
        <v/>
      </c>
      <c r="G9" s="67"/>
      <c r="H9" s="67"/>
      <c r="I9" s="67"/>
      <c r="J9" s="133"/>
      <c r="K9" s="68"/>
      <c r="L9" s="69"/>
      <c r="M9" s="69"/>
      <c r="N9" s="260" t="str">
        <f t="shared" si="2"/>
        <v/>
      </c>
      <c r="O9" s="256">
        <f t="shared" si="4"/>
        <v>0</v>
      </c>
      <c r="P9" s="257" t="str">
        <f t="shared" si="3"/>
        <v>×</v>
      </c>
      <c r="Q9" s="272" t="str">
        <f t="shared" si="5"/>
        <v/>
      </c>
    </row>
    <row r="10" spans="2:18">
      <c r="B10" s="65"/>
      <c r="C10" s="54"/>
      <c r="D10" s="261" t="str">
        <f t="shared" si="1"/>
        <v/>
      </c>
      <c r="E10" s="262" t="str">
        <f t="shared" si="0"/>
        <v/>
      </c>
      <c r="F10" s="125" t="str">
        <f>IF(G10="","",VLOOKUP(G10,プルダウン用リスト!$K$1:$M$17,2,FALSE))</f>
        <v/>
      </c>
      <c r="G10" s="67"/>
      <c r="H10" s="67"/>
      <c r="I10" s="67"/>
      <c r="J10" s="133"/>
      <c r="K10" s="68"/>
      <c r="L10" s="69"/>
      <c r="M10" s="69"/>
      <c r="N10" s="260" t="str">
        <f t="shared" si="2"/>
        <v/>
      </c>
      <c r="O10" s="256">
        <f t="shared" si="4"/>
        <v>0</v>
      </c>
      <c r="P10" s="257" t="str">
        <f t="shared" si="3"/>
        <v>×</v>
      </c>
      <c r="Q10" s="272" t="str">
        <f t="shared" si="5"/>
        <v/>
      </c>
    </row>
    <row r="11" spans="2:18">
      <c r="B11" s="65"/>
      <c r="C11" s="54"/>
      <c r="D11" s="261" t="str">
        <f t="shared" si="1"/>
        <v/>
      </c>
      <c r="E11" s="262" t="str">
        <f t="shared" si="0"/>
        <v/>
      </c>
      <c r="F11" s="125" t="str">
        <f>IF(G11="","",VLOOKUP(G11,プルダウン用リスト!$K$1:$M$17,2,FALSE))</f>
        <v/>
      </c>
      <c r="G11" s="67"/>
      <c r="H11" s="67"/>
      <c r="I11" s="67"/>
      <c r="J11" s="133"/>
      <c r="K11" s="68"/>
      <c r="L11" s="69"/>
      <c r="M11" s="69"/>
      <c r="N11" s="260" t="str">
        <f t="shared" si="2"/>
        <v/>
      </c>
      <c r="O11" s="256">
        <f t="shared" si="4"/>
        <v>0</v>
      </c>
      <c r="P11" s="257" t="str">
        <f t="shared" si="3"/>
        <v>×</v>
      </c>
      <c r="Q11" s="272" t="str">
        <f t="shared" si="5"/>
        <v/>
      </c>
    </row>
    <row r="12" spans="2:18">
      <c r="B12" s="65"/>
      <c r="C12" s="54"/>
      <c r="D12" s="261" t="str">
        <f t="shared" si="1"/>
        <v/>
      </c>
      <c r="E12" s="262" t="str">
        <f t="shared" si="0"/>
        <v/>
      </c>
      <c r="F12" s="125" t="str">
        <f>IF(G12="","",VLOOKUP(G12,プルダウン用リスト!$K$1:$M$17,2,FALSE))</f>
        <v/>
      </c>
      <c r="G12" s="67"/>
      <c r="H12" s="67"/>
      <c r="I12" s="67"/>
      <c r="J12" s="133"/>
      <c r="K12" s="68"/>
      <c r="L12" s="69"/>
      <c r="M12" s="69"/>
      <c r="N12" s="260" t="str">
        <f t="shared" si="2"/>
        <v/>
      </c>
      <c r="O12" s="256">
        <f t="shared" si="4"/>
        <v>0</v>
      </c>
      <c r="P12" s="257" t="str">
        <f t="shared" si="3"/>
        <v>×</v>
      </c>
      <c r="Q12" s="272" t="str">
        <f t="shared" si="5"/>
        <v/>
      </c>
    </row>
    <row r="13" spans="2:18">
      <c r="B13" s="65"/>
      <c r="C13" s="54"/>
      <c r="D13" s="261" t="str">
        <f t="shared" si="1"/>
        <v/>
      </c>
      <c r="E13" s="262" t="str">
        <f t="shared" si="0"/>
        <v/>
      </c>
      <c r="F13" s="125" t="str">
        <f>IF(G13="","",VLOOKUP(G13,プルダウン用リスト!$K$1:$M$17,2,FALSE))</f>
        <v/>
      </c>
      <c r="G13" s="67"/>
      <c r="H13" s="67"/>
      <c r="I13" s="67"/>
      <c r="J13" s="134"/>
      <c r="K13" s="68"/>
      <c r="L13" s="69"/>
      <c r="M13" s="69"/>
      <c r="N13" s="260" t="str">
        <f t="shared" si="2"/>
        <v/>
      </c>
      <c r="O13" s="256">
        <f t="shared" si="4"/>
        <v>0</v>
      </c>
      <c r="P13" s="257" t="str">
        <f t="shared" si="3"/>
        <v>×</v>
      </c>
      <c r="Q13" s="272" t="str">
        <f t="shared" si="5"/>
        <v/>
      </c>
    </row>
    <row r="14" spans="2:18">
      <c r="B14" s="65"/>
      <c r="C14" s="54"/>
      <c r="D14" s="261" t="str">
        <f t="shared" si="1"/>
        <v/>
      </c>
      <c r="E14" s="262" t="str">
        <f t="shared" si="0"/>
        <v/>
      </c>
      <c r="F14" s="125" t="str">
        <f>IF(G14="","",VLOOKUP(G14,プルダウン用リスト!$K$1:$M$17,2,FALSE))</f>
        <v/>
      </c>
      <c r="G14" s="67"/>
      <c r="H14" s="55"/>
      <c r="I14" s="67"/>
      <c r="J14" s="134"/>
      <c r="K14" s="68"/>
      <c r="L14" s="69"/>
      <c r="M14" s="69"/>
      <c r="N14" s="260" t="str">
        <f t="shared" si="2"/>
        <v/>
      </c>
      <c r="O14" s="256">
        <f t="shared" si="4"/>
        <v>0</v>
      </c>
      <c r="P14" s="257" t="str">
        <f t="shared" si="3"/>
        <v>×</v>
      </c>
      <c r="Q14" s="272" t="str">
        <f t="shared" si="5"/>
        <v/>
      </c>
    </row>
    <row r="15" spans="2:18">
      <c r="B15" s="65"/>
      <c r="C15" s="54"/>
      <c r="D15" s="261" t="str">
        <f t="shared" si="1"/>
        <v/>
      </c>
      <c r="E15" s="262" t="str">
        <f t="shared" si="0"/>
        <v/>
      </c>
      <c r="F15" s="125" t="str">
        <f>IF(G15="","",VLOOKUP(G15,プルダウン用リスト!$K$1:$M$17,2,FALSE))</f>
        <v/>
      </c>
      <c r="G15" s="67"/>
      <c r="H15" s="67"/>
      <c r="I15" s="67"/>
      <c r="J15" s="134"/>
      <c r="K15" s="68"/>
      <c r="L15" s="69"/>
      <c r="M15" s="69"/>
      <c r="N15" s="260" t="str">
        <f t="shared" si="2"/>
        <v/>
      </c>
      <c r="O15" s="256">
        <f t="shared" si="4"/>
        <v>0</v>
      </c>
      <c r="P15" s="257" t="str">
        <f t="shared" si="3"/>
        <v>×</v>
      </c>
      <c r="Q15" s="272" t="str">
        <f t="shared" si="5"/>
        <v/>
      </c>
    </row>
    <row r="16" spans="2:18">
      <c r="B16" s="65"/>
      <c r="C16" s="54"/>
      <c r="D16" s="261" t="str">
        <f t="shared" si="1"/>
        <v/>
      </c>
      <c r="E16" s="262" t="str">
        <f t="shared" si="0"/>
        <v/>
      </c>
      <c r="F16" s="125" t="str">
        <f>IF(G16="","",VLOOKUP(G16,プルダウン用リスト!$K$1:$M$17,2,FALSE))</f>
        <v/>
      </c>
      <c r="G16" s="67"/>
      <c r="H16" s="55"/>
      <c r="I16" s="67"/>
      <c r="J16" s="134"/>
      <c r="K16" s="68"/>
      <c r="L16" s="69"/>
      <c r="M16" s="69"/>
      <c r="N16" s="260" t="str">
        <f t="shared" si="2"/>
        <v/>
      </c>
      <c r="O16" s="256">
        <f t="shared" si="4"/>
        <v>0</v>
      </c>
      <c r="P16" s="257" t="str">
        <f t="shared" si="3"/>
        <v>×</v>
      </c>
      <c r="Q16" s="272" t="str">
        <f t="shared" si="5"/>
        <v/>
      </c>
    </row>
    <row r="17" spans="2:19">
      <c r="B17" s="65"/>
      <c r="C17" s="54"/>
      <c r="D17" s="261" t="str">
        <f t="shared" si="1"/>
        <v/>
      </c>
      <c r="E17" s="262" t="str">
        <f t="shared" si="0"/>
        <v/>
      </c>
      <c r="F17" s="125" t="str">
        <f>IF(G17="","",VLOOKUP(G17,プルダウン用リスト!$K$1:$M$17,2,FALSE))</f>
        <v/>
      </c>
      <c r="G17" s="67"/>
      <c r="H17" s="55"/>
      <c r="I17" s="67"/>
      <c r="J17" s="134"/>
      <c r="K17" s="68"/>
      <c r="L17" s="69"/>
      <c r="M17" s="69"/>
      <c r="N17" s="260" t="str">
        <f t="shared" si="2"/>
        <v/>
      </c>
      <c r="O17" s="256">
        <f t="shared" si="4"/>
        <v>0</v>
      </c>
      <c r="P17" s="257" t="str">
        <f t="shared" si="3"/>
        <v>×</v>
      </c>
      <c r="Q17" s="272" t="str">
        <f t="shared" si="5"/>
        <v/>
      </c>
    </row>
    <row r="18" spans="2:19">
      <c r="B18" s="65"/>
      <c r="C18" s="66"/>
      <c r="D18" s="261" t="str">
        <f t="shared" si="1"/>
        <v/>
      </c>
      <c r="E18" s="262" t="str">
        <f t="shared" si="0"/>
        <v/>
      </c>
      <c r="F18" s="125" t="str">
        <f>IF(G18="","",VLOOKUP(G18,プルダウン用リスト!$K$1:$M$17,2,FALSE))</f>
        <v/>
      </c>
      <c r="G18" s="67"/>
      <c r="H18" s="67"/>
      <c r="I18" s="67"/>
      <c r="J18" s="134"/>
      <c r="K18" s="68"/>
      <c r="L18" s="69"/>
      <c r="M18" s="69"/>
      <c r="N18" s="260" t="str">
        <f t="shared" si="2"/>
        <v/>
      </c>
      <c r="O18" s="256">
        <f t="shared" si="4"/>
        <v>0</v>
      </c>
      <c r="P18" s="257" t="str">
        <f t="shared" si="3"/>
        <v>×</v>
      </c>
      <c r="Q18" s="272" t="str">
        <f t="shared" si="5"/>
        <v/>
      </c>
    </row>
    <row r="19" spans="2:19">
      <c r="B19" s="65"/>
      <c r="C19" s="54"/>
      <c r="D19" s="261" t="str">
        <f t="shared" si="1"/>
        <v/>
      </c>
      <c r="E19" s="262" t="str">
        <f t="shared" si="0"/>
        <v/>
      </c>
      <c r="F19" s="125" t="str">
        <f>IF(G19="","",VLOOKUP(G19,プルダウン用リスト!$K$1:$M$17,2,FALSE))</f>
        <v/>
      </c>
      <c r="G19" s="67"/>
      <c r="H19" s="55"/>
      <c r="I19" s="67"/>
      <c r="J19" s="134"/>
      <c r="K19" s="68"/>
      <c r="L19" s="69"/>
      <c r="M19" s="69"/>
      <c r="N19" s="260" t="str">
        <f t="shared" si="2"/>
        <v/>
      </c>
      <c r="O19" s="256">
        <f t="shared" si="4"/>
        <v>0</v>
      </c>
      <c r="P19" s="257" t="str">
        <f t="shared" si="3"/>
        <v>×</v>
      </c>
      <c r="Q19" s="272" t="str">
        <f t="shared" si="5"/>
        <v/>
      </c>
    </row>
    <row r="20" spans="2:19">
      <c r="B20" s="65"/>
      <c r="C20" s="54"/>
      <c r="D20" s="261" t="str">
        <f t="shared" si="1"/>
        <v/>
      </c>
      <c r="E20" s="262" t="str">
        <f t="shared" si="0"/>
        <v/>
      </c>
      <c r="F20" s="125" t="str">
        <f>IF(G20="","",VLOOKUP(G20,プルダウン用リスト!$K$1:$M$17,2,FALSE))</f>
        <v/>
      </c>
      <c r="G20" s="67"/>
      <c r="H20" s="55"/>
      <c r="I20" s="67"/>
      <c r="J20" s="134"/>
      <c r="K20" s="68"/>
      <c r="L20" s="69"/>
      <c r="M20" s="69"/>
      <c r="N20" s="260" t="str">
        <f t="shared" si="2"/>
        <v/>
      </c>
      <c r="O20" s="256">
        <f t="shared" si="4"/>
        <v>0</v>
      </c>
      <c r="P20" s="257" t="str">
        <f t="shared" si="3"/>
        <v>×</v>
      </c>
      <c r="Q20" s="272" t="str">
        <f t="shared" si="5"/>
        <v/>
      </c>
    </row>
    <row r="21" spans="2:19">
      <c r="B21" s="65"/>
      <c r="C21" s="54"/>
      <c r="D21" s="261" t="str">
        <f t="shared" si="1"/>
        <v/>
      </c>
      <c r="E21" s="262" t="str">
        <f t="shared" si="0"/>
        <v/>
      </c>
      <c r="F21" s="125" t="str">
        <f>IF(G21="","",VLOOKUP(G21,プルダウン用リスト!$K$1:$M$17,2,FALSE))</f>
        <v/>
      </c>
      <c r="G21" s="67"/>
      <c r="H21" s="67"/>
      <c r="I21" s="67"/>
      <c r="J21" s="134"/>
      <c r="K21" s="68"/>
      <c r="L21" s="69"/>
      <c r="M21" s="69"/>
      <c r="N21" s="260" t="str">
        <f t="shared" si="2"/>
        <v/>
      </c>
      <c r="O21" s="256">
        <f t="shared" si="4"/>
        <v>0</v>
      </c>
      <c r="P21" s="257" t="str">
        <f t="shared" si="3"/>
        <v>×</v>
      </c>
      <c r="Q21" s="272" t="str">
        <f t="shared" si="5"/>
        <v/>
      </c>
    </row>
    <row r="22" spans="2:19">
      <c r="B22" s="65"/>
      <c r="C22" s="54"/>
      <c r="D22" s="261" t="str">
        <f t="shared" si="1"/>
        <v/>
      </c>
      <c r="E22" s="262" t="str">
        <f>IF(G22="","",IF(OR(G22="1.謝金（内部）",G22="1.謝金（外部）"),"謝金",IF(G22="2.旅費","旅費",IF(G22="16.対象外経費","その他","所費"))))</f>
        <v/>
      </c>
      <c r="F22" s="125" t="str">
        <f>IF(G22="","",VLOOKUP(G22,プルダウン用リスト!$K$1:$M$17,2,FALSE))</f>
        <v/>
      </c>
      <c r="G22" s="67"/>
      <c r="H22" s="55"/>
      <c r="I22" s="67"/>
      <c r="J22" s="134"/>
      <c r="K22" s="68"/>
      <c r="L22" s="69"/>
      <c r="M22" s="69"/>
      <c r="N22" s="260" t="str">
        <f t="shared" si="2"/>
        <v/>
      </c>
      <c r="O22" s="256">
        <f t="shared" si="4"/>
        <v>0</v>
      </c>
      <c r="P22" s="257" t="str">
        <f t="shared" si="3"/>
        <v>×</v>
      </c>
      <c r="Q22" s="272" t="str">
        <f t="shared" si="5"/>
        <v/>
      </c>
    </row>
    <row r="23" spans="2:19">
      <c r="B23" s="65"/>
      <c r="C23" s="54"/>
      <c r="D23" s="261" t="str">
        <f t="shared" si="1"/>
        <v/>
      </c>
      <c r="E23" s="262" t="str">
        <f t="shared" ref="E23:E86" si="6">IF(G23="","",IF(OR(G23="1.謝金（内部）",G23="1.謝金（外部）"),"謝金",IF(G23="2.旅費","旅費",IF(G23="16.対象外経費","その他","所費"))))</f>
        <v/>
      </c>
      <c r="F23" s="125" t="str">
        <f>IF(G23="","",VLOOKUP(G23,プルダウン用リスト!$K$1:$M$17,2,FALSE))</f>
        <v/>
      </c>
      <c r="G23" s="67"/>
      <c r="H23" s="55"/>
      <c r="I23" s="67"/>
      <c r="J23" s="134"/>
      <c r="K23" s="68"/>
      <c r="L23" s="69"/>
      <c r="M23" s="69"/>
      <c r="N23" s="260" t="str">
        <f t="shared" si="2"/>
        <v/>
      </c>
      <c r="O23" s="256">
        <f t="shared" si="4"/>
        <v>0</v>
      </c>
      <c r="P23" s="257" t="str">
        <f t="shared" si="3"/>
        <v>×</v>
      </c>
      <c r="Q23" s="272" t="str">
        <f t="shared" si="5"/>
        <v/>
      </c>
    </row>
    <row r="24" spans="2:19">
      <c r="B24" s="65"/>
      <c r="C24" s="54"/>
      <c r="D24" s="261" t="str">
        <f t="shared" si="1"/>
        <v/>
      </c>
      <c r="E24" s="262" t="str">
        <f t="shared" si="6"/>
        <v/>
      </c>
      <c r="F24" s="125" t="str">
        <f>IF(G24="","",VLOOKUP(G24,プルダウン用リスト!$K$1:$M$16,2,FALSE))</f>
        <v/>
      </c>
      <c r="G24" s="67"/>
      <c r="H24" s="67"/>
      <c r="I24" s="67"/>
      <c r="J24" s="134"/>
      <c r="K24" s="68"/>
      <c r="L24" s="69"/>
      <c r="M24" s="69"/>
      <c r="N24" s="260" t="str">
        <f t="shared" si="2"/>
        <v/>
      </c>
      <c r="O24" s="256">
        <f t="shared" si="4"/>
        <v>0</v>
      </c>
      <c r="P24" s="257" t="str">
        <f t="shared" si="3"/>
        <v>×</v>
      </c>
      <c r="Q24" s="272" t="str">
        <f t="shared" si="5"/>
        <v/>
      </c>
    </row>
    <row r="25" spans="2:19">
      <c r="B25" s="65"/>
      <c r="C25" s="54"/>
      <c r="D25" s="261" t="str">
        <f t="shared" si="1"/>
        <v/>
      </c>
      <c r="E25" s="262" t="str">
        <f t="shared" si="6"/>
        <v/>
      </c>
      <c r="F25" s="125" t="str">
        <f>IF(G25="","",VLOOKUP(G25,プルダウン用リスト!$K$1:$M$16,2,FALSE))</f>
        <v/>
      </c>
      <c r="G25" s="67"/>
      <c r="H25" s="55"/>
      <c r="I25" s="67"/>
      <c r="J25" s="134"/>
      <c r="K25" s="68"/>
      <c r="L25" s="69"/>
      <c r="M25" s="69"/>
      <c r="N25" s="260" t="str">
        <f t="shared" si="2"/>
        <v/>
      </c>
      <c r="O25" s="256">
        <f t="shared" si="4"/>
        <v>0</v>
      </c>
      <c r="P25" s="257" t="str">
        <f t="shared" si="3"/>
        <v>×</v>
      </c>
      <c r="Q25" s="272" t="str">
        <f t="shared" si="5"/>
        <v/>
      </c>
    </row>
    <row r="26" spans="2:19">
      <c r="B26" s="65"/>
      <c r="C26" s="54"/>
      <c r="D26" s="261" t="str">
        <f t="shared" si="1"/>
        <v/>
      </c>
      <c r="E26" s="262" t="str">
        <f t="shared" si="6"/>
        <v/>
      </c>
      <c r="F26" s="125" t="str">
        <f>IF(G26="","",VLOOKUP(G26,プルダウン用リスト!$K$1:$M$16,2,FALSE))</f>
        <v/>
      </c>
      <c r="G26" s="67"/>
      <c r="H26" s="55"/>
      <c r="I26" s="67"/>
      <c r="J26" s="134"/>
      <c r="K26" s="68"/>
      <c r="L26" s="69"/>
      <c r="M26" s="69"/>
      <c r="N26" s="260" t="str">
        <f t="shared" si="2"/>
        <v/>
      </c>
      <c r="O26" s="256">
        <f t="shared" si="4"/>
        <v>0</v>
      </c>
      <c r="P26" s="257" t="str">
        <f t="shared" si="3"/>
        <v>×</v>
      </c>
      <c r="Q26" s="272" t="str">
        <f t="shared" si="5"/>
        <v/>
      </c>
    </row>
    <row r="27" spans="2:19">
      <c r="B27" s="65"/>
      <c r="C27" s="54"/>
      <c r="D27" s="261" t="str">
        <f t="shared" si="1"/>
        <v/>
      </c>
      <c r="E27" s="262" t="str">
        <f t="shared" si="6"/>
        <v/>
      </c>
      <c r="F27" s="125" t="str">
        <f>IF(G27="","",VLOOKUP(G27,プルダウン用リスト!$K$1:$M$16,2,FALSE))</f>
        <v/>
      </c>
      <c r="G27" s="67"/>
      <c r="H27" s="67"/>
      <c r="I27" s="67"/>
      <c r="J27" s="134"/>
      <c r="K27" s="68"/>
      <c r="L27" s="69"/>
      <c r="M27" s="69"/>
      <c r="N27" s="260" t="str">
        <f t="shared" si="2"/>
        <v/>
      </c>
      <c r="O27" s="256">
        <f t="shared" si="4"/>
        <v>0</v>
      </c>
      <c r="P27" s="257" t="str">
        <f t="shared" si="3"/>
        <v>×</v>
      </c>
      <c r="Q27" s="272" t="str">
        <f t="shared" si="5"/>
        <v/>
      </c>
    </row>
    <row r="28" spans="2:19">
      <c r="B28" s="65"/>
      <c r="C28" s="54"/>
      <c r="D28" s="261" t="str">
        <f t="shared" si="1"/>
        <v/>
      </c>
      <c r="E28" s="262" t="str">
        <f t="shared" si="6"/>
        <v/>
      </c>
      <c r="F28" s="125" t="str">
        <f>IF(G28="","",VLOOKUP(G28,プルダウン用リスト!$K$1:$M$16,2,FALSE))</f>
        <v/>
      </c>
      <c r="G28" s="67"/>
      <c r="H28" s="55"/>
      <c r="I28" s="67"/>
      <c r="J28" s="134"/>
      <c r="K28" s="68"/>
      <c r="L28" s="69"/>
      <c r="M28" s="69"/>
      <c r="N28" s="260" t="str">
        <f t="shared" si="2"/>
        <v/>
      </c>
      <c r="O28" s="256">
        <f t="shared" si="4"/>
        <v>0</v>
      </c>
      <c r="P28" s="257" t="str">
        <f t="shared" si="3"/>
        <v>×</v>
      </c>
      <c r="Q28" s="272" t="str">
        <f t="shared" si="5"/>
        <v/>
      </c>
    </row>
    <row r="29" spans="2:19">
      <c r="B29" s="65"/>
      <c r="C29" s="54"/>
      <c r="D29" s="261" t="str">
        <f t="shared" si="1"/>
        <v/>
      </c>
      <c r="E29" s="262" t="str">
        <f t="shared" si="6"/>
        <v/>
      </c>
      <c r="F29" s="125" t="str">
        <f>IF(G29="","",VLOOKUP(G29,プルダウン用リスト!$K$1:$M$16,2,FALSE))</f>
        <v/>
      </c>
      <c r="G29" s="67"/>
      <c r="H29" s="55"/>
      <c r="I29" s="67"/>
      <c r="J29" s="134"/>
      <c r="K29" s="68"/>
      <c r="L29" s="69"/>
      <c r="M29" s="69"/>
      <c r="N29" s="260" t="str">
        <f t="shared" si="2"/>
        <v/>
      </c>
      <c r="O29" s="256">
        <f t="shared" si="4"/>
        <v>0</v>
      </c>
      <c r="P29" s="257" t="str">
        <f t="shared" si="3"/>
        <v>×</v>
      </c>
      <c r="Q29" s="272" t="str">
        <f t="shared" si="5"/>
        <v/>
      </c>
    </row>
    <row r="30" spans="2:19">
      <c r="B30" s="65"/>
      <c r="C30" s="66"/>
      <c r="D30" s="261" t="str">
        <f t="shared" si="1"/>
        <v/>
      </c>
      <c r="E30" s="262" t="str">
        <f t="shared" si="6"/>
        <v/>
      </c>
      <c r="F30" s="125" t="str">
        <f>IF(G30="","",VLOOKUP(G30,プルダウン用リスト!$K$1:$M$16,2,FALSE))</f>
        <v/>
      </c>
      <c r="G30" s="67"/>
      <c r="H30" s="67"/>
      <c r="I30" s="67"/>
      <c r="J30" s="134"/>
      <c r="K30" s="68"/>
      <c r="L30" s="69"/>
      <c r="M30" s="69"/>
      <c r="N30" s="260" t="str">
        <f t="shared" si="2"/>
        <v/>
      </c>
      <c r="O30" s="256">
        <f t="shared" si="4"/>
        <v>0</v>
      </c>
      <c r="P30" s="257" t="str">
        <f t="shared" si="3"/>
        <v>×</v>
      </c>
      <c r="Q30" s="272" t="str">
        <f t="shared" si="5"/>
        <v/>
      </c>
    </row>
    <row r="31" spans="2:19">
      <c r="B31" s="65"/>
      <c r="C31" s="54"/>
      <c r="D31" s="261" t="str">
        <f t="shared" si="1"/>
        <v/>
      </c>
      <c r="E31" s="262" t="str">
        <f t="shared" si="6"/>
        <v/>
      </c>
      <c r="F31" s="125" t="str">
        <f>IF(G31="","",VLOOKUP(G31,プルダウン用リスト!$K$1:$M$16,2,FALSE))</f>
        <v/>
      </c>
      <c r="G31" s="67"/>
      <c r="H31" s="55"/>
      <c r="I31" s="67"/>
      <c r="J31" s="134"/>
      <c r="K31" s="68"/>
      <c r="L31" s="69"/>
      <c r="M31" s="69"/>
      <c r="N31" s="260" t="str">
        <f t="shared" si="2"/>
        <v/>
      </c>
      <c r="O31" s="256">
        <f t="shared" si="4"/>
        <v>0</v>
      </c>
      <c r="P31" s="257" t="str">
        <f t="shared" si="3"/>
        <v>×</v>
      </c>
      <c r="Q31" s="272" t="str">
        <f t="shared" si="5"/>
        <v/>
      </c>
    </row>
    <row r="32" spans="2:19" s="3" customFormat="1">
      <c r="B32" s="65"/>
      <c r="C32" s="54"/>
      <c r="D32" s="261" t="str">
        <f t="shared" si="1"/>
        <v/>
      </c>
      <c r="E32" s="262" t="str">
        <f t="shared" si="6"/>
        <v/>
      </c>
      <c r="F32" s="125" t="str">
        <f>IF(G32="","",VLOOKUP(G32,プルダウン用リスト!$K$1:$M$16,2,FALSE))</f>
        <v/>
      </c>
      <c r="G32" s="67"/>
      <c r="H32" s="55"/>
      <c r="I32" s="67"/>
      <c r="J32" s="134"/>
      <c r="K32" s="68"/>
      <c r="L32" s="69"/>
      <c r="M32" s="69"/>
      <c r="N32" s="260" t="str">
        <f t="shared" si="2"/>
        <v/>
      </c>
      <c r="O32" s="256">
        <f t="shared" si="4"/>
        <v>0</v>
      </c>
      <c r="P32" s="257" t="str">
        <f t="shared" si="3"/>
        <v>×</v>
      </c>
      <c r="Q32" s="272" t="str">
        <f t="shared" si="5"/>
        <v/>
      </c>
      <c r="R32" s="51"/>
      <c r="S32"/>
    </row>
    <row r="33" spans="2:17">
      <c r="B33" s="65"/>
      <c r="C33" s="54"/>
      <c r="D33" s="261" t="str">
        <f t="shared" si="1"/>
        <v/>
      </c>
      <c r="E33" s="262" t="str">
        <f t="shared" si="6"/>
        <v/>
      </c>
      <c r="F33" s="125" t="str">
        <f>IF(G33="","",VLOOKUP(G33,プルダウン用リスト!$K$1:$M$16,2,FALSE))</f>
        <v/>
      </c>
      <c r="G33" s="67"/>
      <c r="H33" s="67"/>
      <c r="I33" s="67"/>
      <c r="J33" s="134"/>
      <c r="K33" s="68"/>
      <c r="L33" s="69"/>
      <c r="M33" s="69"/>
      <c r="N33" s="260" t="str">
        <f t="shared" si="2"/>
        <v/>
      </c>
      <c r="O33" s="256">
        <f t="shared" si="4"/>
        <v>0</v>
      </c>
      <c r="P33" s="257" t="str">
        <f t="shared" si="3"/>
        <v>×</v>
      </c>
      <c r="Q33" s="272" t="str">
        <f t="shared" si="5"/>
        <v/>
      </c>
    </row>
    <row r="34" spans="2:17">
      <c r="B34" s="65"/>
      <c r="C34" s="54"/>
      <c r="D34" s="261" t="str">
        <f t="shared" si="1"/>
        <v/>
      </c>
      <c r="E34" s="262" t="str">
        <f t="shared" si="6"/>
        <v/>
      </c>
      <c r="F34" s="125" t="str">
        <f>IF(G34="","",VLOOKUP(G34,プルダウン用リスト!$K$1:$M$16,2,FALSE))</f>
        <v/>
      </c>
      <c r="G34" s="67"/>
      <c r="H34" s="55"/>
      <c r="I34" s="67"/>
      <c r="J34" s="134"/>
      <c r="K34" s="68"/>
      <c r="L34" s="69"/>
      <c r="M34" s="69"/>
      <c r="N34" s="260" t="str">
        <f t="shared" si="2"/>
        <v/>
      </c>
      <c r="O34" s="256">
        <f t="shared" si="4"/>
        <v>0</v>
      </c>
      <c r="P34" s="257" t="str">
        <f t="shared" si="3"/>
        <v>×</v>
      </c>
      <c r="Q34" s="272" t="str">
        <f t="shared" si="5"/>
        <v/>
      </c>
    </row>
    <row r="35" spans="2:17">
      <c r="B35" s="65"/>
      <c r="C35" s="54"/>
      <c r="D35" s="261" t="str">
        <f t="shared" si="1"/>
        <v/>
      </c>
      <c r="E35" s="262" t="str">
        <f t="shared" si="6"/>
        <v/>
      </c>
      <c r="F35" s="125" t="str">
        <f>IF(G35="","",VLOOKUP(G35,プルダウン用リスト!$K$1:$M$16,2,FALSE))</f>
        <v/>
      </c>
      <c r="G35" s="67"/>
      <c r="H35" s="55"/>
      <c r="I35" s="67"/>
      <c r="J35" s="134"/>
      <c r="K35" s="68"/>
      <c r="L35" s="69"/>
      <c r="M35" s="69"/>
      <c r="N35" s="260" t="str">
        <f t="shared" si="2"/>
        <v/>
      </c>
      <c r="O35" s="256">
        <f t="shared" si="4"/>
        <v>0</v>
      </c>
      <c r="P35" s="257" t="str">
        <f t="shared" si="3"/>
        <v>×</v>
      </c>
      <c r="Q35" s="272" t="str">
        <f t="shared" si="5"/>
        <v/>
      </c>
    </row>
    <row r="36" spans="2:17">
      <c r="B36" s="65"/>
      <c r="C36" s="54"/>
      <c r="D36" s="261" t="str">
        <f t="shared" si="1"/>
        <v/>
      </c>
      <c r="E36" s="262" t="str">
        <f t="shared" si="6"/>
        <v/>
      </c>
      <c r="F36" s="125" t="str">
        <f>IF(G36="","",VLOOKUP(G36,プルダウン用リスト!$K$1:$M$16,2,FALSE))</f>
        <v/>
      </c>
      <c r="G36" s="67"/>
      <c r="H36" s="67"/>
      <c r="I36" s="67"/>
      <c r="J36" s="134"/>
      <c r="K36" s="68"/>
      <c r="L36" s="69"/>
      <c r="M36" s="69"/>
      <c r="N36" s="260" t="str">
        <f t="shared" si="2"/>
        <v/>
      </c>
      <c r="O36" s="256">
        <f t="shared" si="4"/>
        <v>0</v>
      </c>
      <c r="P36" s="257" t="str">
        <f t="shared" si="3"/>
        <v>×</v>
      </c>
      <c r="Q36" s="272" t="str">
        <f t="shared" si="5"/>
        <v/>
      </c>
    </row>
    <row r="37" spans="2:17">
      <c r="B37" s="65"/>
      <c r="C37" s="54"/>
      <c r="D37" s="261" t="str">
        <f t="shared" si="1"/>
        <v/>
      </c>
      <c r="E37" s="262" t="str">
        <f t="shared" si="6"/>
        <v/>
      </c>
      <c r="F37" s="125" t="str">
        <f>IF(G37="","",VLOOKUP(G37,プルダウン用リスト!$K$1:$M$16,2,FALSE))</f>
        <v/>
      </c>
      <c r="G37" s="67"/>
      <c r="H37" s="55"/>
      <c r="I37" s="67"/>
      <c r="J37" s="134"/>
      <c r="K37" s="68"/>
      <c r="L37" s="69"/>
      <c r="M37" s="69"/>
      <c r="N37" s="260" t="str">
        <f t="shared" si="2"/>
        <v/>
      </c>
      <c r="O37" s="256">
        <f t="shared" si="4"/>
        <v>0</v>
      </c>
      <c r="P37" s="257" t="str">
        <f t="shared" si="3"/>
        <v>×</v>
      </c>
      <c r="Q37" s="272" t="str">
        <f t="shared" si="5"/>
        <v/>
      </c>
    </row>
    <row r="38" spans="2:17">
      <c r="B38" s="65"/>
      <c r="C38" s="54"/>
      <c r="D38" s="261" t="str">
        <f t="shared" si="1"/>
        <v/>
      </c>
      <c r="E38" s="262" t="str">
        <f t="shared" si="6"/>
        <v/>
      </c>
      <c r="F38" s="125" t="str">
        <f>IF(G38="","",VLOOKUP(G38,プルダウン用リスト!$K$1:$M$16,2,FALSE))</f>
        <v/>
      </c>
      <c r="G38" s="67"/>
      <c r="H38" s="55"/>
      <c r="I38" s="67"/>
      <c r="J38" s="134"/>
      <c r="K38" s="68"/>
      <c r="L38" s="69"/>
      <c r="M38" s="69"/>
      <c r="N38" s="260" t="str">
        <f t="shared" si="2"/>
        <v/>
      </c>
      <c r="O38" s="256">
        <f t="shared" si="4"/>
        <v>0</v>
      </c>
      <c r="P38" s="257" t="str">
        <f t="shared" si="3"/>
        <v>×</v>
      </c>
      <c r="Q38" s="272" t="str">
        <f t="shared" si="5"/>
        <v/>
      </c>
    </row>
    <row r="39" spans="2:17">
      <c r="B39" s="65"/>
      <c r="C39" s="54"/>
      <c r="D39" s="261" t="str">
        <f t="shared" si="1"/>
        <v/>
      </c>
      <c r="E39" s="262" t="str">
        <f t="shared" si="6"/>
        <v/>
      </c>
      <c r="F39" s="125" t="str">
        <f>IF(G39="","",VLOOKUP(G39,プルダウン用リスト!$K$1:$M$16,2,FALSE))</f>
        <v/>
      </c>
      <c r="G39" s="67"/>
      <c r="H39" s="67"/>
      <c r="I39" s="67"/>
      <c r="J39" s="134"/>
      <c r="K39" s="68"/>
      <c r="L39" s="69"/>
      <c r="M39" s="69"/>
      <c r="N39" s="260" t="str">
        <f t="shared" si="2"/>
        <v/>
      </c>
      <c r="O39" s="256">
        <f t="shared" si="4"/>
        <v>0</v>
      </c>
      <c r="P39" s="257" t="str">
        <f t="shared" si="3"/>
        <v>×</v>
      </c>
      <c r="Q39" s="272" t="str">
        <f t="shared" si="5"/>
        <v/>
      </c>
    </row>
    <row r="40" spans="2:17">
      <c r="B40" s="65"/>
      <c r="C40" s="54"/>
      <c r="D40" s="261" t="str">
        <f t="shared" si="1"/>
        <v/>
      </c>
      <c r="E40" s="262" t="str">
        <f t="shared" si="6"/>
        <v/>
      </c>
      <c r="F40" s="125" t="str">
        <f>IF(G40="","",VLOOKUP(G40,プルダウン用リスト!$K$1:$M$16,2,FALSE))</f>
        <v/>
      </c>
      <c r="G40" s="67"/>
      <c r="H40" s="55"/>
      <c r="I40" s="67"/>
      <c r="J40" s="134"/>
      <c r="K40" s="68"/>
      <c r="L40" s="69"/>
      <c r="M40" s="69"/>
      <c r="N40" s="260" t="str">
        <f t="shared" si="2"/>
        <v/>
      </c>
      <c r="O40" s="256">
        <f t="shared" si="4"/>
        <v>0</v>
      </c>
      <c r="P40" s="257" t="str">
        <f t="shared" si="3"/>
        <v>×</v>
      </c>
      <c r="Q40" s="272" t="str">
        <f t="shared" si="5"/>
        <v/>
      </c>
    </row>
    <row r="41" spans="2:17">
      <c r="B41" s="65"/>
      <c r="C41" s="54"/>
      <c r="D41" s="261" t="str">
        <f t="shared" si="1"/>
        <v/>
      </c>
      <c r="E41" s="262" t="str">
        <f t="shared" si="6"/>
        <v/>
      </c>
      <c r="F41" s="125" t="str">
        <f>IF(G41="","",VLOOKUP(G41,プルダウン用リスト!$K$1:$M$16,2,FALSE))</f>
        <v/>
      </c>
      <c r="G41" s="67"/>
      <c r="H41" s="55"/>
      <c r="I41" s="67"/>
      <c r="J41" s="134"/>
      <c r="K41" s="68"/>
      <c r="L41" s="69"/>
      <c r="M41" s="69"/>
      <c r="N41" s="260" t="str">
        <f t="shared" si="2"/>
        <v/>
      </c>
      <c r="O41" s="256">
        <f t="shared" si="4"/>
        <v>0</v>
      </c>
      <c r="P41" s="257" t="str">
        <f t="shared" si="3"/>
        <v>×</v>
      </c>
      <c r="Q41" s="272" t="str">
        <f t="shared" si="5"/>
        <v/>
      </c>
    </row>
    <row r="42" spans="2:17">
      <c r="B42" s="65"/>
      <c r="C42" s="66"/>
      <c r="D42" s="261" t="str">
        <f t="shared" si="1"/>
        <v/>
      </c>
      <c r="E42" s="262" t="str">
        <f t="shared" si="6"/>
        <v/>
      </c>
      <c r="F42" s="125" t="str">
        <f>IF(G42="","",VLOOKUP(G42,プルダウン用リスト!$K$1:$M$16,2,FALSE))</f>
        <v/>
      </c>
      <c r="G42" s="67"/>
      <c r="H42" s="67"/>
      <c r="I42" s="67"/>
      <c r="J42" s="134"/>
      <c r="K42" s="68"/>
      <c r="L42" s="69"/>
      <c r="M42" s="69"/>
      <c r="N42" s="260" t="str">
        <f t="shared" si="2"/>
        <v/>
      </c>
      <c r="O42" s="256">
        <f t="shared" si="4"/>
        <v>0</v>
      </c>
      <c r="P42" s="257" t="str">
        <f t="shared" si="3"/>
        <v>×</v>
      </c>
      <c r="Q42" s="272" t="str">
        <f t="shared" si="5"/>
        <v/>
      </c>
    </row>
    <row r="43" spans="2:17">
      <c r="B43" s="65"/>
      <c r="C43" s="54"/>
      <c r="D43" s="261" t="str">
        <f t="shared" si="1"/>
        <v/>
      </c>
      <c r="E43" s="262" t="str">
        <f t="shared" si="6"/>
        <v/>
      </c>
      <c r="F43" s="125" t="str">
        <f>IF(G43="","",VLOOKUP(G43,プルダウン用リスト!$K$1:$M$16,2,FALSE))</f>
        <v/>
      </c>
      <c r="G43" s="67"/>
      <c r="H43" s="55"/>
      <c r="I43" s="67"/>
      <c r="J43" s="134"/>
      <c r="K43" s="68"/>
      <c r="L43" s="69"/>
      <c r="M43" s="69"/>
      <c r="N43" s="260" t="str">
        <f t="shared" si="2"/>
        <v/>
      </c>
      <c r="O43" s="256">
        <f t="shared" si="4"/>
        <v>0</v>
      </c>
      <c r="P43" s="257" t="str">
        <f t="shared" si="3"/>
        <v>×</v>
      </c>
      <c r="Q43" s="272" t="str">
        <f t="shared" si="5"/>
        <v/>
      </c>
    </row>
    <row r="44" spans="2:17">
      <c r="B44" s="65"/>
      <c r="C44" s="54"/>
      <c r="D44" s="261" t="str">
        <f t="shared" si="1"/>
        <v/>
      </c>
      <c r="E44" s="262" t="str">
        <f t="shared" si="6"/>
        <v/>
      </c>
      <c r="F44" s="125" t="str">
        <f>IF(G44="","",VLOOKUP(G44,プルダウン用リスト!$K$1:$M$16,2,FALSE))</f>
        <v/>
      </c>
      <c r="G44" s="67"/>
      <c r="H44" s="55"/>
      <c r="I44" s="67"/>
      <c r="J44" s="134"/>
      <c r="K44" s="68"/>
      <c r="L44" s="69"/>
      <c r="M44" s="69"/>
      <c r="N44" s="260" t="str">
        <f t="shared" si="2"/>
        <v/>
      </c>
      <c r="O44" s="256">
        <f t="shared" si="4"/>
        <v>0</v>
      </c>
      <c r="P44" s="257" t="str">
        <f t="shared" si="3"/>
        <v>×</v>
      </c>
      <c r="Q44" s="272" t="str">
        <f t="shared" si="5"/>
        <v/>
      </c>
    </row>
    <row r="45" spans="2:17">
      <c r="B45" s="65"/>
      <c r="C45" s="54"/>
      <c r="D45" s="261" t="str">
        <f t="shared" si="1"/>
        <v/>
      </c>
      <c r="E45" s="262" t="str">
        <f t="shared" si="6"/>
        <v/>
      </c>
      <c r="F45" s="125" t="str">
        <f>IF(G45="","",VLOOKUP(G45,プルダウン用リスト!$K$1:$M$16,2,FALSE))</f>
        <v/>
      </c>
      <c r="G45" s="67"/>
      <c r="H45" s="67"/>
      <c r="I45" s="67"/>
      <c r="J45" s="134"/>
      <c r="K45" s="68"/>
      <c r="L45" s="69"/>
      <c r="M45" s="69"/>
      <c r="N45" s="260" t="str">
        <f t="shared" si="2"/>
        <v/>
      </c>
      <c r="O45" s="256">
        <f t="shared" si="4"/>
        <v>0</v>
      </c>
      <c r="P45" s="257" t="str">
        <f t="shared" si="3"/>
        <v>×</v>
      </c>
      <c r="Q45" s="272" t="str">
        <f t="shared" si="5"/>
        <v/>
      </c>
    </row>
    <row r="46" spans="2:17">
      <c r="B46" s="65"/>
      <c r="C46" s="54"/>
      <c r="D46" s="261" t="str">
        <f t="shared" si="1"/>
        <v/>
      </c>
      <c r="E46" s="262" t="str">
        <f t="shared" si="6"/>
        <v/>
      </c>
      <c r="F46" s="125" t="str">
        <f>IF(G46="","",VLOOKUP(G46,プルダウン用リスト!$K$1:$M$16,2,FALSE))</f>
        <v/>
      </c>
      <c r="G46" s="67"/>
      <c r="H46" s="55"/>
      <c r="I46" s="67"/>
      <c r="J46" s="134"/>
      <c r="K46" s="68"/>
      <c r="L46" s="69"/>
      <c r="M46" s="69"/>
      <c r="N46" s="260" t="str">
        <f t="shared" si="2"/>
        <v/>
      </c>
      <c r="O46" s="256">
        <f t="shared" si="4"/>
        <v>0</v>
      </c>
      <c r="P46" s="257" t="str">
        <f t="shared" si="3"/>
        <v>×</v>
      </c>
      <c r="Q46" s="272" t="str">
        <f t="shared" si="5"/>
        <v/>
      </c>
    </row>
    <row r="47" spans="2:17">
      <c r="B47" s="65"/>
      <c r="C47" s="54"/>
      <c r="D47" s="261" t="str">
        <f t="shared" si="1"/>
        <v/>
      </c>
      <c r="E47" s="262" t="str">
        <f t="shared" si="6"/>
        <v/>
      </c>
      <c r="F47" s="125" t="str">
        <f>IF(G47="","",VLOOKUP(G47,プルダウン用リスト!$K$1:$M$16,2,FALSE))</f>
        <v/>
      </c>
      <c r="G47" s="67"/>
      <c r="H47" s="55"/>
      <c r="I47" s="67"/>
      <c r="J47" s="134"/>
      <c r="K47" s="68"/>
      <c r="L47" s="69"/>
      <c r="M47" s="69"/>
      <c r="N47" s="260" t="str">
        <f t="shared" si="2"/>
        <v/>
      </c>
      <c r="O47" s="256">
        <f t="shared" si="4"/>
        <v>0</v>
      </c>
      <c r="P47" s="257" t="str">
        <f t="shared" si="3"/>
        <v>×</v>
      </c>
      <c r="Q47" s="272" t="str">
        <f t="shared" si="5"/>
        <v/>
      </c>
    </row>
    <row r="48" spans="2:17">
      <c r="B48" s="65"/>
      <c r="C48" s="54"/>
      <c r="D48" s="261" t="str">
        <f t="shared" si="1"/>
        <v/>
      </c>
      <c r="E48" s="262" t="str">
        <f t="shared" si="6"/>
        <v/>
      </c>
      <c r="F48" s="125" t="str">
        <f>IF(G48="","",VLOOKUP(G48,プルダウン用リスト!$K$1:$M$16,2,FALSE))</f>
        <v/>
      </c>
      <c r="G48" s="67"/>
      <c r="H48" s="67"/>
      <c r="I48" s="67"/>
      <c r="J48" s="134"/>
      <c r="K48" s="68"/>
      <c r="L48" s="69"/>
      <c r="M48" s="69"/>
      <c r="N48" s="260" t="str">
        <f t="shared" si="2"/>
        <v/>
      </c>
      <c r="O48" s="256">
        <f t="shared" si="4"/>
        <v>0</v>
      </c>
      <c r="P48" s="257" t="str">
        <f t="shared" si="3"/>
        <v>×</v>
      </c>
      <c r="Q48" s="272" t="str">
        <f t="shared" si="5"/>
        <v/>
      </c>
    </row>
    <row r="49" spans="2:17">
      <c r="B49" s="65"/>
      <c r="C49" s="54"/>
      <c r="D49" s="261" t="str">
        <f t="shared" si="1"/>
        <v/>
      </c>
      <c r="E49" s="262" t="str">
        <f t="shared" si="6"/>
        <v/>
      </c>
      <c r="F49" s="125" t="str">
        <f>IF(G49="","",VLOOKUP(G49,プルダウン用リスト!$K$1:$M$16,2,FALSE))</f>
        <v/>
      </c>
      <c r="G49" s="67"/>
      <c r="H49" s="55"/>
      <c r="I49" s="67"/>
      <c r="J49" s="134"/>
      <c r="K49" s="68"/>
      <c r="L49" s="69"/>
      <c r="M49" s="69"/>
      <c r="N49" s="260" t="str">
        <f t="shared" si="2"/>
        <v/>
      </c>
      <c r="O49" s="256">
        <f t="shared" si="4"/>
        <v>0</v>
      </c>
      <c r="P49" s="257" t="str">
        <f t="shared" si="3"/>
        <v>×</v>
      </c>
      <c r="Q49" s="272" t="str">
        <f t="shared" si="5"/>
        <v/>
      </c>
    </row>
    <row r="50" spans="2:17">
      <c r="B50" s="65"/>
      <c r="C50" s="54"/>
      <c r="D50" s="261" t="str">
        <f t="shared" si="1"/>
        <v/>
      </c>
      <c r="E50" s="262" t="str">
        <f t="shared" si="6"/>
        <v/>
      </c>
      <c r="F50" s="125" t="str">
        <f>IF(G50="","",VLOOKUP(G50,プルダウン用リスト!$K$1:$M$16,2,FALSE))</f>
        <v/>
      </c>
      <c r="G50" s="67"/>
      <c r="H50" s="55"/>
      <c r="I50" s="67"/>
      <c r="J50" s="134"/>
      <c r="K50" s="68"/>
      <c r="L50" s="69"/>
      <c r="M50" s="69"/>
      <c r="N50" s="260" t="str">
        <f t="shared" si="2"/>
        <v/>
      </c>
      <c r="O50" s="256">
        <f t="shared" si="4"/>
        <v>0</v>
      </c>
      <c r="P50" s="257" t="str">
        <f t="shared" si="3"/>
        <v>×</v>
      </c>
      <c r="Q50" s="272" t="str">
        <f t="shared" si="5"/>
        <v/>
      </c>
    </row>
    <row r="51" spans="2:17">
      <c r="B51" s="65"/>
      <c r="C51" s="54"/>
      <c r="D51" s="261" t="str">
        <f t="shared" si="1"/>
        <v/>
      </c>
      <c r="E51" s="262" t="str">
        <f t="shared" si="6"/>
        <v/>
      </c>
      <c r="F51" s="125" t="str">
        <f>IF(G51="","",VLOOKUP(G51,プルダウン用リスト!$K$1:$M$16,2,FALSE))</f>
        <v/>
      </c>
      <c r="G51" s="67"/>
      <c r="H51" s="67"/>
      <c r="I51" s="67"/>
      <c r="J51" s="134"/>
      <c r="K51" s="68"/>
      <c r="L51" s="69"/>
      <c r="M51" s="69"/>
      <c r="N51" s="260" t="str">
        <f t="shared" si="2"/>
        <v/>
      </c>
      <c r="O51" s="256">
        <f t="shared" si="4"/>
        <v>0</v>
      </c>
      <c r="P51" s="257" t="str">
        <f t="shared" si="3"/>
        <v>×</v>
      </c>
      <c r="Q51" s="272" t="str">
        <f t="shared" si="5"/>
        <v/>
      </c>
    </row>
    <row r="52" spans="2:17">
      <c r="B52" s="65"/>
      <c r="C52" s="54"/>
      <c r="D52" s="261" t="str">
        <f t="shared" si="1"/>
        <v/>
      </c>
      <c r="E52" s="262" t="str">
        <f t="shared" si="6"/>
        <v/>
      </c>
      <c r="F52" s="125" t="str">
        <f>IF(G52="","",VLOOKUP(G52,プルダウン用リスト!$K$1:$M$16,2,FALSE))</f>
        <v/>
      </c>
      <c r="G52" s="67"/>
      <c r="H52" s="55"/>
      <c r="I52" s="67"/>
      <c r="J52" s="134"/>
      <c r="K52" s="68"/>
      <c r="L52" s="69"/>
      <c r="M52" s="69"/>
      <c r="N52" s="260" t="str">
        <f t="shared" si="2"/>
        <v/>
      </c>
      <c r="O52" s="256">
        <f t="shared" si="4"/>
        <v>0</v>
      </c>
      <c r="P52" s="257" t="str">
        <f t="shared" si="3"/>
        <v>×</v>
      </c>
      <c r="Q52" s="272" t="str">
        <f t="shared" si="5"/>
        <v/>
      </c>
    </row>
    <row r="53" spans="2:17">
      <c r="B53" s="65"/>
      <c r="C53" s="54"/>
      <c r="D53" s="261" t="str">
        <f t="shared" si="1"/>
        <v/>
      </c>
      <c r="E53" s="262" t="str">
        <f t="shared" si="6"/>
        <v/>
      </c>
      <c r="F53" s="125" t="str">
        <f>IF(G53="","",VLOOKUP(G53,プルダウン用リスト!$K$1:$M$16,2,FALSE))</f>
        <v/>
      </c>
      <c r="G53" s="67"/>
      <c r="H53" s="55"/>
      <c r="I53" s="67"/>
      <c r="J53" s="134"/>
      <c r="K53" s="68"/>
      <c r="L53" s="69"/>
      <c r="M53" s="69"/>
      <c r="N53" s="260" t="str">
        <f t="shared" si="2"/>
        <v/>
      </c>
      <c r="O53" s="256">
        <f t="shared" si="4"/>
        <v>0</v>
      </c>
      <c r="P53" s="257" t="str">
        <f t="shared" si="3"/>
        <v>×</v>
      </c>
      <c r="Q53" s="272" t="str">
        <f t="shared" si="5"/>
        <v/>
      </c>
    </row>
    <row r="54" spans="2:17">
      <c r="B54" s="65"/>
      <c r="C54" s="66"/>
      <c r="D54" s="261" t="str">
        <f t="shared" si="1"/>
        <v/>
      </c>
      <c r="E54" s="262" t="str">
        <f t="shared" si="6"/>
        <v/>
      </c>
      <c r="F54" s="125" t="str">
        <f>IF(G54="","",VLOOKUP(G54,プルダウン用リスト!$K$1:$M$16,2,FALSE))</f>
        <v/>
      </c>
      <c r="G54" s="67"/>
      <c r="H54" s="67"/>
      <c r="I54" s="67"/>
      <c r="J54" s="134"/>
      <c r="K54" s="68"/>
      <c r="L54" s="69"/>
      <c r="M54" s="69"/>
      <c r="N54" s="260" t="str">
        <f t="shared" si="2"/>
        <v/>
      </c>
      <c r="O54" s="256">
        <f t="shared" si="4"/>
        <v>0</v>
      </c>
      <c r="P54" s="257" t="str">
        <f t="shared" si="3"/>
        <v>×</v>
      </c>
      <c r="Q54" s="272" t="str">
        <f t="shared" si="5"/>
        <v/>
      </c>
    </row>
    <row r="55" spans="2:17">
      <c r="B55" s="65"/>
      <c r="C55" s="54"/>
      <c r="D55" s="261" t="str">
        <f t="shared" si="1"/>
        <v/>
      </c>
      <c r="E55" s="262" t="str">
        <f t="shared" si="6"/>
        <v/>
      </c>
      <c r="F55" s="125" t="str">
        <f>IF(G55="","",VLOOKUP(G55,プルダウン用リスト!$K$1:$M$16,2,FALSE))</f>
        <v/>
      </c>
      <c r="G55" s="67"/>
      <c r="H55" s="55"/>
      <c r="I55" s="67"/>
      <c r="J55" s="134"/>
      <c r="K55" s="68"/>
      <c r="L55" s="69"/>
      <c r="M55" s="69"/>
      <c r="N55" s="260" t="str">
        <f t="shared" si="2"/>
        <v/>
      </c>
      <c r="O55" s="256">
        <f t="shared" si="4"/>
        <v>0</v>
      </c>
      <c r="P55" s="257" t="str">
        <f t="shared" si="3"/>
        <v>×</v>
      </c>
      <c r="Q55" s="272" t="str">
        <f t="shared" si="5"/>
        <v/>
      </c>
    </row>
    <row r="56" spans="2:17">
      <c r="B56" s="65"/>
      <c r="C56" s="54"/>
      <c r="D56" s="261" t="str">
        <f t="shared" si="1"/>
        <v/>
      </c>
      <c r="E56" s="262" t="str">
        <f t="shared" si="6"/>
        <v/>
      </c>
      <c r="F56" s="125" t="str">
        <f>IF(G56="","",VLOOKUP(G56,プルダウン用リスト!$K$1:$M$16,2,FALSE))</f>
        <v/>
      </c>
      <c r="G56" s="67"/>
      <c r="H56" s="55"/>
      <c r="I56" s="67"/>
      <c r="J56" s="134"/>
      <c r="K56" s="68"/>
      <c r="L56" s="69"/>
      <c r="M56" s="69"/>
      <c r="N56" s="260" t="str">
        <f t="shared" si="2"/>
        <v/>
      </c>
      <c r="O56" s="256">
        <f t="shared" si="4"/>
        <v>0</v>
      </c>
      <c r="P56" s="257" t="str">
        <f t="shared" si="3"/>
        <v>×</v>
      </c>
      <c r="Q56" s="272" t="str">
        <f t="shared" si="5"/>
        <v/>
      </c>
    </row>
    <row r="57" spans="2:17">
      <c r="B57" s="65"/>
      <c r="C57" s="54"/>
      <c r="D57" s="261" t="str">
        <f t="shared" si="1"/>
        <v/>
      </c>
      <c r="E57" s="262" t="str">
        <f t="shared" si="6"/>
        <v/>
      </c>
      <c r="F57" s="125" t="str">
        <f>IF(G57="","",VLOOKUP(G57,プルダウン用リスト!$K$1:$M$16,2,FALSE))</f>
        <v/>
      </c>
      <c r="G57" s="67"/>
      <c r="H57" s="67"/>
      <c r="I57" s="67"/>
      <c r="J57" s="134"/>
      <c r="K57" s="68"/>
      <c r="L57" s="69"/>
      <c r="M57" s="69"/>
      <c r="N57" s="260" t="str">
        <f t="shared" si="2"/>
        <v/>
      </c>
      <c r="O57" s="256">
        <f t="shared" si="4"/>
        <v>0</v>
      </c>
      <c r="P57" s="257" t="str">
        <f t="shared" si="3"/>
        <v>×</v>
      </c>
      <c r="Q57" s="272" t="str">
        <f t="shared" si="5"/>
        <v/>
      </c>
    </row>
    <row r="58" spans="2:17">
      <c r="B58" s="65"/>
      <c r="C58" s="54"/>
      <c r="D58" s="261" t="str">
        <f t="shared" si="1"/>
        <v/>
      </c>
      <c r="E58" s="262" t="str">
        <f t="shared" si="6"/>
        <v/>
      </c>
      <c r="F58" s="125" t="str">
        <f>IF(G58="","",VLOOKUP(G58,プルダウン用リスト!$K$1:$M$16,2,FALSE))</f>
        <v/>
      </c>
      <c r="G58" s="67"/>
      <c r="H58" s="55"/>
      <c r="I58" s="67"/>
      <c r="J58" s="134"/>
      <c r="K58" s="68"/>
      <c r="L58" s="69"/>
      <c r="M58" s="69"/>
      <c r="N58" s="260" t="str">
        <f t="shared" si="2"/>
        <v/>
      </c>
      <c r="O58" s="256">
        <f t="shared" si="4"/>
        <v>0</v>
      </c>
      <c r="P58" s="257" t="str">
        <f t="shared" si="3"/>
        <v>×</v>
      </c>
      <c r="Q58" s="272" t="str">
        <f t="shared" si="5"/>
        <v/>
      </c>
    </row>
    <row r="59" spans="2:17">
      <c r="B59" s="65"/>
      <c r="C59" s="54"/>
      <c r="D59" s="261" t="str">
        <f t="shared" si="1"/>
        <v/>
      </c>
      <c r="E59" s="262" t="str">
        <f t="shared" si="6"/>
        <v/>
      </c>
      <c r="F59" s="125" t="str">
        <f>IF(G59="","",VLOOKUP(G59,プルダウン用リスト!$K$1:$M$16,2,FALSE))</f>
        <v/>
      </c>
      <c r="G59" s="67"/>
      <c r="H59" s="55"/>
      <c r="I59" s="67"/>
      <c r="J59" s="134"/>
      <c r="K59" s="68"/>
      <c r="L59" s="69"/>
      <c r="M59" s="69"/>
      <c r="N59" s="260" t="str">
        <f t="shared" si="2"/>
        <v/>
      </c>
      <c r="O59" s="256">
        <f t="shared" si="4"/>
        <v>0</v>
      </c>
      <c r="P59" s="257" t="str">
        <f t="shared" si="3"/>
        <v>×</v>
      </c>
      <c r="Q59" s="272" t="str">
        <f t="shared" si="5"/>
        <v/>
      </c>
    </row>
    <row r="60" spans="2:17">
      <c r="B60" s="65"/>
      <c r="C60" s="54"/>
      <c r="D60" s="261" t="str">
        <f t="shared" si="1"/>
        <v/>
      </c>
      <c r="E60" s="262" t="str">
        <f t="shared" si="6"/>
        <v/>
      </c>
      <c r="F60" s="125" t="str">
        <f>IF(G60="","",VLOOKUP(G60,プルダウン用リスト!$K$1:$M$16,2,FALSE))</f>
        <v/>
      </c>
      <c r="G60" s="67"/>
      <c r="H60" s="67"/>
      <c r="I60" s="67"/>
      <c r="J60" s="134"/>
      <c r="K60" s="68"/>
      <c r="L60" s="69"/>
      <c r="M60" s="69"/>
      <c r="N60" s="260" t="str">
        <f t="shared" si="2"/>
        <v/>
      </c>
      <c r="O60" s="256">
        <f t="shared" si="4"/>
        <v>0</v>
      </c>
      <c r="P60" s="257" t="str">
        <f t="shared" si="3"/>
        <v>×</v>
      </c>
      <c r="Q60" s="272" t="str">
        <f t="shared" si="5"/>
        <v/>
      </c>
    </row>
    <row r="61" spans="2:17">
      <c r="B61" s="65"/>
      <c r="C61" s="54"/>
      <c r="D61" s="261" t="str">
        <f t="shared" si="1"/>
        <v/>
      </c>
      <c r="E61" s="262" t="str">
        <f t="shared" si="6"/>
        <v/>
      </c>
      <c r="F61" s="125" t="str">
        <f>IF(G61="","",VLOOKUP(G61,プルダウン用リスト!$K$1:$M$16,2,FALSE))</f>
        <v/>
      </c>
      <c r="G61" s="67"/>
      <c r="H61" s="55"/>
      <c r="I61" s="67"/>
      <c r="J61" s="134"/>
      <c r="K61" s="68"/>
      <c r="L61" s="69"/>
      <c r="M61" s="69"/>
      <c r="N61" s="260" t="str">
        <f t="shared" si="2"/>
        <v/>
      </c>
      <c r="O61" s="256">
        <f t="shared" si="4"/>
        <v>0</v>
      </c>
      <c r="P61" s="257" t="str">
        <f t="shared" si="3"/>
        <v>×</v>
      </c>
      <c r="Q61" s="272" t="str">
        <f t="shared" si="5"/>
        <v/>
      </c>
    </row>
    <row r="62" spans="2:17">
      <c r="B62" s="65"/>
      <c r="C62" s="54"/>
      <c r="D62" s="261" t="str">
        <f t="shared" si="1"/>
        <v/>
      </c>
      <c r="E62" s="262" t="str">
        <f t="shared" si="6"/>
        <v/>
      </c>
      <c r="F62" s="125" t="str">
        <f>IF(G62="","",VLOOKUP(G62,プルダウン用リスト!$K$1:$M$16,2,FALSE))</f>
        <v/>
      </c>
      <c r="G62" s="67"/>
      <c r="H62" s="55"/>
      <c r="I62" s="67"/>
      <c r="J62" s="134"/>
      <c r="K62" s="68"/>
      <c r="L62" s="69"/>
      <c r="M62" s="69"/>
      <c r="N62" s="260" t="str">
        <f t="shared" si="2"/>
        <v/>
      </c>
      <c r="O62" s="256">
        <f t="shared" si="4"/>
        <v>0</v>
      </c>
      <c r="P62" s="257" t="str">
        <f t="shared" si="3"/>
        <v>×</v>
      </c>
      <c r="Q62" s="272" t="str">
        <f t="shared" si="5"/>
        <v/>
      </c>
    </row>
    <row r="63" spans="2:17">
      <c r="B63" s="65"/>
      <c r="C63" s="54"/>
      <c r="D63" s="261" t="str">
        <f t="shared" si="1"/>
        <v/>
      </c>
      <c r="E63" s="262" t="str">
        <f t="shared" si="6"/>
        <v/>
      </c>
      <c r="F63" s="125" t="str">
        <f>IF(G63="","",VLOOKUP(G63,プルダウン用リスト!$K$1:$M$16,2,FALSE))</f>
        <v/>
      </c>
      <c r="G63" s="67"/>
      <c r="H63" s="67"/>
      <c r="I63" s="67"/>
      <c r="J63" s="134"/>
      <c r="K63" s="68"/>
      <c r="L63" s="69"/>
      <c r="M63" s="69"/>
      <c r="N63" s="260" t="str">
        <f t="shared" si="2"/>
        <v/>
      </c>
      <c r="O63" s="256">
        <f t="shared" si="4"/>
        <v>0</v>
      </c>
      <c r="P63" s="257" t="str">
        <f t="shared" si="3"/>
        <v>×</v>
      </c>
      <c r="Q63" s="272" t="str">
        <f t="shared" si="5"/>
        <v/>
      </c>
    </row>
    <row r="64" spans="2:17">
      <c r="B64" s="65"/>
      <c r="C64" s="54"/>
      <c r="D64" s="261" t="str">
        <f t="shared" si="1"/>
        <v/>
      </c>
      <c r="E64" s="262" t="str">
        <f t="shared" si="6"/>
        <v/>
      </c>
      <c r="F64" s="125" t="str">
        <f>IF(G64="","",VLOOKUP(G64,プルダウン用リスト!$K$1:$M$16,2,FALSE))</f>
        <v/>
      </c>
      <c r="G64" s="67"/>
      <c r="H64" s="55"/>
      <c r="I64" s="67"/>
      <c r="J64" s="134"/>
      <c r="K64" s="68"/>
      <c r="L64" s="69"/>
      <c r="M64" s="69"/>
      <c r="N64" s="260" t="str">
        <f t="shared" si="2"/>
        <v/>
      </c>
      <c r="O64" s="256">
        <f t="shared" si="4"/>
        <v>0</v>
      </c>
      <c r="P64" s="257" t="str">
        <f t="shared" si="3"/>
        <v>×</v>
      </c>
      <c r="Q64" s="272" t="str">
        <f t="shared" si="5"/>
        <v/>
      </c>
    </row>
    <row r="65" spans="2:17">
      <c r="B65" s="65"/>
      <c r="C65" s="54"/>
      <c r="D65" s="261" t="str">
        <f t="shared" si="1"/>
        <v/>
      </c>
      <c r="E65" s="262" t="str">
        <f t="shared" si="6"/>
        <v/>
      </c>
      <c r="F65" s="125" t="str">
        <f>IF(G65="","",VLOOKUP(G65,プルダウン用リスト!$K$1:$M$16,2,FALSE))</f>
        <v/>
      </c>
      <c r="G65" s="67"/>
      <c r="H65" s="55"/>
      <c r="I65" s="67"/>
      <c r="J65" s="134"/>
      <c r="K65" s="68"/>
      <c r="L65" s="69"/>
      <c r="M65" s="69"/>
      <c r="N65" s="260" t="str">
        <f t="shared" si="2"/>
        <v/>
      </c>
      <c r="O65" s="256">
        <f t="shared" si="4"/>
        <v>0</v>
      </c>
      <c r="P65" s="257" t="str">
        <f t="shared" si="3"/>
        <v>×</v>
      </c>
      <c r="Q65" s="272" t="str">
        <f t="shared" si="5"/>
        <v/>
      </c>
    </row>
    <row r="66" spans="2:17">
      <c r="B66" s="65"/>
      <c r="C66" s="66"/>
      <c r="D66" s="261" t="str">
        <f t="shared" si="1"/>
        <v/>
      </c>
      <c r="E66" s="262" t="str">
        <f t="shared" si="6"/>
        <v/>
      </c>
      <c r="F66" s="125" t="str">
        <f>IF(G66="","",VLOOKUP(G66,プルダウン用リスト!$K$1:$M$16,2,FALSE))</f>
        <v/>
      </c>
      <c r="G66" s="67"/>
      <c r="H66" s="67"/>
      <c r="I66" s="67"/>
      <c r="J66" s="134"/>
      <c r="K66" s="68"/>
      <c r="L66" s="69"/>
      <c r="M66" s="69"/>
      <c r="N66" s="260" t="str">
        <f t="shared" si="2"/>
        <v/>
      </c>
      <c r="O66" s="256">
        <f t="shared" si="4"/>
        <v>0</v>
      </c>
      <c r="P66" s="257" t="str">
        <f t="shared" si="3"/>
        <v>×</v>
      </c>
      <c r="Q66" s="272" t="str">
        <f t="shared" si="5"/>
        <v/>
      </c>
    </row>
    <row r="67" spans="2:17">
      <c r="B67" s="65"/>
      <c r="C67" s="54"/>
      <c r="D67" s="261" t="str">
        <f t="shared" si="1"/>
        <v/>
      </c>
      <c r="E67" s="262" t="str">
        <f t="shared" si="6"/>
        <v/>
      </c>
      <c r="F67" s="125" t="str">
        <f>IF(G67="","",VLOOKUP(G67,プルダウン用リスト!$K$1:$M$16,2,FALSE))</f>
        <v/>
      </c>
      <c r="G67" s="67"/>
      <c r="H67" s="55"/>
      <c r="I67" s="67"/>
      <c r="J67" s="134"/>
      <c r="K67" s="68"/>
      <c r="L67" s="69"/>
      <c r="M67" s="69"/>
      <c r="N67" s="260" t="str">
        <f t="shared" si="2"/>
        <v/>
      </c>
      <c r="O67" s="256">
        <f t="shared" si="4"/>
        <v>0</v>
      </c>
      <c r="P67" s="257" t="str">
        <f t="shared" si="3"/>
        <v>×</v>
      </c>
      <c r="Q67" s="272" t="str">
        <f t="shared" si="5"/>
        <v/>
      </c>
    </row>
    <row r="68" spans="2:17">
      <c r="B68" s="65"/>
      <c r="C68" s="54"/>
      <c r="D68" s="261" t="str">
        <f t="shared" si="1"/>
        <v/>
      </c>
      <c r="E68" s="262" t="str">
        <f t="shared" si="6"/>
        <v/>
      </c>
      <c r="F68" s="125" t="str">
        <f>IF(G68="","",VLOOKUP(G68,プルダウン用リスト!$K$1:$M$16,2,FALSE))</f>
        <v/>
      </c>
      <c r="G68" s="67"/>
      <c r="H68" s="55"/>
      <c r="I68" s="67"/>
      <c r="J68" s="134"/>
      <c r="K68" s="68"/>
      <c r="L68" s="69"/>
      <c r="M68" s="69"/>
      <c r="N68" s="260" t="str">
        <f t="shared" si="2"/>
        <v/>
      </c>
      <c r="O68" s="256">
        <f t="shared" si="4"/>
        <v>0</v>
      </c>
      <c r="P68" s="257" t="str">
        <f t="shared" si="3"/>
        <v>×</v>
      </c>
      <c r="Q68" s="272" t="str">
        <f t="shared" si="5"/>
        <v/>
      </c>
    </row>
    <row r="69" spans="2:17">
      <c r="B69" s="65"/>
      <c r="C69" s="54"/>
      <c r="D69" s="261" t="str">
        <f t="shared" si="1"/>
        <v/>
      </c>
      <c r="E69" s="262" t="str">
        <f t="shared" si="6"/>
        <v/>
      </c>
      <c r="F69" s="125" t="str">
        <f>IF(G69="","",VLOOKUP(G69,プルダウン用リスト!$K$1:$M$16,2,FALSE))</f>
        <v/>
      </c>
      <c r="G69" s="67"/>
      <c r="H69" s="67"/>
      <c r="I69" s="67"/>
      <c r="J69" s="134"/>
      <c r="K69" s="68"/>
      <c r="L69" s="69"/>
      <c r="M69" s="69"/>
      <c r="N69" s="260" t="str">
        <f t="shared" si="2"/>
        <v/>
      </c>
      <c r="O69" s="256">
        <f t="shared" si="4"/>
        <v>0</v>
      </c>
      <c r="P69" s="257" t="str">
        <f t="shared" si="3"/>
        <v>×</v>
      </c>
      <c r="Q69" s="272" t="str">
        <f t="shared" si="5"/>
        <v/>
      </c>
    </row>
    <row r="70" spans="2:17">
      <c r="B70" s="65"/>
      <c r="C70" s="54"/>
      <c r="D70" s="261" t="str">
        <f t="shared" si="1"/>
        <v/>
      </c>
      <c r="E70" s="262" t="str">
        <f t="shared" si="6"/>
        <v/>
      </c>
      <c r="F70" s="125" t="str">
        <f>IF(G70="","",VLOOKUP(G70,プルダウン用リスト!$K$1:$M$16,2,FALSE))</f>
        <v/>
      </c>
      <c r="G70" s="67"/>
      <c r="H70" s="55"/>
      <c r="I70" s="67"/>
      <c r="J70" s="134"/>
      <c r="K70" s="68"/>
      <c r="L70" s="69"/>
      <c r="M70" s="69"/>
      <c r="N70" s="260" t="str">
        <f t="shared" si="2"/>
        <v/>
      </c>
      <c r="O70" s="256">
        <f t="shared" si="4"/>
        <v>0</v>
      </c>
      <c r="P70" s="257" t="str">
        <f t="shared" si="3"/>
        <v>×</v>
      </c>
      <c r="Q70" s="272" t="str">
        <f t="shared" si="5"/>
        <v/>
      </c>
    </row>
    <row r="71" spans="2:17">
      <c r="B71" s="65"/>
      <c r="C71" s="54"/>
      <c r="D71" s="261" t="str">
        <f t="shared" ref="D71:D134" si="7">IF(E71="","",IF(E71="謝金","01.",IF(E71="旅費","02.",IF(E71="その他","04.","03."))))</f>
        <v/>
      </c>
      <c r="E71" s="262" t="str">
        <f t="shared" si="6"/>
        <v/>
      </c>
      <c r="F71" s="125" t="str">
        <f>IF(G71="","",VLOOKUP(G71,プルダウン用リスト!$K$1:$M$16,2,FALSE))</f>
        <v/>
      </c>
      <c r="G71" s="67"/>
      <c r="H71" s="55"/>
      <c r="I71" s="67"/>
      <c r="J71" s="134"/>
      <c r="K71" s="68"/>
      <c r="L71" s="69"/>
      <c r="M71" s="69"/>
      <c r="N71" s="260" t="str">
        <f t="shared" ref="N71:N134" si="8">IF(G71="16.対象外経費",L71,IF(M71="","",L71-M71))</f>
        <v/>
      </c>
      <c r="O71" s="256">
        <f t="shared" si="4"/>
        <v>0</v>
      </c>
      <c r="P71" s="257" t="str">
        <f t="shared" ref="P71:P134" si="9">IF(G71="2.旅費","〇","×")</f>
        <v>×</v>
      </c>
      <c r="Q71" s="272" t="str">
        <f t="shared" si="5"/>
        <v/>
      </c>
    </row>
    <row r="72" spans="2:17">
      <c r="B72" s="65"/>
      <c r="C72" s="54"/>
      <c r="D72" s="261" t="str">
        <f t="shared" si="7"/>
        <v/>
      </c>
      <c r="E72" s="262" t="str">
        <f t="shared" si="6"/>
        <v/>
      </c>
      <c r="F72" s="125" t="str">
        <f>IF(G72="","",VLOOKUP(G72,プルダウン用リスト!$K$1:$M$16,2,FALSE))</f>
        <v/>
      </c>
      <c r="G72" s="67"/>
      <c r="H72" s="67"/>
      <c r="I72" s="67"/>
      <c r="J72" s="134"/>
      <c r="K72" s="68"/>
      <c r="L72" s="69"/>
      <c r="M72" s="69"/>
      <c r="N72" s="260" t="str">
        <f t="shared" si="8"/>
        <v/>
      </c>
      <c r="O72" s="256">
        <f t="shared" ref="O72:O135" si="10">IF(L72&gt;0,COUNTA(B72,C72,G72,H72,I72,K72,,L72,J72),0)</f>
        <v>0</v>
      </c>
      <c r="P72" s="257" t="str">
        <f t="shared" si="9"/>
        <v>×</v>
      </c>
      <c r="Q72" s="272" t="str">
        <f t="shared" ref="Q72:Q135" si="11">_xlfn.IFS(O72=0,"",AND(G72="16.対象外経費",O72=7),"OK",O72&lt;=7,"ピンク色のセルを全て入力してください",O72=9,"OK",P72="〇","旅行区間および宿泊地を入力してください",O72=8,"OK")</f>
        <v/>
      </c>
    </row>
    <row r="73" spans="2:17">
      <c r="B73" s="65"/>
      <c r="C73" s="54"/>
      <c r="D73" s="261" t="str">
        <f t="shared" si="7"/>
        <v/>
      </c>
      <c r="E73" s="262" t="str">
        <f t="shared" si="6"/>
        <v/>
      </c>
      <c r="F73" s="125" t="str">
        <f>IF(G73="","",VLOOKUP(G73,プルダウン用リスト!$K$1:$M$16,2,FALSE))</f>
        <v/>
      </c>
      <c r="G73" s="67"/>
      <c r="H73" s="55"/>
      <c r="I73" s="67"/>
      <c r="J73" s="134"/>
      <c r="K73" s="68"/>
      <c r="L73" s="69"/>
      <c r="M73" s="69"/>
      <c r="N73" s="260" t="str">
        <f t="shared" si="8"/>
        <v/>
      </c>
      <c r="O73" s="256">
        <f t="shared" si="10"/>
        <v>0</v>
      </c>
      <c r="P73" s="257" t="str">
        <f t="shared" si="9"/>
        <v>×</v>
      </c>
      <c r="Q73" s="272" t="str">
        <f t="shared" si="11"/>
        <v/>
      </c>
    </row>
    <row r="74" spans="2:17">
      <c r="B74" s="65"/>
      <c r="C74" s="54"/>
      <c r="D74" s="261" t="str">
        <f t="shared" si="7"/>
        <v/>
      </c>
      <c r="E74" s="262" t="str">
        <f t="shared" si="6"/>
        <v/>
      </c>
      <c r="F74" s="125" t="str">
        <f>IF(G74="","",VLOOKUP(G74,プルダウン用リスト!$K$1:$M$16,2,FALSE))</f>
        <v/>
      </c>
      <c r="G74" s="67"/>
      <c r="H74" s="55"/>
      <c r="I74" s="67"/>
      <c r="J74" s="134"/>
      <c r="K74" s="68"/>
      <c r="L74" s="69"/>
      <c r="M74" s="69"/>
      <c r="N74" s="260" t="str">
        <f t="shared" si="8"/>
        <v/>
      </c>
      <c r="O74" s="256">
        <f t="shared" si="10"/>
        <v>0</v>
      </c>
      <c r="P74" s="257" t="str">
        <f t="shared" si="9"/>
        <v>×</v>
      </c>
      <c r="Q74" s="272" t="str">
        <f t="shared" si="11"/>
        <v/>
      </c>
    </row>
    <row r="75" spans="2:17">
      <c r="B75" s="65"/>
      <c r="C75" s="54"/>
      <c r="D75" s="261" t="str">
        <f t="shared" si="7"/>
        <v/>
      </c>
      <c r="E75" s="262" t="str">
        <f t="shared" si="6"/>
        <v/>
      </c>
      <c r="F75" s="125" t="str">
        <f>IF(G75="","",VLOOKUP(G75,プルダウン用リスト!$K$1:$M$16,2,FALSE))</f>
        <v/>
      </c>
      <c r="G75" s="67"/>
      <c r="H75" s="67"/>
      <c r="I75" s="67"/>
      <c r="J75" s="134"/>
      <c r="K75" s="68"/>
      <c r="L75" s="69"/>
      <c r="M75" s="69"/>
      <c r="N75" s="260" t="str">
        <f t="shared" si="8"/>
        <v/>
      </c>
      <c r="O75" s="256">
        <f t="shared" si="10"/>
        <v>0</v>
      </c>
      <c r="P75" s="257" t="str">
        <f t="shared" si="9"/>
        <v>×</v>
      </c>
      <c r="Q75" s="272" t="str">
        <f t="shared" si="11"/>
        <v/>
      </c>
    </row>
    <row r="76" spans="2:17">
      <c r="B76" s="65"/>
      <c r="C76" s="54"/>
      <c r="D76" s="261" t="str">
        <f t="shared" si="7"/>
        <v/>
      </c>
      <c r="E76" s="262" t="str">
        <f t="shared" si="6"/>
        <v/>
      </c>
      <c r="F76" s="125" t="str">
        <f>IF(G76="","",VLOOKUP(G76,プルダウン用リスト!$K$1:$M$16,2,FALSE))</f>
        <v/>
      </c>
      <c r="G76" s="67"/>
      <c r="H76" s="55"/>
      <c r="I76" s="67"/>
      <c r="J76" s="134"/>
      <c r="K76" s="68"/>
      <c r="L76" s="69"/>
      <c r="M76" s="69"/>
      <c r="N76" s="260" t="str">
        <f t="shared" si="8"/>
        <v/>
      </c>
      <c r="O76" s="256">
        <f t="shared" si="10"/>
        <v>0</v>
      </c>
      <c r="P76" s="257" t="str">
        <f t="shared" si="9"/>
        <v>×</v>
      </c>
      <c r="Q76" s="272" t="str">
        <f t="shared" si="11"/>
        <v/>
      </c>
    </row>
    <row r="77" spans="2:17">
      <c r="B77" s="65"/>
      <c r="C77" s="54"/>
      <c r="D77" s="261" t="str">
        <f t="shared" si="7"/>
        <v/>
      </c>
      <c r="E77" s="262" t="str">
        <f t="shared" si="6"/>
        <v/>
      </c>
      <c r="F77" s="125" t="str">
        <f>IF(G77="","",VLOOKUP(G77,プルダウン用リスト!$K$1:$M$16,2,FALSE))</f>
        <v/>
      </c>
      <c r="G77" s="67"/>
      <c r="H77" s="55"/>
      <c r="I77" s="67"/>
      <c r="J77" s="134"/>
      <c r="K77" s="68"/>
      <c r="L77" s="69"/>
      <c r="M77" s="69"/>
      <c r="N77" s="260" t="str">
        <f t="shared" si="8"/>
        <v/>
      </c>
      <c r="O77" s="256">
        <f t="shared" si="10"/>
        <v>0</v>
      </c>
      <c r="P77" s="257" t="str">
        <f t="shared" si="9"/>
        <v>×</v>
      </c>
      <c r="Q77" s="272" t="str">
        <f t="shared" si="11"/>
        <v/>
      </c>
    </row>
    <row r="78" spans="2:17">
      <c r="B78" s="65"/>
      <c r="C78" s="66"/>
      <c r="D78" s="261" t="str">
        <f t="shared" si="7"/>
        <v/>
      </c>
      <c r="E78" s="262" t="str">
        <f t="shared" si="6"/>
        <v/>
      </c>
      <c r="F78" s="125" t="str">
        <f>IF(G78="","",VLOOKUP(G78,プルダウン用リスト!$K$1:$M$16,2,FALSE))</f>
        <v/>
      </c>
      <c r="G78" s="67"/>
      <c r="H78" s="67"/>
      <c r="I78" s="67"/>
      <c r="J78" s="134"/>
      <c r="K78" s="68"/>
      <c r="L78" s="69"/>
      <c r="M78" s="69"/>
      <c r="N78" s="260" t="str">
        <f t="shared" si="8"/>
        <v/>
      </c>
      <c r="O78" s="256">
        <f t="shared" si="10"/>
        <v>0</v>
      </c>
      <c r="P78" s="257" t="str">
        <f t="shared" si="9"/>
        <v>×</v>
      </c>
      <c r="Q78" s="272" t="str">
        <f t="shared" si="11"/>
        <v/>
      </c>
    </row>
    <row r="79" spans="2:17">
      <c r="B79" s="65"/>
      <c r="C79" s="54"/>
      <c r="D79" s="261" t="str">
        <f t="shared" si="7"/>
        <v/>
      </c>
      <c r="E79" s="262" t="str">
        <f t="shared" si="6"/>
        <v/>
      </c>
      <c r="F79" s="125" t="str">
        <f>IF(G79="","",VLOOKUP(G79,プルダウン用リスト!$K$1:$M$16,2,FALSE))</f>
        <v/>
      </c>
      <c r="G79" s="67"/>
      <c r="H79" s="55"/>
      <c r="I79" s="67"/>
      <c r="J79" s="134"/>
      <c r="K79" s="68"/>
      <c r="L79" s="69"/>
      <c r="M79" s="69"/>
      <c r="N79" s="260" t="str">
        <f t="shared" si="8"/>
        <v/>
      </c>
      <c r="O79" s="256">
        <f t="shared" si="10"/>
        <v>0</v>
      </c>
      <c r="P79" s="257" t="str">
        <f t="shared" si="9"/>
        <v>×</v>
      </c>
      <c r="Q79" s="272" t="str">
        <f t="shared" si="11"/>
        <v/>
      </c>
    </row>
    <row r="80" spans="2:17">
      <c r="B80" s="65"/>
      <c r="C80" s="54"/>
      <c r="D80" s="261" t="str">
        <f t="shared" si="7"/>
        <v/>
      </c>
      <c r="E80" s="262" t="str">
        <f t="shared" si="6"/>
        <v/>
      </c>
      <c r="F80" s="125" t="str">
        <f>IF(G80="","",VLOOKUP(G80,プルダウン用リスト!$K$1:$M$16,2,FALSE))</f>
        <v/>
      </c>
      <c r="G80" s="67"/>
      <c r="H80" s="55"/>
      <c r="I80" s="67"/>
      <c r="J80" s="134"/>
      <c r="K80" s="68"/>
      <c r="L80" s="69"/>
      <c r="M80" s="69"/>
      <c r="N80" s="260" t="str">
        <f t="shared" si="8"/>
        <v/>
      </c>
      <c r="O80" s="256">
        <f t="shared" si="10"/>
        <v>0</v>
      </c>
      <c r="P80" s="257" t="str">
        <f t="shared" si="9"/>
        <v>×</v>
      </c>
      <c r="Q80" s="272" t="str">
        <f t="shared" si="11"/>
        <v/>
      </c>
    </row>
    <row r="81" spans="2:17">
      <c r="B81" s="65"/>
      <c r="C81" s="54"/>
      <c r="D81" s="261" t="str">
        <f t="shared" si="7"/>
        <v/>
      </c>
      <c r="E81" s="262" t="str">
        <f t="shared" si="6"/>
        <v/>
      </c>
      <c r="F81" s="125" t="str">
        <f>IF(G81="","",VLOOKUP(G81,プルダウン用リスト!$K$1:$M$16,2,FALSE))</f>
        <v/>
      </c>
      <c r="G81" s="67"/>
      <c r="H81" s="67"/>
      <c r="I81" s="67"/>
      <c r="J81" s="134"/>
      <c r="K81" s="68"/>
      <c r="L81" s="69"/>
      <c r="M81" s="69"/>
      <c r="N81" s="260" t="str">
        <f t="shared" si="8"/>
        <v/>
      </c>
      <c r="O81" s="256">
        <f t="shared" si="10"/>
        <v>0</v>
      </c>
      <c r="P81" s="257" t="str">
        <f t="shared" si="9"/>
        <v>×</v>
      </c>
      <c r="Q81" s="272" t="str">
        <f t="shared" si="11"/>
        <v/>
      </c>
    </row>
    <row r="82" spans="2:17">
      <c r="B82" s="65"/>
      <c r="C82" s="54"/>
      <c r="D82" s="261" t="str">
        <f t="shared" si="7"/>
        <v/>
      </c>
      <c r="E82" s="262" t="str">
        <f t="shared" si="6"/>
        <v/>
      </c>
      <c r="F82" s="125" t="str">
        <f>IF(G82="","",VLOOKUP(G82,プルダウン用リスト!$K$1:$M$16,2,FALSE))</f>
        <v/>
      </c>
      <c r="G82" s="67"/>
      <c r="H82" s="55"/>
      <c r="I82" s="67"/>
      <c r="J82" s="134"/>
      <c r="K82" s="68"/>
      <c r="L82" s="69"/>
      <c r="M82" s="69"/>
      <c r="N82" s="260" t="str">
        <f t="shared" si="8"/>
        <v/>
      </c>
      <c r="O82" s="256">
        <f t="shared" si="10"/>
        <v>0</v>
      </c>
      <c r="P82" s="257" t="str">
        <f t="shared" si="9"/>
        <v>×</v>
      </c>
      <c r="Q82" s="272" t="str">
        <f t="shared" si="11"/>
        <v/>
      </c>
    </row>
    <row r="83" spans="2:17">
      <c r="B83" s="65"/>
      <c r="C83" s="54"/>
      <c r="D83" s="261" t="str">
        <f t="shared" si="7"/>
        <v/>
      </c>
      <c r="E83" s="262" t="str">
        <f t="shared" si="6"/>
        <v/>
      </c>
      <c r="F83" s="125" t="str">
        <f>IF(G83="","",VLOOKUP(G83,プルダウン用リスト!$K$1:$M$16,2,FALSE))</f>
        <v/>
      </c>
      <c r="G83" s="67"/>
      <c r="H83" s="55"/>
      <c r="I83" s="67"/>
      <c r="J83" s="134"/>
      <c r="K83" s="68"/>
      <c r="L83" s="69"/>
      <c r="M83" s="69"/>
      <c r="N83" s="260" t="str">
        <f t="shared" si="8"/>
        <v/>
      </c>
      <c r="O83" s="256">
        <f t="shared" si="10"/>
        <v>0</v>
      </c>
      <c r="P83" s="257" t="str">
        <f t="shared" si="9"/>
        <v>×</v>
      </c>
      <c r="Q83" s="272" t="str">
        <f t="shared" si="11"/>
        <v/>
      </c>
    </row>
    <row r="84" spans="2:17">
      <c r="B84" s="65"/>
      <c r="C84" s="54"/>
      <c r="D84" s="261" t="str">
        <f t="shared" si="7"/>
        <v/>
      </c>
      <c r="E84" s="262" t="str">
        <f t="shared" si="6"/>
        <v/>
      </c>
      <c r="F84" s="125" t="str">
        <f>IF(G84="","",VLOOKUP(G84,プルダウン用リスト!$K$1:$M$16,2,FALSE))</f>
        <v/>
      </c>
      <c r="G84" s="67"/>
      <c r="H84" s="67"/>
      <c r="I84" s="67"/>
      <c r="J84" s="134"/>
      <c r="K84" s="68"/>
      <c r="L84" s="69"/>
      <c r="M84" s="69"/>
      <c r="N84" s="260" t="str">
        <f t="shared" si="8"/>
        <v/>
      </c>
      <c r="O84" s="256">
        <f t="shared" si="10"/>
        <v>0</v>
      </c>
      <c r="P84" s="257" t="str">
        <f t="shared" si="9"/>
        <v>×</v>
      </c>
      <c r="Q84" s="272" t="str">
        <f t="shared" si="11"/>
        <v/>
      </c>
    </row>
    <row r="85" spans="2:17">
      <c r="B85" s="65"/>
      <c r="C85" s="54"/>
      <c r="D85" s="261" t="str">
        <f t="shared" si="7"/>
        <v/>
      </c>
      <c r="E85" s="262" t="str">
        <f t="shared" si="6"/>
        <v/>
      </c>
      <c r="F85" s="125" t="str">
        <f>IF(G85="","",VLOOKUP(G85,プルダウン用リスト!$K$1:$M$16,2,FALSE))</f>
        <v/>
      </c>
      <c r="G85" s="67"/>
      <c r="H85" s="55"/>
      <c r="I85" s="67"/>
      <c r="J85" s="134"/>
      <c r="K85" s="68"/>
      <c r="L85" s="69"/>
      <c r="M85" s="69"/>
      <c r="N85" s="260" t="str">
        <f t="shared" si="8"/>
        <v/>
      </c>
      <c r="O85" s="256">
        <f t="shared" si="10"/>
        <v>0</v>
      </c>
      <c r="P85" s="257" t="str">
        <f t="shared" si="9"/>
        <v>×</v>
      </c>
      <c r="Q85" s="272" t="str">
        <f t="shared" si="11"/>
        <v/>
      </c>
    </row>
    <row r="86" spans="2:17">
      <c r="B86" s="65"/>
      <c r="C86" s="54"/>
      <c r="D86" s="261" t="str">
        <f t="shared" si="7"/>
        <v/>
      </c>
      <c r="E86" s="262" t="str">
        <f t="shared" si="6"/>
        <v/>
      </c>
      <c r="F86" s="125" t="str">
        <f>IF(G86="","",VLOOKUP(G86,プルダウン用リスト!$K$1:$M$16,2,FALSE))</f>
        <v/>
      </c>
      <c r="G86" s="67"/>
      <c r="H86" s="55"/>
      <c r="I86" s="67"/>
      <c r="J86" s="134"/>
      <c r="K86" s="68"/>
      <c r="L86" s="69"/>
      <c r="M86" s="69"/>
      <c r="N86" s="260" t="str">
        <f t="shared" si="8"/>
        <v/>
      </c>
      <c r="O86" s="256">
        <f t="shared" si="10"/>
        <v>0</v>
      </c>
      <c r="P86" s="257" t="str">
        <f t="shared" si="9"/>
        <v>×</v>
      </c>
      <c r="Q86" s="272" t="str">
        <f t="shared" si="11"/>
        <v/>
      </c>
    </row>
    <row r="87" spans="2:17">
      <c r="B87" s="65"/>
      <c r="C87" s="54"/>
      <c r="D87" s="261" t="str">
        <f t="shared" si="7"/>
        <v/>
      </c>
      <c r="E87" s="262" t="str">
        <f t="shared" ref="E87:E150" si="12">IF(G87="","",IF(OR(G87="1.謝金（内部）",G87="1.謝金（外部）"),"謝金",IF(G87="2.旅費","旅費",IF(G87="16.対象外経費","その他","所費"))))</f>
        <v/>
      </c>
      <c r="F87" s="125" t="str">
        <f>IF(G87="","",VLOOKUP(G87,プルダウン用リスト!$K$1:$M$16,2,FALSE))</f>
        <v/>
      </c>
      <c r="G87" s="67"/>
      <c r="H87" s="67"/>
      <c r="I87" s="67"/>
      <c r="J87" s="134"/>
      <c r="K87" s="68"/>
      <c r="L87" s="69"/>
      <c r="M87" s="69"/>
      <c r="N87" s="260" t="str">
        <f t="shared" si="8"/>
        <v/>
      </c>
      <c r="O87" s="256">
        <f t="shared" si="10"/>
        <v>0</v>
      </c>
      <c r="P87" s="257" t="str">
        <f t="shared" si="9"/>
        <v>×</v>
      </c>
      <c r="Q87" s="272" t="str">
        <f t="shared" si="11"/>
        <v/>
      </c>
    </row>
    <row r="88" spans="2:17">
      <c r="B88" s="65"/>
      <c r="C88" s="54"/>
      <c r="D88" s="261" t="str">
        <f t="shared" si="7"/>
        <v/>
      </c>
      <c r="E88" s="262" t="str">
        <f t="shared" si="12"/>
        <v/>
      </c>
      <c r="F88" s="125" t="str">
        <f>IF(G88="","",VLOOKUP(G88,プルダウン用リスト!$K$1:$M$16,2,FALSE))</f>
        <v/>
      </c>
      <c r="G88" s="67"/>
      <c r="H88" s="55"/>
      <c r="I88" s="67"/>
      <c r="J88" s="134"/>
      <c r="K88" s="68"/>
      <c r="L88" s="69"/>
      <c r="M88" s="69"/>
      <c r="N88" s="260" t="str">
        <f t="shared" si="8"/>
        <v/>
      </c>
      <c r="O88" s="256">
        <f t="shared" si="10"/>
        <v>0</v>
      </c>
      <c r="P88" s="257" t="str">
        <f t="shared" si="9"/>
        <v>×</v>
      </c>
      <c r="Q88" s="272" t="str">
        <f t="shared" si="11"/>
        <v/>
      </c>
    </row>
    <row r="89" spans="2:17">
      <c r="B89" s="65"/>
      <c r="C89" s="54"/>
      <c r="D89" s="261" t="str">
        <f t="shared" si="7"/>
        <v/>
      </c>
      <c r="E89" s="262" t="str">
        <f t="shared" si="12"/>
        <v/>
      </c>
      <c r="F89" s="125" t="str">
        <f>IF(G89="","",VLOOKUP(G89,プルダウン用リスト!$K$1:$M$16,2,FALSE))</f>
        <v/>
      </c>
      <c r="G89" s="67"/>
      <c r="H89" s="55"/>
      <c r="I89" s="67"/>
      <c r="J89" s="134"/>
      <c r="K89" s="68"/>
      <c r="L89" s="69"/>
      <c r="M89" s="69"/>
      <c r="N89" s="260" t="str">
        <f t="shared" si="8"/>
        <v/>
      </c>
      <c r="O89" s="256">
        <f t="shared" si="10"/>
        <v>0</v>
      </c>
      <c r="P89" s="257" t="str">
        <f t="shared" si="9"/>
        <v>×</v>
      </c>
      <c r="Q89" s="272" t="str">
        <f t="shared" si="11"/>
        <v/>
      </c>
    </row>
    <row r="90" spans="2:17">
      <c r="B90" s="65"/>
      <c r="C90" s="66"/>
      <c r="D90" s="261" t="str">
        <f t="shared" si="7"/>
        <v/>
      </c>
      <c r="E90" s="262" t="str">
        <f t="shared" si="12"/>
        <v/>
      </c>
      <c r="F90" s="125" t="str">
        <f>IF(G90="","",VLOOKUP(G90,プルダウン用リスト!$K$1:$M$16,2,FALSE))</f>
        <v/>
      </c>
      <c r="G90" s="67"/>
      <c r="H90" s="67"/>
      <c r="I90" s="67"/>
      <c r="J90" s="134"/>
      <c r="K90" s="68"/>
      <c r="L90" s="69"/>
      <c r="M90" s="69"/>
      <c r="N90" s="260" t="str">
        <f t="shared" si="8"/>
        <v/>
      </c>
      <c r="O90" s="256">
        <f t="shared" si="10"/>
        <v>0</v>
      </c>
      <c r="P90" s="257" t="str">
        <f t="shared" si="9"/>
        <v>×</v>
      </c>
      <c r="Q90" s="272" t="str">
        <f t="shared" si="11"/>
        <v/>
      </c>
    </row>
    <row r="91" spans="2:17">
      <c r="B91" s="65"/>
      <c r="C91" s="54"/>
      <c r="D91" s="261" t="str">
        <f t="shared" si="7"/>
        <v/>
      </c>
      <c r="E91" s="262" t="str">
        <f t="shared" si="12"/>
        <v/>
      </c>
      <c r="F91" s="125" t="str">
        <f>IF(G91="","",VLOOKUP(G91,プルダウン用リスト!$K$1:$M$16,2,FALSE))</f>
        <v/>
      </c>
      <c r="G91" s="67"/>
      <c r="H91" s="55"/>
      <c r="I91" s="67"/>
      <c r="J91" s="134"/>
      <c r="K91" s="68"/>
      <c r="L91" s="69"/>
      <c r="M91" s="69"/>
      <c r="N91" s="260" t="str">
        <f t="shared" si="8"/>
        <v/>
      </c>
      <c r="O91" s="256">
        <f t="shared" si="10"/>
        <v>0</v>
      </c>
      <c r="P91" s="257" t="str">
        <f t="shared" si="9"/>
        <v>×</v>
      </c>
      <c r="Q91" s="272" t="str">
        <f t="shared" si="11"/>
        <v/>
      </c>
    </row>
    <row r="92" spans="2:17">
      <c r="B92" s="65"/>
      <c r="C92" s="54"/>
      <c r="D92" s="261" t="str">
        <f t="shared" si="7"/>
        <v/>
      </c>
      <c r="E92" s="262" t="str">
        <f t="shared" si="12"/>
        <v/>
      </c>
      <c r="F92" s="125" t="str">
        <f>IF(G92="","",VLOOKUP(G92,プルダウン用リスト!$K$1:$M$16,2,FALSE))</f>
        <v/>
      </c>
      <c r="G92" s="67"/>
      <c r="H92" s="55"/>
      <c r="I92" s="67"/>
      <c r="J92" s="134"/>
      <c r="K92" s="68"/>
      <c r="L92" s="69"/>
      <c r="M92" s="69"/>
      <c r="N92" s="260" t="str">
        <f t="shared" si="8"/>
        <v/>
      </c>
      <c r="O92" s="256">
        <f t="shared" si="10"/>
        <v>0</v>
      </c>
      <c r="P92" s="257" t="str">
        <f t="shared" si="9"/>
        <v>×</v>
      </c>
      <c r="Q92" s="272" t="str">
        <f t="shared" si="11"/>
        <v/>
      </c>
    </row>
    <row r="93" spans="2:17">
      <c r="B93" s="65"/>
      <c r="C93" s="54"/>
      <c r="D93" s="261" t="str">
        <f t="shared" si="7"/>
        <v/>
      </c>
      <c r="E93" s="262" t="str">
        <f t="shared" si="12"/>
        <v/>
      </c>
      <c r="F93" s="125" t="str">
        <f>IF(G93="","",VLOOKUP(G93,プルダウン用リスト!$K$1:$M$16,2,FALSE))</f>
        <v/>
      </c>
      <c r="G93" s="67"/>
      <c r="H93" s="67"/>
      <c r="I93" s="67"/>
      <c r="J93" s="134"/>
      <c r="K93" s="68"/>
      <c r="L93" s="69"/>
      <c r="M93" s="69"/>
      <c r="N93" s="260" t="str">
        <f t="shared" si="8"/>
        <v/>
      </c>
      <c r="O93" s="256">
        <f t="shared" si="10"/>
        <v>0</v>
      </c>
      <c r="P93" s="257" t="str">
        <f t="shared" si="9"/>
        <v>×</v>
      </c>
      <c r="Q93" s="272" t="str">
        <f t="shared" si="11"/>
        <v/>
      </c>
    </row>
    <row r="94" spans="2:17">
      <c r="B94" s="65"/>
      <c r="C94" s="54"/>
      <c r="D94" s="261" t="str">
        <f t="shared" si="7"/>
        <v/>
      </c>
      <c r="E94" s="262" t="str">
        <f t="shared" si="12"/>
        <v/>
      </c>
      <c r="F94" s="125" t="str">
        <f>IF(G94="","",VLOOKUP(G94,プルダウン用リスト!$K$1:$M$16,2,FALSE))</f>
        <v/>
      </c>
      <c r="G94" s="67"/>
      <c r="H94" s="55"/>
      <c r="I94" s="67"/>
      <c r="J94" s="134"/>
      <c r="K94" s="68"/>
      <c r="L94" s="69"/>
      <c r="M94" s="69"/>
      <c r="N94" s="260" t="str">
        <f t="shared" si="8"/>
        <v/>
      </c>
      <c r="O94" s="256">
        <f t="shared" si="10"/>
        <v>0</v>
      </c>
      <c r="P94" s="257" t="str">
        <f t="shared" si="9"/>
        <v>×</v>
      </c>
      <c r="Q94" s="272" t="str">
        <f t="shared" si="11"/>
        <v/>
      </c>
    </row>
    <row r="95" spans="2:17">
      <c r="B95" s="65"/>
      <c r="C95" s="54"/>
      <c r="D95" s="261" t="str">
        <f t="shared" si="7"/>
        <v/>
      </c>
      <c r="E95" s="262" t="str">
        <f t="shared" si="12"/>
        <v/>
      </c>
      <c r="F95" s="125" t="str">
        <f>IF(G95="","",VLOOKUP(G95,プルダウン用リスト!$K$1:$M$16,2,FALSE))</f>
        <v/>
      </c>
      <c r="G95" s="67"/>
      <c r="H95" s="55"/>
      <c r="I95" s="67"/>
      <c r="J95" s="134"/>
      <c r="K95" s="68"/>
      <c r="L95" s="69"/>
      <c r="M95" s="69"/>
      <c r="N95" s="260" t="str">
        <f t="shared" si="8"/>
        <v/>
      </c>
      <c r="O95" s="256">
        <f t="shared" si="10"/>
        <v>0</v>
      </c>
      <c r="P95" s="257" t="str">
        <f t="shared" si="9"/>
        <v>×</v>
      </c>
      <c r="Q95" s="272" t="str">
        <f t="shared" si="11"/>
        <v/>
      </c>
    </row>
    <row r="96" spans="2:17">
      <c r="B96" s="65"/>
      <c r="C96" s="54"/>
      <c r="D96" s="261" t="str">
        <f t="shared" si="7"/>
        <v/>
      </c>
      <c r="E96" s="262" t="str">
        <f t="shared" si="12"/>
        <v/>
      </c>
      <c r="F96" s="125" t="str">
        <f>IF(G96="","",VLOOKUP(G96,プルダウン用リスト!$K$1:$M$16,2,FALSE))</f>
        <v/>
      </c>
      <c r="G96" s="67"/>
      <c r="H96" s="67"/>
      <c r="I96" s="67"/>
      <c r="J96" s="134"/>
      <c r="K96" s="68"/>
      <c r="L96" s="69"/>
      <c r="M96" s="69"/>
      <c r="N96" s="260" t="str">
        <f t="shared" si="8"/>
        <v/>
      </c>
      <c r="O96" s="256">
        <f t="shared" si="10"/>
        <v>0</v>
      </c>
      <c r="P96" s="257" t="str">
        <f t="shared" si="9"/>
        <v>×</v>
      </c>
      <c r="Q96" s="272" t="str">
        <f t="shared" si="11"/>
        <v/>
      </c>
    </row>
    <row r="97" spans="2:17">
      <c r="B97" s="65"/>
      <c r="C97" s="54"/>
      <c r="D97" s="261" t="str">
        <f t="shared" si="7"/>
        <v/>
      </c>
      <c r="E97" s="262" t="str">
        <f t="shared" si="12"/>
        <v/>
      </c>
      <c r="F97" s="125" t="str">
        <f>IF(G97="","",VLOOKUP(G97,プルダウン用リスト!$K$1:$M$16,2,FALSE))</f>
        <v/>
      </c>
      <c r="G97" s="67"/>
      <c r="H97" s="55"/>
      <c r="I97" s="67"/>
      <c r="J97" s="134"/>
      <c r="K97" s="68"/>
      <c r="L97" s="69"/>
      <c r="M97" s="69"/>
      <c r="N97" s="260" t="str">
        <f t="shared" si="8"/>
        <v/>
      </c>
      <c r="O97" s="256">
        <f t="shared" si="10"/>
        <v>0</v>
      </c>
      <c r="P97" s="257" t="str">
        <f t="shared" si="9"/>
        <v>×</v>
      </c>
      <c r="Q97" s="272" t="str">
        <f t="shared" si="11"/>
        <v/>
      </c>
    </row>
    <row r="98" spans="2:17">
      <c r="B98" s="65"/>
      <c r="C98" s="54"/>
      <c r="D98" s="261" t="str">
        <f t="shared" si="7"/>
        <v/>
      </c>
      <c r="E98" s="262" t="str">
        <f t="shared" si="12"/>
        <v/>
      </c>
      <c r="F98" s="125" t="str">
        <f>IF(G98="","",VLOOKUP(G98,プルダウン用リスト!$K$1:$M$16,2,FALSE))</f>
        <v/>
      </c>
      <c r="G98" s="67"/>
      <c r="H98" s="55"/>
      <c r="I98" s="67"/>
      <c r="J98" s="134"/>
      <c r="K98" s="68"/>
      <c r="L98" s="69"/>
      <c r="M98" s="69"/>
      <c r="N98" s="260" t="str">
        <f t="shared" si="8"/>
        <v/>
      </c>
      <c r="O98" s="256">
        <f t="shared" si="10"/>
        <v>0</v>
      </c>
      <c r="P98" s="257" t="str">
        <f t="shared" si="9"/>
        <v>×</v>
      </c>
      <c r="Q98" s="272" t="str">
        <f t="shared" si="11"/>
        <v/>
      </c>
    </row>
    <row r="99" spans="2:17">
      <c r="B99" s="65"/>
      <c r="C99" s="54"/>
      <c r="D99" s="261" t="str">
        <f t="shared" si="7"/>
        <v/>
      </c>
      <c r="E99" s="262" t="str">
        <f t="shared" si="12"/>
        <v/>
      </c>
      <c r="F99" s="125" t="str">
        <f>IF(G99="","",VLOOKUP(G99,プルダウン用リスト!$K$1:$M$16,2,FALSE))</f>
        <v/>
      </c>
      <c r="G99" s="67"/>
      <c r="H99" s="67"/>
      <c r="I99" s="67"/>
      <c r="J99" s="134"/>
      <c r="K99" s="68"/>
      <c r="L99" s="69"/>
      <c r="M99" s="69"/>
      <c r="N99" s="260" t="str">
        <f t="shared" si="8"/>
        <v/>
      </c>
      <c r="O99" s="256">
        <f t="shared" si="10"/>
        <v>0</v>
      </c>
      <c r="P99" s="257" t="str">
        <f t="shared" si="9"/>
        <v>×</v>
      </c>
      <c r="Q99" s="272" t="str">
        <f t="shared" si="11"/>
        <v/>
      </c>
    </row>
    <row r="100" spans="2:17">
      <c r="B100" s="65"/>
      <c r="C100" s="54"/>
      <c r="D100" s="261" t="str">
        <f t="shared" si="7"/>
        <v/>
      </c>
      <c r="E100" s="262" t="str">
        <f t="shared" si="12"/>
        <v/>
      </c>
      <c r="F100" s="125" t="str">
        <f>IF(G100="","",VLOOKUP(G100,プルダウン用リスト!$K$1:$M$16,2,FALSE))</f>
        <v/>
      </c>
      <c r="G100" s="67"/>
      <c r="H100" s="55"/>
      <c r="I100" s="67"/>
      <c r="J100" s="134"/>
      <c r="K100" s="68"/>
      <c r="L100" s="69"/>
      <c r="M100" s="69"/>
      <c r="N100" s="260" t="str">
        <f t="shared" si="8"/>
        <v/>
      </c>
      <c r="O100" s="256">
        <f t="shared" si="10"/>
        <v>0</v>
      </c>
      <c r="P100" s="257" t="str">
        <f t="shared" si="9"/>
        <v>×</v>
      </c>
      <c r="Q100" s="272" t="str">
        <f t="shared" si="11"/>
        <v/>
      </c>
    </row>
    <row r="101" spans="2:17">
      <c r="B101" s="65"/>
      <c r="C101" s="54"/>
      <c r="D101" s="261" t="str">
        <f t="shared" si="7"/>
        <v/>
      </c>
      <c r="E101" s="262" t="str">
        <f t="shared" si="12"/>
        <v/>
      </c>
      <c r="F101" s="125" t="str">
        <f>IF(G101="","",VLOOKUP(G101,プルダウン用リスト!$K$1:$M$16,2,FALSE))</f>
        <v/>
      </c>
      <c r="G101" s="67"/>
      <c r="H101" s="55"/>
      <c r="I101" s="67"/>
      <c r="J101" s="134"/>
      <c r="K101" s="68"/>
      <c r="L101" s="69"/>
      <c r="M101" s="69"/>
      <c r="N101" s="260" t="str">
        <f t="shared" si="8"/>
        <v/>
      </c>
      <c r="O101" s="256">
        <f t="shared" si="10"/>
        <v>0</v>
      </c>
      <c r="P101" s="257" t="str">
        <f t="shared" si="9"/>
        <v>×</v>
      </c>
      <c r="Q101" s="272" t="str">
        <f t="shared" si="11"/>
        <v/>
      </c>
    </row>
    <row r="102" spans="2:17">
      <c r="B102" s="65"/>
      <c r="C102" s="66"/>
      <c r="D102" s="261" t="str">
        <f t="shared" si="7"/>
        <v/>
      </c>
      <c r="E102" s="262" t="str">
        <f t="shared" si="12"/>
        <v/>
      </c>
      <c r="F102" s="125" t="str">
        <f>IF(G102="","",VLOOKUP(G102,プルダウン用リスト!$K$1:$M$16,2,FALSE))</f>
        <v/>
      </c>
      <c r="G102" s="67"/>
      <c r="H102" s="67"/>
      <c r="I102" s="67"/>
      <c r="J102" s="134"/>
      <c r="K102" s="68"/>
      <c r="L102" s="69"/>
      <c r="M102" s="69"/>
      <c r="N102" s="260" t="str">
        <f t="shared" si="8"/>
        <v/>
      </c>
      <c r="O102" s="256">
        <f t="shared" si="10"/>
        <v>0</v>
      </c>
      <c r="P102" s="257" t="str">
        <f t="shared" si="9"/>
        <v>×</v>
      </c>
      <c r="Q102" s="272" t="str">
        <f t="shared" si="11"/>
        <v/>
      </c>
    </row>
    <row r="103" spans="2:17">
      <c r="B103" s="65"/>
      <c r="C103" s="54"/>
      <c r="D103" s="261" t="str">
        <f t="shared" si="7"/>
        <v/>
      </c>
      <c r="E103" s="262" t="str">
        <f t="shared" si="12"/>
        <v/>
      </c>
      <c r="F103" s="125" t="str">
        <f>IF(G103="","",VLOOKUP(G103,プルダウン用リスト!$K$1:$M$16,2,FALSE))</f>
        <v/>
      </c>
      <c r="G103" s="67"/>
      <c r="H103" s="55"/>
      <c r="I103" s="67"/>
      <c r="J103" s="134"/>
      <c r="K103" s="68"/>
      <c r="L103" s="69"/>
      <c r="M103" s="69"/>
      <c r="N103" s="260" t="str">
        <f t="shared" si="8"/>
        <v/>
      </c>
      <c r="O103" s="256">
        <f t="shared" si="10"/>
        <v>0</v>
      </c>
      <c r="P103" s="257" t="str">
        <f t="shared" si="9"/>
        <v>×</v>
      </c>
      <c r="Q103" s="272" t="str">
        <f t="shared" si="11"/>
        <v/>
      </c>
    </row>
    <row r="104" spans="2:17">
      <c r="B104" s="65"/>
      <c r="C104" s="54"/>
      <c r="D104" s="261" t="str">
        <f t="shared" si="7"/>
        <v/>
      </c>
      <c r="E104" s="262" t="str">
        <f t="shared" si="12"/>
        <v/>
      </c>
      <c r="F104" s="125" t="str">
        <f>IF(G104="","",VLOOKUP(G104,プルダウン用リスト!$K$1:$M$16,2,FALSE))</f>
        <v/>
      </c>
      <c r="G104" s="67"/>
      <c r="H104" s="55"/>
      <c r="I104" s="67"/>
      <c r="J104" s="134"/>
      <c r="K104" s="68"/>
      <c r="L104" s="69"/>
      <c r="M104" s="69"/>
      <c r="N104" s="260" t="str">
        <f t="shared" si="8"/>
        <v/>
      </c>
      <c r="O104" s="256">
        <f t="shared" si="10"/>
        <v>0</v>
      </c>
      <c r="P104" s="257" t="str">
        <f t="shared" si="9"/>
        <v>×</v>
      </c>
      <c r="Q104" s="272" t="str">
        <f t="shared" si="11"/>
        <v/>
      </c>
    </row>
    <row r="105" spans="2:17">
      <c r="B105" s="65"/>
      <c r="C105" s="54"/>
      <c r="D105" s="261" t="str">
        <f t="shared" si="7"/>
        <v/>
      </c>
      <c r="E105" s="262" t="str">
        <f t="shared" si="12"/>
        <v/>
      </c>
      <c r="F105" s="125" t="str">
        <f>IF(G105="","",VLOOKUP(G105,プルダウン用リスト!$K$1:$M$16,2,FALSE))</f>
        <v/>
      </c>
      <c r="G105" s="67"/>
      <c r="H105" s="67"/>
      <c r="I105" s="67"/>
      <c r="J105" s="134"/>
      <c r="K105" s="68"/>
      <c r="L105" s="69"/>
      <c r="M105" s="69"/>
      <c r="N105" s="260" t="str">
        <f t="shared" si="8"/>
        <v/>
      </c>
      <c r="O105" s="256">
        <f t="shared" si="10"/>
        <v>0</v>
      </c>
      <c r="P105" s="257" t="str">
        <f t="shared" si="9"/>
        <v>×</v>
      </c>
      <c r="Q105" s="272" t="str">
        <f t="shared" si="11"/>
        <v/>
      </c>
    </row>
    <row r="106" spans="2:17">
      <c r="B106" s="65"/>
      <c r="C106" s="54"/>
      <c r="D106" s="261" t="str">
        <f t="shared" si="7"/>
        <v/>
      </c>
      <c r="E106" s="262" t="str">
        <f t="shared" si="12"/>
        <v/>
      </c>
      <c r="F106" s="125" t="str">
        <f>IF(G106="","",VLOOKUP(G106,プルダウン用リスト!$K$1:$M$16,2,FALSE))</f>
        <v/>
      </c>
      <c r="G106" s="67"/>
      <c r="H106" s="55"/>
      <c r="I106" s="67"/>
      <c r="J106" s="134"/>
      <c r="K106" s="68"/>
      <c r="L106" s="69"/>
      <c r="M106" s="69"/>
      <c r="N106" s="260" t="str">
        <f t="shared" si="8"/>
        <v/>
      </c>
      <c r="O106" s="256">
        <f t="shared" si="10"/>
        <v>0</v>
      </c>
      <c r="P106" s="257" t="str">
        <f t="shared" si="9"/>
        <v>×</v>
      </c>
      <c r="Q106" s="272" t="str">
        <f t="shared" si="11"/>
        <v/>
      </c>
    </row>
    <row r="107" spans="2:17">
      <c r="B107" s="65"/>
      <c r="C107" s="54"/>
      <c r="D107" s="261" t="str">
        <f t="shared" si="7"/>
        <v/>
      </c>
      <c r="E107" s="262" t="str">
        <f t="shared" si="12"/>
        <v/>
      </c>
      <c r="F107" s="125" t="str">
        <f>IF(G107="","",VLOOKUP(G107,プルダウン用リスト!$K$1:$M$16,2,FALSE))</f>
        <v/>
      </c>
      <c r="G107" s="67"/>
      <c r="H107" s="55"/>
      <c r="I107" s="67"/>
      <c r="J107" s="134"/>
      <c r="K107" s="68"/>
      <c r="L107" s="69"/>
      <c r="M107" s="69"/>
      <c r="N107" s="260" t="str">
        <f t="shared" si="8"/>
        <v/>
      </c>
      <c r="O107" s="256">
        <f t="shared" si="10"/>
        <v>0</v>
      </c>
      <c r="P107" s="257" t="str">
        <f t="shared" si="9"/>
        <v>×</v>
      </c>
      <c r="Q107" s="272" t="str">
        <f t="shared" si="11"/>
        <v/>
      </c>
    </row>
    <row r="108" spans="2:17">
      <c r="B108" s="65"/>
      <c r="C108" s="54"/>
      <c r="D108" s="261" t="str">
        <f t="shared" si="7"/>
        <v/>
      </c>
      <c r="E108" s="262" t="str">
        <f t="shared" si="12"/>
        <v/>
      </c>
      <c r="F108" s="125" t="str">
        <f>IF(G108="","",VLOOKUP(G108,プルダウン用リスト!$K$1:$M$16,2,FALSE))</f>
        <v/>
      </c>
      <c r="G108" s="67"/>
      <c r="H108" s="67"/>
      <c r="I108" s="67"/>
      <c r="J108" s="134"/>
      <c r="K108" s="68"/>
      <c r="L108" s="69"/>
      <c r="M108" s="69"/>
      <c r="N108" s="260" t="str">
        <f t="shared" si="8"/>
        <v/>
      </c>
      <c r="O108" s="256">
        <f t="shared" si="10"/>
        <v>0</v>
      </c>
      <c r="P108" s="257" t="str">
        <f t="shared" si="9"/>
        <v>×</v>
      </c>
      <c r="Q108" s="272" t="str">
        <f t="shared" si="11"/>
        <v/>
      </c>
    </row>
    <row r="109" spans="2:17">
      <c r="B109" s="65"/>
      <c r="C109" s="54"/>
      <c r="D109" s="261" t="str">
        <f t="shared" si="7"/>
        <v/>
      </c>
      <c r="E109" s="262" t="str">
        <f t="shared" si="12"/>
        <v/>
      </c>
      <c r="F109" s="125" t="str">
        <f>IF(G109="","",VLOOKUP(G109,プルダウン用リスト!$K$1:$M$16,2,FALSE))</f>
        <v/>
      </c>
      <c r="G109" s="67"/>
      <c r="H109" s="55"/>
      <c r="I109" s="67"/>
      <c r="J109" s="134"/>
      <c r="K109" s="68"/>
      <c r="L109" s="69"/>
      <c r="M109" s="69"/>
      <c r="N109" s="260" t="str">
        <f t="shared" si="8"/>
        <v/>
      </c>
      <c r="O109" s="256">
        <f t="shared" si="10"/>
        <v>0</v>
      </c>
      <c r="P109" s="257" t="str">
        <f t="shared" si="9"/>
        <v>×</v>
      </c>
      <c r="Q109" s="272" t="str">
        <f t="shared" si="11"/>
        <v/>
      </c>
    </row>
    <row r="110" spans="2:17">
      <c r="B110" s="65"/>
      <c r="C110" s="54"/>
      <c r="D110" s="261" t="str">
        <f t="shared" si="7"/>
        <v/>
      </c>
      <c r="E110" s="262" t="str">
        <f t="shared" si="12"/>
        <v/>
      </c>
      <c r="F110" s="125" t="str">
        <f>IF(G110="","",VLOOKUP(G110,プルダウン用リスト!$K$1:$M$16,2,FALSE))</f>
        <v/>
      </c>
      <c r="G110" s="67"/>
      <c r="H110" s="55"/>
      <c r="I110" s="67"/>
      <c r="J110" s="134"/>
      <c r="K110" s="68"/>
      <c r="L110" s="69"/>
      <c r="M110" s="69"/>
      <c r="N110" s="260" t="str">
        <f t="shared" si="8"/>
        <v/>
      </c>
      <c r="O110" s="256">
        <f t="shared" si="10"/>
        <v>0</v>
      </c>
      <c r="P110" s="257" t="str">
        <f t="shared" si="9"/>
        <v>×</v>
      </c>
      <c r="Q110" s="272" t="str">
        <f t="shared" si="11"/>
        <v/>
      </c>
    </row>
    <row r="111" spans="2:17">
      <c r="B111" s="65"/>
      <c r="C111" s="54"/>
      <c r="D111" s="261" t="str">
        <f t="shared" si="7"/>
        <v/>
      </c>
      <c r="E111" s="262" t="str">
        <f t="shared" si="12"/>
        <v/>
      </c>
      <c r="F111" s="125" t="str">
        <f>IF(G111="","",VLOOKUP(G111,プルダウン用リスト!$K$1:$M$16,2,FALSE))</f>
        <v/>
      </c>
      <c r="G111" s="67"/>
      <c r="H111" s="67"/>
      <c r="I111" s="67"/>
      <c r="J111" s="134"/>
      <c r="K111" s="68"/>
      <c r="L111" s="69"/>
      <c r="M111" s="69"/>
      <c r="N111" s="260" t="str">
        <f t="shared" si="8"/>
        <v/>
      </c>
      <c r="O111" s="256">
        <f t="shared" si="10"/>
        <v>0</v>
      </c>
      <c r="P111" s="257" t="str">
        <f t="shared" si="9"/>
        <v>×</v>
      </c>
      <c r="Q111" s="272" t="str">
        <f t="shared" si="11"/>
        <v/>
      </c>
    </row>
    <row r="112" spans="2:17">
      <c r="B112" s="65"/>
      <c r="C112" s="54"/>
      <c r="D112" s="261" t="str">
        <f t="shared" si="7"/>
        <v/>
      </c>
      <c r="E112" s="262" t="str">
        <f t="shared" si="12"/>
        <v/>
      </c>
      <c r="F112" s="125" t="str">
        <f>IF(G112="","",VLOOKUP(G112,プルダウン用リスト!$K$1:$M$16,2,FALSE))</f>
        <v/>
      </c>
      <c r="G112" s="67"/>
      <c r="H112" s="55"/>
      <c r="I112" s="67"/>
      <c r="J112" s="134"/>
      <c r="K112" s="68"/>
      <c r="L112" s="69"/>
      <c r="M112" s="69"/>
      <c r="N112" s="260" t="str">
        <f t="shared" si="8"/>
        <v/>
      </c>
      <c r="O112" s="256">
        <f t="shared" si="10"/>
        <v>0</v>
      </c>
      <c r="P112" s="257" t="str">
        <f t="shared" si="9"/>
        <v>×</v>
      </c>
      <c r="Q112" s="272" t="str">
        <f t="shared" si="11"/>
        <v/>
      </c>
    </row>
    <row r="113" spans="2:17">
      <c r="B113" s="65"/>
      <c r="C113" s="54"/>
      <c r="D113" s="261" t="str">
        <f t="shared" si="7"/>
        <v/>
      </c>
      <c r="E113" s="262" t="str">
        <f t="shared" si="12"/>
        <v/>
      </c>
      <c r="F113" s="125" t="str">
        <f>IF(G113="","",VLOOKUP(G113,プルダウン用リスト!$K$1:$M$16,2,FALSE))</f>
        <v/>
      </c>
      <c r="G113" s="67"/>
      <c r="H113" s="55"/>
      <c r="I113" s="67"/>
      <c r="J113" s="134"/>
      <c r="K113" s="68"/>
      <c r="L113" s="69"/>
      <c r="M113" s="69"/>
      <c r="N113" s="260" t="str">
        <f t="shared" si="8"/>
        <v/>
      </c>
      <c r="O113" s="256">
        <f t="shared" si="10"/>
        <v>0</v>
      </c>
      <c r="P113" s="257" t="str">
        <f t="shared" si="9"/>
        <v>×</v>
      </c>
      <c r="Q113" s="272" t="str">
        <f t="shared" si="11"/>
        <v/>
      </c>
    </row>
    <row r="114" spans="2:17">
      <c r="B114" s="65"/>
      <c r="C114" s="66"/>
      <c r="D114" s="261" t="str">
        <f t="shared" si="7"/>
        <v/>
      </c>
      <c r="E114" s="262" t="str">
        <f t="shared" si="12"/>
        <v/>
      </c>
      <c r="F114" s="125" t="str">
        <f>IF(G114="","",VLOOKUP(G114,プルダウン用リスト!$K$1:$M$16,2,FALSE))</f>
        <v/>
      </c>
      <c r="G114" s="67"/>
      <c r="H114" s="67"/>
      <c r="I114" s="67"/>
      <c r="J114" s="134"/>
      <c r="K114" s="68"/>
      <c r="L114" s="69"/>
      <c r="M114" s="69"/>
      <c r="N114" s="260" t="str">
        <f t="shared" si="8"/>
        <v/>
      </c>
      <c r="O114" s="256">
        <f t="shared" si="10"/>
        <v>0</v>
      </c>
      <c r="P114" s="257" t="str">
        <f t="shared" si="9"/>
        <v>×</v>
      </c>
      <c r="Q114" s="272" t="str">
        <f t="shared" si="11"/>
        <v/>
      </c>
    </row>
    <row r="115" spans="2:17">
      <c r="B115" s="65"/>
      <c r="C115" s="54"/>
      <c r="D115" s="261" t="str">
        <f t="shared" si="7"/>
        <v/>
      </c>
      <c r="E115" s="262" t="str">
        <f t="shared" si="12"/>
        <v/>
      </c>
      <c r="F115" s="125" t="str">
        <f>IF(G115="","",VLOOKUP(G115,プルダウン用リスト!$K$1:$M$16,2,FALSE))</f>
        <v/>
      </c>
      <c r="G115" s="67"/>
      <c r="H115" s="55"/>
      <c r="I115" s="67"/>
      <c r="J115" s="134"/>
      <c r="K115" s="68"/>
      <c r="L115" s="69"/>
      <c r="M115" s="69"/>
      <c r="N115" s="260" t="str">
        <f t="shared" si="8"/>
        <v/>
      </c>
      <c r="O115" s="256">
        <f t="shared" si="10"/>
        <v>0</v>
      </c>
      <c r="P115" s="257" t="str">
        <f t="shared" si="9"/>
        <v>×</v>
      </c>
      <c r="Q115" s="272" t="str">
        <f t="shared" si="11"/>
        <v/>
      </c>
    </row>
    <row r="116" spans="2:17">
      <c r="B116" s="65"/>
      <c r="C116" s="54"/>
      <c r="D116" s="261" t="str">
        <f t="shared" si="7"/>
        <v/>
      </c>
      <c r="E116" s="262" t="str">
        <f t="shared" si="12"/>
        <v/>
      </c>
      <c r="F116" s="125" t="str">
        <f>IF(G116="","",VLOOKUP(G116,プルダウン用リスト!$K$1:$M$16,2,FALSE))</f>
        <v/>
      </c>
      <c r="G116" s="67"/>
      <c r="H116" s="55"/>
      <c r="I116" s="67"/>
      <c r="J116" s="134"/>
      <c r="K116" s="68"/>
      <c r="L116" s="69"/>
      <c r="M116" s="69"/>
      <c r="N116" s="260" t="str">
        <f t="shared" si="8"/>
        <v/>
      </c>
      <c r="O116" s="256">
        <f t="shared" si="10"/>
        <v>0</v>
      </c>
      <c r="P116" s="257" t="str">
        <f t="shared" si="9"/>
        <v>×</v>
      </c>
      <c r="Q116" s="272" t="str">
        <f t="shared" si="11"/>
        <v/>
      </c>
    </row>
    <row r="117" spans="2:17">
      <c r="B117" s="65"/>
      <c r="C117" s="54"/>
      <c r="D117" s="261" t="str">
        <f t="shared" si="7"/>
        <v/>
      </c>
      <c r="E117" s="262" t="str">
        <f t="shared" si="12"/>
        <v/>
      </c>
      <c r="F117" s="125" t="str">
        <f>IF(G117="","",VLOOKUP(G117,プルダウン用リスト!$K$1:$M$16,2,FALSE))</f>
        <v/>
      </c>
      <c r="G117" s="67"/>
      <c r="H117" s="67"/>
      <c r="I117" s="67"/>
      <c r="J117" s="134"/>
      <c r="K117" s="68"/>
      <c r="L117" s="69"/>
      <c r="M117" s="69"/>
      <c r="N117" s="260" t="str">
        <f t="shared" si="8"/>
        <v/>
      </c>
      <c r="O117" s="256">
        <f t="shared" si="10"/>
        <v>0</v>
      </c>
      <c r="P117" s="257" t="str">
        <f t="shared" si="9"/>
        <v>×</v>
      </c>
      <c r="Q117" s="272" t="str">
        <f t="shared" si="11"/>
        <v/>
      </c>
    </row>
    <row r="118" spans="2:17">
      <c r="B118" s="65"/>
      <c r="C118" s="54"/>
      <c r="D118" s="261" t="str">
        <f t="shared" si="7"/>
        <v/>
      </c>
      <c r="E118" s="262" t="str">
        <f t="shared" si="12"/>
        <v/>
      </c>
      <c r="F118" s="125" t="str">
        <f>IF(G118="","",VLOOKUP(G118,プルダウン用リスト!$K$1:$M$16,2,FALSE))</f>
        <v/>
      </c>
      <c r="G118" s="67"/>
      <c r="H118" s="55"/>
      <c r="I118" s="67"/>
      <c r="J118" s="134"/>
      <c r="K118" s="68"/>
      <c r="L118" s="69"/>
      <c r="M118" s="69"/>
      <c r="N118" s="260" t="str">
        <f t="shared" si="8"/>
        <v/>
      </c>
      <c r="O118" s="256">
        <f t="shared" si="10"/>
        <v>0</v>
      </c>
      <c r="P118" s="257" t="str">
        <f t="shared" si="9"/>
        <v>×</v>
      </c>
      <c r="Q118" s="272" t="str">
        <f t="shared" si="11"/>
        <v/>
      </c>
    </row>
    <row r="119" spans="2:17">
      <c r="B119" s="65"/>
      <c r="C119" s="54"/>
      <c r="D119" s="261" t="str">
        <f t="shared" si="7"/>
        <v/>
      </c>
      <c r="E119" s="262" t="str">
        <f t="shared" si="12"/>
        <v/>
      </c>
      <c r="F119" s="125" t="str">
        <f>IF(G119="","",VLOOKUP(G119,プルダウン用リスト!$K$1:$M$16,2,FALSE))</f>
        <v/>
      </c>
      <c r="G119" s="67"/>
      <c r="H119" s="55"/>
      <c r="I119" s="67"/>
      <c r="J119" s="134"/>
      <c r="K119" s="68"/>
      <c r="L119" s="69"/>
      <c r="M119" s="69"/>
      <c r="N119" s="260" t="str">
        <f t="shared" si="8"/>
        <v/>
      </c>
      <c r="O119" s="256">
        <f t="shared" si="10"/>
        <v>0</v>
      </c>
      <c r="P119" s="257" t="str">
        <f t="shared" si="9"/>
        <v>×</v>
      </c>
      <c r="Q119" s="272" t="str">
        <f t="shared" si="11"/>
        <v/>
      </c>
    </row>
    <row r="120" spans="2:17">
      <c r="B120" s="65"/>
      <c r="C120" s="54"/>
      <c r="D120" s="261" t="str">
        <f t="shared" si="7"/>
        <v/>
      </c>
      <c r="E120" s="262" t="str">
        <f t="shared" si="12"/>
        <v/>
      </c>
      <c r="F120" s="125" t="str">
        <f>IF(G120="","",VLOOKUP(G120,プルダウン用リスト!$K$1:$M$16,2,FALSE))</f>
        <v/>
      </c>
      <c r="G120" s="67"/>
      <c r="H120" s="67"/>
      <c r="I120" s="67"/>
      <c r="J120" s="134"/>
      <c r="K120" s="68"/>
      <c r="L120" s="69"/>
      <c r="M120" s="69"/>
      <c r="N120" s="260" t="str">
        <f t="shared" si="8"/>
        <v/>
      </c>
      <c r="O120" s="256">
        <f t="shared" si="10"/>
        <v>0</v>
      </c>
      <c r="P120" s="257" t="str">
        <f t="shared" si="9"/>
        <v>×</v>
      </c>
      <c r="Q120" s="272" t="str">
        <f t="shared" si="11"/>
        <v/>
      </c>
    </row>
    <row r="121" spans="2:17">
      <c r="B121" s="65"/>
      <c r="C121" s="54"/>
      <c r="D121" s="261" t="str">
        <f t="shared" si="7"/>
        <v/>
      </c>
      <c r="E121" s="262" t="str">
        <f t="shared" si="12"/>
        <v/>
      </c>
      <c r="F121" s="125" t="str">
        <f>IF(G121="","",VLOOKUP(G121,プルダウン用リスト!$K$1:$M$16,2,FALSE))</f>
        <v/>
      </c>
      <c r="G121" s="67"/>
      <c r="H121" s="55"/>
      <c r="I121" s="67"/>
      <c r="J121" s="134"/>
      <c r="K121" s="68"/>
      <c r="L121" s="69"/>
      <c r="M121" s="69"/>
      <c r="N121" s="260" t="str">
        <f t="shared" si="8"/>
        <v/>
      </c>
      <c r="O121" s="256">
        <f t="shared" si="10"/>
        <v>0</v>
      </c>
      <c r="P121" s="257" t="str">
        <f t="shared" si="9"/>
        <v>×</v>
      </c>
      <c r="Q121" s="272" t="str">
        <f t="shared" si="11"/>
        <v/>
      </c>
    </row>
    <row r="122" spans="2:17">
      <c r="B122" s="65"/>
      <c r="C122" s="54"/>
      <c r="D122" s="261" t="str">
        <f t="shared" si="7"/>
        <v/>
      </c>
      <c r="E122" s="262" t="str">
        <f t="shared" si="12"/>
        <v/>
      </c>
      <c r="F122" s="125" t="str">
        <f>IF(G122="","",VLOOKUP(G122,プルダウン用リスト!$K$1:$M$16,2,FALSE))</f>
        <v/>
      </c>
      <c r="G122" s="67"/>
      <c r="H122" s="55"/>
      <c r="I122" s="67"/>
      <c r="J122" s="134"/>
      <c r="K122" s="68"/>
      <c r="L122" s="69"/>
      <c r="M122" s="69"/>
      <c r="N122" s="260" t="str">
        <f t="shared" si="8"/>
        <v/>
      </c>
      <c r="O122" s="256">
        <f t="shared" si="10"/>
        <v>0</v>
      </c>
      <c r="P122" s="257" t="str">
        <f t="shared" si="9"/>
        <v>×</v>
      </c>
      <c r="Q122" s="272" t="str">
        <f t="shared" si="11"/>
        <v/>
      </c>
    </row>
    <row r="123" spans="2:17">
      <c r="B123" s="65"/>
      <c r="C123" s="54"/>
      <c r="D123" s="261" t="str">
        <f t="shared" si="7"/>
        <v/>
      </c>
      <c r="E123" s="262" t="str">
        <f t="shared" si="12"/>
        <v/>
      </c>
      <c r="F123" s="125" t="str">
        <f>IF(G123="","",VLOOKUP(G123,プルダウン用リスト!$K$1:$M$16,2,FALSE))</f>
        <v/>
      </c>
      <c r="G123" s="67"/>
      <c r="H123" s="67"/>
      <c r="I123" s="67"/>
      <c r="J123" s="134"/>
      <c r="K123" s="68"/>
      <c r="L123" s="69"/>
      <c r="M123" s="69"/>
      <c r="N123" s="260" t="str">
        <f t="shared" si="8"/>
        <v/>
      </c>
      <c r="O123" s="256">
        <f t="shared" si="10"/>
        <v>0</v>
      </c>
      <c r="P123" s="257" t="str">
        <f t="shared" si="9"/>
        <v>×</v>
      </c>
      <c r="Q123" s="272" t="str">
        <f t="shared" si="11"/>
        <v/>
      </c>
    </row>
    <row r="124" spans="2:17">
      <c r="B124" s="65"/>
      <c r="C124" s="54"/>
      <c r="D124" s="261" t="str">
        <f t="shared" si="7"/>
        <v/>
      </c>
      <c r="E124" s="262" t="str">
        <f t="shared" si="12"/>
        <v/>
      </c>
      <c r="F124" s="125" t="str">
        <f>IF(G124="","",VLOOKUP(G124,プルダウン用リスト!$K$1:$M$16,2,FALSE))</f>
        <v/>
      </c>
      <c r="G124" s="67"/>
      <c r="H124" s="55"/>
      <c r="I124" s="67"/>
      <c r="J124" s="134"/>
      <c r="K124" s="68"/>
      <c r="L124" s="69"/>
      <c r="M124" s="69"/>
      <c r="N124" s="260" t="str">
        <f t="shared" si="8"/>
        <v/>
      </c>
      <c r="O124" s="256">
        <f t="shared" si="10"/>
        <v>0</v>
      </c>
      <c r="P124" s="257" t="str">
        <f t="shared" si="9"/>
        <v>×</v>
      </c>
      <c r="Q124" s="272" t="str">
        <f t="shared" si="11"/>
        <v/>
      </c>
    </row>
    <row r="125" spans="2:17">
      <c r="B125" s="65"/>
      <c r="C125" s="54"/>
      <c r="D125" s="261" t="str">
        <f t="shared" si="7"/>
        <v/>
      </c>
      <c r="E125" s="262" t="str">
        <f t="shared" si="12"/>
        <v/>
      </c>
      <c r="F125" s="125" t="str">
        <f>IF(G125="","",VLOOKUP(G125,プルダウン用リスト!$K$1:$M$16,2,FALSE))</f>
        <v/>
      </c>
      <c r="G125" s="67"/>
      <c r="H125" s="55"/>
      <c r="I125" s="67"/>
      <c r="J125" s="134"/>
      <c r="K125" s="68"/>
      <c r="L125" s="69"/>
      <c r="M125" s="69"/>
      <c r="N125" s="260" t="str">
        <f t="shared" si="8"/>
        <v/>
      </c>
      <c r="O125" s="256">
        <f t="shared" si="10"/>
        <v>0</v>
      </c>
      <c r="P125" s="257" t="str">
        <f t="shared" si="9"/>
        <v>×</v>
      </c>
      <c r="Q125" s="272" t="str">
        <f t="shared" si="11"/>
        <v/>
      </c>
    </row>
    <row r="126" spans="2:17">
      <c r="B126" s="65"/>
      <c r="C126" s="66"/>
      <c r="D126" s="261" t="str">
        <f t="shared" si="7"/>
        <v/>
      </c>
      <c r="E126" s="262" t="str">
        <f t="shared" si="12"/>
        <v/>
      </c>
      <c r="F126" s="125" t="str">
        <f>IF(G126="","",VLOOKUP(G126,プルダウン用リスト!$K$1:$M$16,2,FALSE))</f>
        <v/>
      </c>
      <c r="G126" s="67"/>
      <c r="H126" s="67"/>
      <c r="I126" s="67"/>
      <c r="J126" s="134"/>
      <c r="K126" s="68"/>
      <c r="L126" s="69"/>
      <c r="M126" s="69"/>
      <c r="N126" s="260" t="str">
        <f t="shared" si="8"/>
        <v/>
      </c>
      <c r="O126" s="256">
        <f t="shared" si="10"/>
        <v>0</v>
      </c>
      <c r="P126" s="257" t="str">
        <f t="shared" si="9"/>
        <v>×</v>
      </c>
      <c r="Q126" s="272" t="str">
        <f t="shared" si="11"/>
        <v/>
      </c>
    </row>
    <row r="127" spans="2:17">
      <c r="B127" s="65"/>
      <c r="C127" s="54"/>
      <c r="D127" s="261" t="str">
        <f t="shared" si="7"/>
        <v/>
      </c>
      <c r="E127" s="262" t="str">
        <f t="shared" si="12"/>
        <v/>
      </c>
      <c r="F127" s="125" t="str">
        <f>IF(G127="","",VLOOKUP(G127,プルダウン用リスト!$K$1:$M$16,2,FALSE))</f>
        <v/>
      </c>
      <c r="G127" s="67"/>
      <c r="H127" s="55"/>
      <c r="I127" s="67"/>
      <c r="J127" s="134"/>
      <c r="K127" s="68"/>
      <c r="L127" s="69"/>
      <c r="M127" s="69"/>
      <c r="N127" s="260" t="str">
        <f t="shared" si="8"/>
        <v/>
      </c>
      <c r="O127" s="256">
        <f t="shared" si="10"/>
        <v>0</v>
      </c>
      <c r="P127" s="257" t="str">
        <f t="shared" si="9"/>
        <v>×</v>
      </c>
      <c r="Q127" s="272" t="str">
        <f t="shared" si="11"/>
        <v/>
      </c>
    </row>
    <row r="128" spans="2:17">
      <c r="B128" s="65"/>
      <c r="C128" s="54"/>
      <c r="D128" s="261" t="str">
        <f t="shared" si="7"/>
        <v/>
      </c>
      <c r="E128" s="262" t="str">
        <f t="shared" si="12"/>
        <v/>
      </c>
      <c r="F128" s="125" t="str">
        <f>IF(G128="","",VLOOKUP(G128,プルダウン用リスト!$K$1:$M$16,2,FALSE))</f>
        <v/>
      </c>
      <c r="G128" s="67"/>
      <c r="H128" s="55"/>
      <c r="I128" s="67"/>
      <c r="J128" s="134"/>
      <c r="K128" s="68"/>
      <c r="L128" s="69"/>
      <c r="M128" s="69"/>
      <c r="N128" s="260" t="str">
        <f t="shared" si="8"/>
        <v/>
      </c>
      <c r="O128" s="256">
        <f t="shared" si="10"/>
        <v>0</v>
      </c>
      <c r="P128" s="257" t="str">
        <f t="shared" si="9"/>
        <v>×</v>
      </c>
      <c r="Q128" s="272" t="str">
        <f t="shared" si="11"/>
        <v/>
      </c>
    </row>
    <row r="129" spans="2:17">
      <c r="B129" s="65"/>
      <c r="C129" s="54"/>
      <c r="D129" s="261" t="str">
        <f t="shared" si="7"/>
        <v/>
      </c>
      <c r="E129" s="262" t="str">
        <f t="shared" si="12"/>
        <v/>
      </c>
      <c r="F129" s="125" t="str">
        <f>IF(G129="","",VLOOKUP(G129,プルダウン用リスト!$K$1:$M$16,2,FALSE))</f>
        <v/>
      </c>
      <c r="G129" s="67"/>
      <c r="H129" s="67"/>
      <c r="I129" s="67"/>
      <c r="J129" s="134"/>
      <c r="K129" s="68"/>
      <c r="L129" s="69"/>
      <c r="M129" s="69"/>
      <c r="N129" s="260" t="str">
        <f t="shared" si="8"/>
        <v/>
      </c>
      <c r="O129" s="256">
        <f t="shared" si="10"/>
        <v>0</v>
      </c>
      <c r="P129" s="257" t="str">
        <f t="shared" si="9"/>
        <v>×</v>
      </c>
      <c r="Q129" s="272" t="str">
        <f t="shared" si="11"/>
        <v/>
      </c>
    </row>
    <row r="130" spans="2:17">
      <c r="B130" s="65"/>
      <c r="C130" s="54"/>
      <c r="D130" s="261" t="str">
        <f t="shared" si="7"/>
        <v/>
      </c>
      <c r="E130" s="262" t="str">
        <f t="shared" si="12"/>
        <v/>
      </c>
      <c r="F130" s="125" t="str">
        <f>IF(G130="","",VLOOKUP(G130,プルダウン用リスト!$K$1:$M$16,2,FALSE))</f>
        <v/>
      </c>
      <c r="G130" s="67"/>
      <c r="H130" s="55"/>
      <c r="I130" s="67"/>
      <c r="J130" s="134"/>
      <c r="K130" s="68"/>
      <c r="L130" s="69"/>
      <c r="M130" s="69"/>
      <c r="N130" s="260" t="str">
        <f t="shared" si="8"/>
        <v/>
      </c>
      <c r="O130" s="256">
        <f t="shared" si="10"/>
        <v>0</v>
      </c>
      <c r="P130" s="257" t="str">
        <f t="shared" si="9"/>
        <v>×</v>
      </c>
      <c r="Q130" s="272" t="str">
        <f t="shared" si="11"/>
        <v/>
      </c>
    </row>
    <row r="131" spans="2:17">
      <c r="B131" s="65"/>
      <c r="C131" s="54"/>
      <c r="D131" s="261" t="str">
        <f t="shared" si="7"/>
        <v/>
      </c>
      <c r="E131" s="262" t="str">
        <f t="shared" si="12"/>
        <v/>
      </c>
      <c r="F131" s="125" t="str">
        <f>IF(G131="","",VLOOKUP(G131,プルダウン用リスト!$K$1:$M$16,2,FALSE))</f>
        <v/>
      </c>
      <c r="G131" s="67"/>
      <c r="H131" s="55"/>
      <c r="I131" s="67"/>
      <c r="J131" s="134"/>
      <c r="K131" s="68"/>
      <c r="L131" s="69"/>
      <c r="M131" s="69"/>
      <c r="N131" s="260" t="str">
        <f t="shared" si="8"/>
        <v/>
      </c>
      <c r="O131" s="256">
        <f t="shared" si="10"/>
        <v>0</v>
      </c>
      <c r="P131" s="257" t="str">
        <f t="shared" si="9"/>
        <v>×</v>
      </c>
      <c r="Q131" s="272" t="str">
        <f t="shared" si="11"/>
        <v/>
      </c>
    </row>
    <row r="132" spans="2:17">
      <c r="B132" s="65"/>
      <c r="C132" s="54"/>
      <c r="D132" s="261" t="str">
        <f t="shared" si="7"/>
        <v/>
      </c>
      <c r="E132" s="262" t="str">
        <f t="shared" si="12"/>
        <v/>
      </c>
      <c r="F132" s="125" t="str">
        <f>IF(G132="","",VLOOKUP(G132,プルダウン用リスト!$K$1:$M$16,2,FALSE))</f>
        <v/>
      </c>
      <c r="G132" s="67"/>
      <c r="H132" s="67"/>
      <c r="I132" s="67"/>
      <c r="J132" s="134"/>
      <c r="K132" s="68"/>
      <c r="L132" s="69"/>
      <c r="M132" s="69"/>
      <c r="N132" s="260" t="str">
        <f t="shared" si="8"/>
        <v/>
      </c>
      <c r="O132" s="256">
        <f t="shared" si="10"/>
        <v>0</v>
      </c>
      <c r="P132" s="257" t="str">
        <f t="shared" si="9"/>
        <v>×</v>
      </c>
      <c r="Q132" s="272" t="str">
        <f t="shared" si="11"/>
        <v/>
      </c>
    </row>
    <row r="133" spans="2:17">
      <c r="B133" s="65"/>
      <c r="C133" s="54"/>
      <c r="D133" s="261" t="str">
        <f t="shared" si="7"/>
        <v/>
      </c>
      <c r="E133" s="262" t="str">
        <f t="shared" si="12"/>
        <v/>
      </c>
      <c r="F133" s="125" t="str">
        <f>IF(G133="","",VLOOKUP(G133,プルダウン用リスト!$K$1:$M$16,2,FALSE))</f>
        <v/>
      </c>
      <c r="G133" s="67"/>
      <c r="H133" s="55"/>
      <c r="I133" s="67"/>
      <c r="J133" s="134"/>
      <c r="K133" s="68"/>
      <c r="L133" s="69"/>
      <c r="M133" s="69"/>
      <c r="N133" s="260" t="str">
        <f t="shared" si="8"/>
        <v/>
      </c>
      <c r="O133" s="256">
        <f t="shared" si="10"/>
        <v>0</v>
      </c>
      <c r="P133" s="257" t="str">
        <f t="shared" si="9"/>
        <v>×</v>
      </c>
      <c r="Q133" s="272" t="str">
        <f t="shared" si="11"/>
        <v/>
      </c>
    </row>
    <row r="134" spans="2:17">
      <c r="B134" s="65"/>
      <c r="C134" s="54"/>
      <c r="D134" s="261" t="str">
        <f t="shared" si="7"/>
        <v/>
      </c>
      <c r="E134" s="262" t="str">
        <f t="shared" si="12"/>
        <v/>
      </c>
      <c r="F134" s="125" t="str">
        <f>IF(G134="","",VLOOKUP(G134,プルダウン用リスト!$K$1:$M$16,2,FALSE))</f>
        <v/>
      </c>
      <c r="G134" s="67"/>
      <c r="H134" s="55"/>
      <c r="I134" s="67"/>
      <c r="J134" s="134"/>
      <c r="K134" s="68"/>
      <c r="L134" s="69"/>
      <c r="M134" s="69"/>
      <c r="N134" s="260" t="str">
        <f t="shared" si="8"/>
        <v/>
      </c>
      <c r="O134" s="256">
        <f t="shared" si="10"/>
        <v>0</v>
      </c>
      <c r="P134" s="257" t="str">
        <f t="shared" si="9"/>
        <v>×</v>
      </c>
      <c r="Q134" s="272" t="str">
        <f t="shared" si="11"/>
        <v/>
      </c>
    </row>
    <row r="135" spans="2:17">
      <c r="B135" s="65"/>
      <c r="C135" s="54"/>
      <c r="D135" s="261" t="str">
        <f t="shared" ref="D135:D198" si="13">IF(E135="","",IF(E135="謝金","01.",IF(E135="旅費","02.",IF(E135="その他","04.","03."))))</f>
        <v/>
      </c>
      <c r="E135" s="262" t="str">
        <f t="shared" si="12"/>
        <v/>
      </c>
      <c r="F135" s="125" t="str">
        <f>IF(G135="","",VLOOKUP(G135,プルダウン用リスト!$K$1:$M$16,2,FALSE))</f>
        <v/>
      </c>
      <c r="G135" s="67"/>
      <c r="H135" s="67"/>
      <c r="I135" s="67"/>
      <c r="J135" s="134"/>
      <c r="K135" s="68"/>
      <c r="L135" s="69"/>
      <c r="M135" s="69"/>
      <c r="N135" s="260" t="str">
        <f t="shared" ref="N135:N198" si="14">IF(G135="16.対象外経費",L135,IF(M135="","",L135-M135))</f>
        <v/>
      </c>
      <c r="O135" s="256">
        <f t="shared" si="10"/>
        <v>0</v>
      </c>
      <c r="P135" s="257" t="str">
        <f t="shared" ref="P135:P198" si="15">IF(G135="2.旅費","〇","×")</f>
        <v>×</v>
      </c>
      <c r="Q135" s="272" t="str">
        <f t="shared" si="11"/>
        <v/>
      </c>
    </row>
    <row r="136" spans="2:17">
      <c r="B136" s="65"/>
      <c r="C136" s="54"/>
      <c r="D136" s="261" t="str">
        <f t="shared" si="13"/>
        <v/>
      </c>
      <c r="E136" s="262" t="str">
        <f t="shared" si="12"/>
        <v/>
      </c>
      <c r="F136" s="125" t="str">
        <f>IF(G136="","",VLOOKUP(G136,プルダウン用リスト!$K$1:$M$16,2,FALSE))</f>
        <v/>
      </c>
      <c r="G136" s="67"/>
      <c r="H136" s="55"/>
      <c r="I136" s="67"/>
      <c r="J136" s="134"/>
      <c r="K136" s="68"/>
      <c r="L136" s="69"/>
      <c r="M136" s="69"/>
      <c r="N136" s="260" t="str">
        <f t="shared" si="14"/>
        <v/>
      </c>
      <c r="O136" s="256">
        <f t="shared" ref="O136:O199" si="16">IF(L136&gt;0,COUNTA(B136,C136,G136,H136,I136,K136,,L136,J136),0)</f>
        <v>0</v>
      </c>
      <c r="P136" s="257" t="str">
        <f t="shared" si="15"/>
        <v>×</v>
      </c>
      <c r="Q136" s="272" t="str">
        <f t="shared" ref="Q136:Q199" si="17">_xlfn.IFS(O136=0,"",AND(G136="16.対象外経費",O136=7),"OK",O136&lt;=7,"ピンク色のセルを全て入力してください",O136=9,"OK",P136="〇","旅行区間および宿泊地を入力してください",O136=8,"OK")</f>
        <v/>
      </c>
    </row>
    <row r="137" spans="2:17">
      <c r="B137" s="65"/>
      <c r="C137" s="54"/>
      <c r="D137" s="261" t="str">
        <f t="shared" si="13"/>
        <v/>
      </c>
      <c r="E137" s="262" t="str">
        <f t="shared" si="12"/>
        <v/>
      </c>
      <c r="F137" s="125" t="str">
        <f>IF(G137="","",VLOOKUP(G137,プルダウン用リスト!$K$1:$M$16,2,FALSE))</f>
        <v/>
      </c>
      <c r="G137" s="67"/>
      <c r="H137" s="55"/>
      <c r="I137" s="67"/>
      <c r="J137" s="134"/>
      <c r="K137" s="68"/>
      <c r="L137" s="69"/>
      <c r="M137" s="69"/>
      <c r="N137" s="260" t="str">
        <f t="shared" si="14"/>
        <v/>
      </c>
      <c r="O137" s="256">
        <f t="shared" si="16"/>
        <v>0</v>
      </c>
      <c r="P137" s="257" t="str">
        <f t="shared" si="15"/>
        <v>×</v>
      </c>
      <c r="Q137" s="272" t="str">
        <f t="shared" si="17"/>
        <v/>
      </c>
    </row>
    <row r="138" spans="2:17">
      <c r="B138" s="65"/>
      <c r="C138" s="66"/>
      <c r="D138" s="261" t="str">
        <f t="shared" si="13"/>
        <v/>
      </c>
      <c r="E138" s="262" t="str">
        <f t="shared" si="12"/>
        <v/>
      </c>
      <c r="F138" s="125" t="str">
        <f>IF(G138="","",VLOOKUP(G138,プルダウン用リスト!$K$1:$M$16,2,FALSE))</f>
        <v/>
      </c>
      <c r="G138" s="67"/>
      <c r="H138" s="67"/>
      <c r="I138" s="67"/>
      <c r="J138" s="134"/>
      <c r="K138" s="68"/>
      <c r="L138" s="69"/>
      <c r="M138" s="69"/>
      <c r="N138" s="260" t="str">
        <f t="shared" si="14"/>
        <v/>
      </c>
      <c r="O138" s="256">
        <f t="shared" si="16"/>
        <v>0</v>
      </c>
      <c r="P138" s="257" t="str">
        <f t="shared" si="15"/>
        <v>×</v>
      </c>
      <c r="Q138" s="272" t="str">
        <f t="shared" si="17"/>
        <v/>
      </c>
    </row>
    <row r="139" spans="2:17">
      <c r="B139" s="65"/>
      <c r="C139" s="54"/>
      <c r="D139" s="261" t="str">
        <f t="shared" si="13"/>
        <v/>
      </c>
      <c r="E139" s="262" t="str">
        <f t="shared" si="12"/>
        <v/>
      </c>
      <c r="F139" s="125" t="str">
        <f>IF(G139="","",VLOOKUP(G139,プルダウン用リスト!$K$1:$M$16,2,FALSE))</f>
        <v/>
      </c>
      <c r="G139" s="67"/>
      <c r="H139" s="55"/>
      <c r="I139" s="67"/>
      <c r="J139" s="134"/>
      <c r="K139" s="68"/>
      <c r="L139" s="69"/>
      <c r="M139" s="69"/>
      <c r="N139" s="260" t="str">
        <f t="shared" si="14"/>
        <v/>
      </c>
      <c r="O139" s="256">
        <f t="shared" si="16"/>
        <v>0</v>
      </c>
      <c r="P139" s="257" t="str">
        <f t="shared" si="15"/>
        <v>×</v>
      </c>
      <c r="Q139" s="272" t="str">
        <f t="shared" si="17"/>
        <v/>
      </c>
    </row>
    <row r="140" spans="2:17">
      <c r="B140" s="65"/>
      <c r="C140" s="54"/>
      <c r="D140" s="261" t="str">
        <f t="shared" si="13"/>
        <v/>
      </c>
      <c r="E140" s="262" t="str">
        <f t="shared" si="12"/>
        <v/>
      </c>
      <c r="F140" s="125" t="str">
        <f>IF(G140="","",VLOOKUP(G140,プルダウン用リスト!$K$1:$M$16,2,FALSE))</f>
        <v/>
      </c>
      <c r="G140" s="67"/>
      <c r="H140" s="55"/>
      <c r="I140" s="67"/>
      <c r="J140" s="134"/>
      <c r="K140" s="68"/>
      <c r="L140" s="69"/>
      <c r="M140" s="69"/>
      <c r="N140" s="260" t="str">
        <f t="shared" si="14"/>
        <v/>
      </c>
      <c r="O140" s="256">
        <f t="shared" si="16"/>
        <v>0</v>
      </c>
      <c r="P140" s="257" t="str">
        <f t="shared" si="15"/>
        <v>×</v>
      </c>
      <c r="Q140" s="272" t="str">
        <f t="shared" si="17"/>
        <v/>
      </c>
    </row>
    <row r="141" spans="2:17">
      <c r="B141" s="65"/>
      <c r="C141" s="54"/>
      <c r="D141" s="261" t="str">
        <f t="shared" si="13"/>
        <v/>
      </c>
      <c r="E141" s="262" t="str">
        <f t="shared" si="12"/>
        <v/>
      </c>
      <c r="F141" s="125" t="str">
        <f>IF(G141="","",VLOOKUP(G141,プルダウン用リスト!$K$1:$M$16,2,FALSE))</f>
        <v/>
      </c>
      <c r="G141" s="67"/>
      <c r="H141" s="67"/>
      <c r="I141" s="67"/>
      <c r="J141" s="134"/>
      <c r="K141" s="68"/>
      <c r="L141" s="69"/>
      <c r="M141" s="69"/>
      <c r="N141" s="260" t="str">
        <f t="shared" si="14"/>
        <v/>
      </c>
      <c r="O141" s="256">
        <f t="shared" si="16"/>
        <v>0</v>
      </c>
      <c r="P141" s="257" t="str">
        <f t="shared" si="15"/>
        <v>×</v>
      </c>
      <c r="Q141" s="272" t="str">
        <f t="shared" si="17"/>
        <v/>
      </c>
    </row>
    <row r="142" spans="2:17">
      <c r="B142" s="65"/>
      <c r="C142" s="54"/>
      <c r="D142" s="261" t="str">
        <f t="shared" si="13"/>
        <v/>
      </c>
      <c r="E142" s="262" t="str">
        <f t="shared" si="12"/>
        <v/>
      </c>
      <c r="F142" s="125" t="str">
        <f>IF(G142="","",VLOOKUP(G142,プルダウン用リスト!$K$1:$M$16,2,FALSE))</f>
        <v/>
      </c>
      <c r="G142" s="67"/>
      <c r="H142" s="55"/>
      <c r="I142" s="67"/>
      <c r="J142" s="134"/>
      <c r="K142" s="68"/>
      <c r="L142" s="69"/>
      <c r="M142" s="69"/>
      <c r="N142" s="260" t="str">
        <f t="shared" si="14"/>
        <v/>
      </c>
      <c r="O142" s="256">
        <f t="shared" si="16"/>
        <v>0</v>
      </c>
      <c r="P142" s="257" t="str">
        <f t="shared" si="15"/>
        <v>×</v>
      </c>
      <c r="Q142" s="272" t="str">
        <f t="shared" si="17"/>
        <v/>
      </c>
    </row>
    <row r="143" spans="2:17">
      <c r="B143" s="65"/>
      <c r="C143" s="54"/>
      <c r="D143" s="261" t="str">
        <f t="shared" si="13"/>
        <v/>
      </c>
      <c r="E143" s="262" t="str">
        <f t="shared" si="12"/>
        <v/>
      </c>
      <c r="F143" s="125" t="str">
        <f>IF(G143="","",VLOOKUP(G143,プルダウン用リスト!$K$1:$M$16,2,FALSE))</f>
        <v/>
      </c>
      <c r="G143" s="67"/>
      <c r="H143" s="55"/>
      <c r="I143" s="67"/>
      <c r="J143" s="134"/>
      <c r="K143" s="68"/>
      <c r="L143" s="69"/>
      <c r="M143" s="69"/>
      <c r="N143" s="260" t="str">
        <f t="shared" si="14"/>
        <v/>
      </c>
      <c r="O143" s="256">
        <f t="shared" si="16"/>
        <v>0</v>
      </c>
      <c r="P143" s="257" t="str">
        <f t="shared" si="15"/>
        <v>×</v>
      </c>
      <c r="Q143" s="272" t="str">
        <f t="shared" si="17"/>
        <v/>
      </c>
    </row>
    <row r="144" spans="2:17">
      <c r="B144" s="65"/>
      <c r="C144" s="54"/>
      <c r="D144" s="261" t="str">
        <f t="shared" si="13"/>
        <v/>
      </c>
      <c r="E144" s="262" t="str">
        <f t="shared" si="12"/>
        <v/>
      </c>
      <c r="F144" s="125" t="str">
        <f>IF(G144="","",VLOOKUP(G144,プルダウン用リスト!$K$1:$M$16,2,FALSE))</f>
        <v/>
      </c>
      <c r="G144" s="67"/>
      <c r="H144" s="67"/>
      <c r="I144" s="67"/>
      <c r="J144" s="134"/>
      <c r="K144" s="68"/>
      <c r="L144" s="69"/>
      <c r="M144" s="69"/>
      <c r="N144" s="260" t="str">
        <f t="shared" si="14"/>
        <v/>
      </c>
      <c r="O144" s="256">
        <f t="shared" si="16"/>
        <v>0</v>
      </c>
      <c r="P144" s="257" t="str">
        <f t="shared" si="15"/>
        <v>×</v>
      </c>
      <c r="Q144" s="272" t="str">
        <f t="shared" si="17"/>
        <v/>
      </c>
    </row>
    <row r="145" spans="2:17">
      <c r="B145" s="65"/>
      <c r="C145" s="54"/>
      <c r="D145" s="261" t="str">
        <f t="shared" si="13"/>
        <v/>
      </c>
      <c r="E145" s="262" t="str">
        <f t="shared" si="12"/>
        <v/>
      </c>
      <c r="F145" s="125" t="str">
        <f>IF(G145="","",VLOOKUP(G145,プルダウン用リスト!$K$1:$M$16,2,FALSE))</f>
        <v/>
      </c>
      <c r="G145" s="67"/>
      <c r="H145" s="55"/>
      <c r="I145" s="67"/>
      <c r="J145" s="134"/>
      <c r="K145" s="68"/>
      <c r="L145" s="69"/>
      <c r="M145" s="69"/>
      <c r="N145" s="260" t="str">
        <f t="shared" si="14"/>
        <v/>
      </c>
      <c r="O145" s="256">
        <f t="shared" si="16"/>
        <v>0</v>
      </c>
      <c r="P145" s="257" t="str">
        <f t="shared" si="15"/>
        <v>×</v>
      </c>
      <c r="Q145" s="272" t="str">
        <f t="shared" si="17"/>
        <v/>
      </c>
    </row>
    <row r="146" spans="2:17">
      <c r="B146" s="65"/>
      <c r="C146" s="54"/>
      <c r="D146" s="261" t="str">
        <f t="shared" si="13"/>
        <v/>
      </c>
      <c r="E146" s="262" t="str">
        <f t="shared" si="12"/>
        <v/>
      </c>
      <c r="F146" s="125" t="str">
        <f>IF(G146="","",VLOOKUP(G146,プルダウン用リスト!$K$1:$M$16,2,FALSE))</f>
        <v/>
      </c>
      <c r="G146" s="67"/>
      <c r="H146" s="55"/>
      <c r="I146" s="67"/>
      <c r="J146" s="134"/>
      <c r="K146" s="68"/>
      <c r="L146" s="69"/>
      <c r="M146" s="69"/>
      <c r="N146" s="260" t="str">
        <f t="shared" si="14"/>
        <v/>
      </c>
      <c r="O146" s="256">
        <f t="shared" si="16"/>
        <v>0</v>
      </c>
      <c r="P146" s="257" t="str">
        <f t="shared" si="15"/>
        <v>×</v>
      </c>
      <c r="Q146" s="272" t="str">
        <f t="shared" si="17"/>
        <v/>
      </c>
    </row>
    <row r="147" spans="2:17">
      <c r="B147" s="65"/>
      <c r="C147" s="54"/>
      <c r="D147" s="261" t="str">
        <f t="shared" si="13"/>
        <v/>
      </c>
      <c r="E147" s="262" t="str">
        <f t="shared" si="12"/>
        <v/>
      </c>
      <c r="F147" s="125" t="str">
        <f>IF(G147="","",VLOOKUP(G147,プルダウン用リスト!$K$1:$M$16,2,FALSE))</f>
        <v/>
      </c>
      <c r="G147" s="67"/>
      <c r="H147" s="67"/>
      <c r="I147" s="67"/>
      <c r="J147" s="134"/>
      <c r="K147" s="68"/>
      <c r="L147" s="69"/>
      <c r="M147" s="69"/>
      <c r="N147" s="260" t="str">
        <f t="shared" si="14"/>
        <v/>
      </c>
      <c r="O147" s="256">
        <f t="shared" si="16"/>
        <v>0</v>
      </c>
      <c r="P147" s="257" t="str">
        <f t="shared" si="15"/>
        <v>×</v>
      </c>
      <c r="Q147" s="272" t="str">
        <f t="shared" si="17"/>
        <v/>
      </c>
    </row>
    <row r="148" spans="2:17">
      <c r="B148" s="65"/>
      <c r="C148" s="54"/>
      <c r="D148" s="261" t="str">
        <f t="shared" si="13"/>
        <v/>
      </c>
      <c r="E148" s="262" t="str">
        <f t="shared" si="12"/>
        <v/>
      </c>
      <c r="F148" s="125" t="str">
        <f>IF(G148="","",VLOOKUP(G148,プルダウン用リスト!$K$1:$M$16,2,FALSE))</f>
        <v/>
      </c>
      <c r="G148" s="67"/>
      <c r="H148" s="55"/>
      <c r="I148" s="67"/>
      <c r="J148" s="134"/>
      <c r="K148" s="68"/>
      <c r="L148" s="69"/>
      <c r="M148" s="69"/>
      <c r="N148" s="260" t="str">
        <f t="shared" si="14"/>
        <v/>
      </c>
      <c r="O148" s="256">
        <f t="shared" si="16"/>
        <v>0</v>
      </c>
      <c r="P148" s="257" t="str">
        <f t="shared" si="15"/>
        <v>×</v>
      </c>
      <c r="Q148" s="272" t="str">
        <f t="shared" si="17"/>
        <v/>
      </c>
    </row>
    <row r="149" spans="2:17">
      <c r="B149" s="65"/>
      <c r="C149" s="54"/>
      <c r="D149" s="261" t="str">
        <f t="shared" si="13"/>
        <v/>
      </c>
      <c r="E149" s="262" t="str">
        <f t="shared" si="12"/>
        <v/>
      </c>
      <c r="F149" s="125" t="str">
        <f>IF(G149="","",VLOOKUP(G149,プルダウン用リスト!$K$1:$M$16,2,FALSE))</f>
        <v/>
      </c>
      <c r="G149" s="67"/>
      <c r="H149" s="55"/>
      <c r="I149" s="67"/>
      <c r="J149" s="134"/>
      <c r="K149" s="68"/>
      <c r="L149" s="69"/>
      <c r="M149" s="69"/>
      <c r="N149" s="260" t="str">
        <f t="shared" si="14"/>
        <v/>
      </c>
      <c r="O149" s="256">
        <f t="shared" si="16"/>
        <v>0</v>
      </c>
      <c r="P149" s="257" t="str">
        <f t="shared" si="15"/>
        <v>×</v>
      </c>
      <c r="Q149" s="272" t="str">
        <f t="shared" si="17"/>
        <v/>
      </c>
    </row>
    <row r="150" spans="2:17">
      <c r="B150" s="65"/>
      <c r="C150" s="66"/>
      <c r="D150" s="261" t="str">
        <f t="shared" si="13"/>
        <v/>
      </c>
      <c r="E150" s="262" t="str">
        <f t="shared" si="12"/>
        <v/>
      </c>
      <c r="F150" s="125" t="str">
        <f>IF(G150="","",VLOOKUP(G150,プルダウン用リスト!$K$1:$M$16,2,FALSE))</f>
        <v/>
      </c>
      <c r="G150" s="67"/>
      <c r="H150" s="67"/>
      <c r="I150" s="67"/>
      <c r="J150" s="134"/>
      <c r="K150" s="68"/>
      <c r="L150" s="69"/>
      <c r="M150" s="69"/>
      <c r="N150" s="260" t="str">
        <f t="shared" si="14"/>
        <v/>
      </c>
      <c r="O150" s="256">
        <f t="shared" si="16"/>
        <v>0</v>
      </c>
      <c r="P150" s="257" t="str">
        <f t="shared" si="15"/>
        <v>×</v>
      </c>
      <c r="Q150" s="272" t="str">
        <f t="shared" si="17"/>
        <v/>
      </c>
    </row>
    <row r="151" spans="2:17">
      <c r="B151" s="65"/>
      <c r="C151" s="54"/>
      <c r="D151" s="261" t="str">
        <f t="shared" si="13"/>
        <v/>
      </c>
      <c r="E151" s="262" t="str">
        <f t="shared" ref="E151:E214" si="18">IF(G151="","",IF(OR(G151="1.謝金（内部）",G151="1.謝金（外部）"),"謝金",IF(G151="2.旅費","旅費",IF(G151="16.対象外経費","その他","所費"))))</f>
        <v/>
      </c>
      <c r="F151" s="125" t="str">
        <f>IF(G151="","",VLOOKUP(G151,プルダウン用リスト!$K$1:$M$16,2,FALSE))</f>
        <v/>
      </c>
      <c r="G151" s="67"/>
      <c r="H151" s="55"/>
      <c r="I151" s="67"/>
      <c r="J151" s="134"/>
      <c r="K151" s="68"/>
      <c r="L151" s="69"/>
      <c r="M151" s="69"/>
      <c r="N151" s="260" t="str">
        <f t="shared" si="14"/>
        <v/>
      </c>
      <c r="O151" s="256">
        <f t="shared" si="16"/>
        <v>0</v>
      </c>
      <c r="P151" s="257" t="str">
        <f t="shared" si="15"/>
        <v>×</v>
      </c>
      <c r="Q151" s="272" t="str">
        <f t="shared" si="17"/>
        <v/>
      </c>
    </row>
    <row r="152" spans="2:17">
      <c r="B152" s="65"/>
      <c r="C152" s="54"/>
      <c r="D152" s="261" t="str">
        <f t="shared" si="13"/>
        <v/>
      </c>
      <c r="E152" s="262" t="str">
        <f t="shared" si="18"/>
        <v/>
      </c>
      <c r="F152" s="125" t="str">
        <f>IF(G152="","",VLOOKUP(G152,プルダウン用リスト!$K$1:$M$16,2,FALSE))</f>
        <v/>
      </c>
      <c r="G152" s="67"/>
      <c r="H152" s="55"/>
      <c r="I152" s="67"/>
      <c r="J152" s="134"/>
      <c r="K152" s="68"/>
      <c r="L152" s="69"/>
      <c r="M152" s="69"/>
      <c r="N152" s="260" t="str">
        <f t="shared" si="14"/>
        <v/>
      </c>
      <c r="O152" s="256">
        <f t="shared" si="16"/>
        <v>0</v>
      </c>
      <c r="P152" s="257" t="str">
        <f t="shared" si="15"/>
        <v>×</v>
      </c>
      <c r="Q152" s="272" t="str">
        <f t="shared" si="17"/>
        <v/>
      </c>
    </row>
    <row r="153" spans="2:17">
      <c r="B153" s="65"/>
      <c r="C153" s="54"/>
      <c r="D153" s="261" t="str">
        <f t="shared" si="13"/>
        <v/>
      </c>
      <c r="E153" s="262" t="str">
        <f t="shared" si="18"/>
        <v/>
      </c>
      <c r="F153" s="125" t="str">
        <f>IF(G153="","",VLOOKUP(G153,プルダウン用リスト!$K$1:$M$16,2,FALSE))</f>
        <v/>
      </c>
      <c r="G153" s="67"/>
      <c r="H153" s="67"/>
      <c r="I153" s="67"/>
      <c r="J153" s="134"/>
      <c r="K153" s="68"/>
      <c r="L153" s="69"/>
      <c r="M153" s="69"/>
      <c r="N153" s="260" t="str">
        <f t="shared" si="14"/>
        <v/>
      </c>
      <c r="O153" s="256">
        <f t="shared" si="16"/>
        <v>0</v>
      </c>
      <c r="P153" s="257" t="str">
        <f t="shared" si="15"/>
        <v>×</v>
      </c>
      <c r="Q153" s="272" t="str">
        <f t="shared" si="17"/>
        <v/>
      </c>
    </row>
    <row r="154" spans="2:17">
      <c r="B154" s="65"/>
      <c r="C154" s="54"/>
      <c r="D154" s="261" t="str">
        <f t="shared" si="13"/>
        <v/>
      </c>
      <c r="E154" s="262" t="str">
        <f t="shared" si="18"/>
        <v/>
      </c>
      <c r="F154" s="125" t="str">
        <f>IF(G154="","",VLOOKUP(G154,プルダウン用リスト!$K$1:$M$16,2,FALSE))</f>
        <v/>
      </c>
      <c r="G154" s="67"/>
      <c r="H154" s="55"/>
      <c r="I154" s="67"/>
      <c r="J154" s="134"/>
      <c r="K154" s="68"/>
      <c r="L154" s="69"/>
      <c r="M154" s="69"/>
      <c r="N154" s="260" t="str">
        <f t="shared" si="14"/>
        <v/>
      </c>
      <c r="O154" s="256">
        <f t="shared" si="16"/>
        <v>0</v>
      </c>
      <c r="P154" s="257" t="str">
        <f t="shared" si="15"/>
        <v>×</v>
      </c>
      <c r="Q154" s="272" t="str">
        <f t="shared" si="17"/>
        <v/>
      </c>
    </row>
    <row r="155" spans="2:17">
      <c r="B155" s="65"/>
      <c r="C155" s="54"/>
      <c r="D155" s="261" t="str">
        <f t="shared" si="13"/>
        <v/>
      </c>
      <c r="E155" s="262" t="str">
        <f t="shared" si="18"/>
        <v/>
      </c>
      <c r="F155" s="125" t="str">
        <f>IF(G155="","",VLOOKUP(G155,プルダウン用リスト!$K$1:$M$16,2,FALSE))</f>
        <v/>
      </c>
      <c r="G155" s="67"/>
      <c r="H155" s="55"/>
      <c r="I155" s="67"/>
      <c r="J155" s="134"/>
      <c r="K155" s="68"/>
      <c r="L155" s="69"/>
      <c r="M155" s="69"/>
      <c r="N155" s="260" t="str">
        <f t="shared" si="14"/>
        <v/>
      </c>
      <c r="O155" s="256">
        <f t="shared" si="16"/>
        <v>0</v>
      </c>
      <c r="P155" s="257" t="str">
        <f t="shared" si="15"/>
        <v>×</v>
      </c>
      <c r="Q155" s="272" t="str">
        <f t="shared" si="17"/>
        <v/>
      </c>
    </row>
    <row r="156" spans="2:17">
      <c r="B156" s="65"/>
      <c r="C156" s="54"/>
      <c r="D156" s="261" t="str">
        <f t="shared" si="13"/>
        <v/>
      </c>
      <c r="E156" s="262" t="str">
        <f t="shared" si="18"/>
        <v/>
      </c>
      <c r="F156" s="125" t="str">
        <f>IF(G156="","",VLOOKUP(G156,プルダウン用リスト!$K$1:$M$16,2,FALSE))</f>
        <v/>
      </c>
      <c r="G156" s="67"/>
      <c r="H156" s="67"/>
      <c r="I156" s="67"/>
      <c r="J156" s="134"/>
      <c r="K156" s="68"/>
      <c r="L156" s="69"/>
      <c r="M156" s="69"/>
      <c r="N156" s="260" t="str">
        <f t="shared" si="14"/>
        <v/>
      </c>
      <c r="O156" s="256">
        <f t="shared" si="16"/>
        <v>0</v>
      </c>
      <c r="P156" s="257" t="str">
        <f t="shared" si="15"/>
        <v>×</v>
      </c>
      <c r="Q156" s="272" t="str">
        <f t="shared" si="17"/>
        <v/>
      </c>
    </row>
    <row r="157" spans="2:17">
      <c r="B157" s="65"/>
      <c r="C157" s="54"/>
      <c r="D157" s="261" t="str">
        <f t="shared" si="13"/>
        <v/>
      </c>
      <c r="E157" s="262" t="str">
        <f t="shared" si="18"/>
        <v/>
      </c>
      <c r="F157" s="125" t="str">
        <f>IF(G157="","",VLOOKUP(G157,プルダウン用リスト!$K$1:$M$16,2,FALSE))</f>
        <v/>
      </c>
      <c r="G157" s="67"/>
      <c r="H157" s="55"/>
      <c r="I157" s="67"/>
      <c r="J157" s="134"/>
      <c r="K157" s="68"/>
      <c r="L157" s="69"/>
      <c r="M157" s="69"/>
      <c r="N157" s="260" t="str">
        <f t="shared" si="14"/>
        <v/>
      </c>
      <c r="O157" s="256">
        <f t="shared" si="16"/>
        <v>0</v>
      </c>
      <c r="P157" s="257" t="str">
        <f t="shared" si="15"/>
        <v>×</v>
      </c>
      <c r="Q157" s="272" t="str">
        <f t="shared" si="17"/>
        <v/>
      </c>
    </row>
    <row r="158" spans="2:17">
      <c r="B158" s="65"/>
      <c r="C158" s="54"/>
      <c r="D158" s="261" t="str">
        <f t="shared" si="13"/>
        <v/>
      </c>
      <c r="E158" s="262" t="str">
        <f t="shared" si="18"/>
        <v/>
      </c>
      <c r="F158" s="125" t="str">
        <f>IF(G158="","",VLOOKUP(G158,プルダウン用リスト!$K$1:$M$16,2,FALSE))</f>
        <v/>
      </c>
      <c r="G158" s="67"/>
      <c r="H158" s="55"/>
      <c r="I158" s="67"/>
      <c r="J158" s="134"/>
      <c r="K158" s="68"/>
      <c r="L158" s="69"/>
      <c r="M158" s="69"/>
      <c r="N158" s="260" t="str">
        <f t="shared" si="14"/>
        <v/>
      </c>
      <c r="O158" s="256">
        <f t="shared" si="16"/>
        <v>0</v>
      </c>
      <c r="P158" s="257" t="str">
        <f t="shared" si="15"/>
        <v>×</v>
      </c>
      <c r="Q158" s="272" t="str">
        <f t="shared" si="17"/>
        <v/>
      </c>
    </row>
    <row r="159" spans="2:17">
      <c r="B159" s="65"/>
      <c r="C159" s="54"/>
      <c r="D159" s="261" t="str">
        <f t="shared" si="13"/>
        <v/>
      </c>
      <c r="E159" s="262" t="str">
        <f t="shared" si="18"/>
        <v/>
      </c>
      <c r="F159" s="125" t="str">
        <f>IF(G159="","",VLOOKUP(G159,プルダウン用リスト!$K$1:$M$16,2,FALSE))</f>
        <v/>
      </c>
      <c r="G159" s="67"/>
      <c r="H159" s="67"/>
      <c r="I159" s="67"/>
      <c r="J159" s="134"/>
      <c r="K159" s="68"/>
      <c r="L159" s="69"/>
      <c r="M159" s="69"/>
      <c r="N159" s="260" t="str">
        <f t="shared" si="14"/>
        <v/>
      </c>
      <c r="O159" s="256">
        <f t="shared" si="16"/>
        <v>0</v>
      </c>
      <c r="P159" s="257" t="str">
        <f t="shared" si="15"/>
        <v>×</v>
      </c>
      <c r="Q159" s="272" t="str">
        <f t="shared" si="17"/>
        <v/>
      </c>
    </row>
    <row r="160" spans="2:17">
      <c r="B160" s="65"/>
      <c r="C160" s="54"/>
      <c r="D160" s="261" t="str">
        <f t="shared" si="13"/>
        <v/>
      </c>
      <c r="E160" s="262" t="str">
        <f t="shared" si="18"/>
        <v/>
      </c>
      <c r="F160" s="125" t="str">
        <f>IF(G160="","",VLOOKUP(G160,プルダウン用リスト!$K$1:$M$16,2,FALSE))</f>
        <v/>
      </c>
      <c r="G160" s="67"/>
      <c r="H160" s="55"/>
      <c r="I160" s="67"/>
      <c r="J160" s="134"/>
      <c r="K160" s="68"/>
      <c r="L160" s="69"/>
      <c r="M160" s="69"/>
      <c r="N160" s="260" t="str">
        <f t="shared" si="14"/>
        <v/>
      </c>
      <c r="O160" s="256">
        <f t="shared" si="16"/>
        <v>0</v>
      </c>
      <c r="P160" s="257" t="str">
        <f t="shared" si="15"/>
        <v>×</v>
      </c>
      <c r="Q160" s="272" t="str">
        <f t="shared" si="17"/>
        <v/>
      </c>
    </row>
    <row r="161" spans="2:17">
      <c r="B161" s="65"/>
      <c r="C161" s="54"/>
      <c r="D161" s="261" t="str">
        <f t="shared" si="13"/>
        <v/>
      </c>
      <c r="E161" s="262" t="str">
        <f t="shared" si="18"/>
        <v/>
      </c>
      <c r="F161" s="125" t="str">
        <f>IF(G161="","",VLOOKUP(G161,プルダウン用リスト!$K$1:$M$16,2,FALSE))</f>
        <v/>
      </c>
      <c r="G161" s="67"/>
      <c r="H161" s="55"/>
      <c r="I161" s="67"/>
      <c r="J161" s="134"/>
      <c r="K161" s="68"/>
      <c r="L161" s="69"/>
      <c r="M161" s="69"/>
      <c r="N161" s="260" t="str">
        <f t="shared" si="14"/>
        <v/>
      </c>
      <c r="O161" s="256">
        <f t="shared" si="16"/>
        <v>0</v>
      </c>
      <c r="P161" s="257" t="str">
        <f t="shared" si="15"/>
        <v>×</v>
      </c>
      <c r="Q161" s="272" t="str">
        <f t="shared" si="17"/>
        <v/>
      </c>
    </row>
    <row r="162" spans="2:17">
      <c r="B162" s="65"/>
      <c r="C162" s="66"/>
      <c r="D162" s="261" t="str">
        <f t="shared" si="13"/>
        <v/>
      </c>
      <c r="E162" s="262" t="str">
        <f t="shared" si="18"/>
        <v/>
      </c>
      <c r="F162" s="125" t="str">
        <f>IF(G162="","",VLOOKUP(G162,プルダウン用リスト!$K$1:$M$16,2,FALSE))</f>
        <v/>
      </c>
      <c r="G162" s="67"/>
      <c r="H162" s="67"/>
      <c r="I162" s="67"/>
      <c r="J162" s="134"/>
      <c r="K162" s="68"/>
      <c r="L162" s="69"/>
      <c r="M162" s="69"/>
      <c r="N162" s="260" t="str">
        <f t="shared" si="14"/>
        <v/>
      </c>
      <c r="O162" s="256">
        <f t="shared" si="16"/>
        <v>0</v>
      </c>
      <c r="P162" s="257" t="str">
        <f t="shared" si="15"/>
        <v>×</v>
      </c>
      <c r="Q162" s="272" t="str">
        <f t="shared" si="17"/>
        <v/>
      </c>
    </row>
    <row r="163" spans="2:17">
      <c r="B163" s="65"/>
      <c r="C163" s="54"/>
      <c r="D163" s="261" t="str">
        <f t="shared" si="13"/>
        <v/>
      </c>
      <c r="E163" s="262" t="str">
        <f t="shared" si="18"/>
        <v/>
      </c>
      <c r="F163" s="125" t="str">
        <f>IF(G163="","",VLOOKUP(G163,プルダウン用リスト!$K$1:$M$16,2,FALSE))</f>
        <v/>
      </c>
      <c r="G163" s="67"/>
      <c r="H163" s="55"/>
      <c r="I163" s="67"/>
      <c r="J163" s="134"/>
      <c r="K163" s="68"/>
      <c r="L163" s="69"/>
      <c r="M163" s="69"/>
      <c r="N163" s="260" t="str">
        <f t="shared" si="14"/>
        <v/>
      </c>
      <c r="O163" s="256">
        <f t="shared" si="16"/>
        <v>0</v>
      </c>
      <c r="P163" s="257" t="str">
        <f t="shared" si="15"/>
        <v>×</v>
      </c>
      <c r="Q163" s="272" t="str">
        <f t="shared" si="17"/>
        <v/>
      </c>
    </row>
    <row r="164" spans="2:17">
      <c r="B164" s="65"/>
      <c r="C164" s="54"/>
      <c r="D164" s="261" t="str">
        <f t="shared" si="13"/>
        <v/>
      </c>
      <c r="E164" s="262" t="str">
        <f t="shared" si="18"/>
        <v/>
      </c>
      <c r="F164" s="125" t="str">
        <f>IF(G164="","",VLOOKUP(G164,プルダウン用リスト!$K$1:$M$16,2,FALSE))</f>
        <v/>
      </c>
      <c r="G164" s="67"/>
      <c r="H164" s="55"/>
      <c r="I164" s="67"/>
      <c r="J164" s="134"/>
      <c r="K164" s="68"/>
      <c r="L164" s="69"/>
      <c r="M164" s="69"/>
      <c r="N164" s="260" t="str">
        <f t="shared" si="14"/>
        <v/>
      </c>
      <c r="O164" s="256">
        <f t="shared" si="16"/>
        <v>0</v>
      </c>
      <c r="P164" s="257" t="str">
        <f t="shared" si="15"/>
        <v>×</v>
      </c>
      <c r="Q164" s="272" t="str">
        <f t="shared" si="17"/>
        <v/>
      </c>
    </row>
    <row r="165" spans="2:17">
      <c r="B165" s="65"/>
      <c r="C165" s="54"/>
      <c r="D165" s="261" t="str">
        <f t="shared" si="13"/>
        <v/>
      </c>
      <c r="E165" s="262" t="str">
        <f t="shared" si="18"/>
        <v/>
      </c>
      <c r="F165" s="125" t="str">
        <f>IF(G165="","",VLOOKUP(G165,プルダウン用リスト!$K$1:$M$16,2,FALSE))</f>
        <v/>
      </c>
      <c r="G165" s="67"/>
      <c r="H165" s="67"/>
      <c r="I165" s="67"/>
      <c r="J165" s="134"/>
      <c r="K165" s="68"/>
      <c r="L165" s="69"/>
      <c r="M165" s="69"/>
      <c r="N165" s="260" t="str">
        <f t="shared" si="14"/>
        <v/>
      </c>
      <c r="O165" s="256">
        <f t="shared" si="16"/>
        <v>0</v>
      </c>
      <c r="P165" s="257" t="str">
        <f t="shared" si="15"/>
        <v>×</v>
      </c>
      <c r="Q165" s="272" t="str">
        <f t="shared" si="17"/>
        <v/>
      </c>
    </row>
    <row r="166" spans="2:17">
      <c r="B166" s="65"/>
      <c r="C166" s="54"/>
      <c r="D166" s="261" t="str">
        <f t="shared" si="13"/>
        <v/>
      </c>
      <c r="E166" s="262" t="str">
        <f t="shared" si="18"/>
        <v/>
      </c>
      <c r="F166" s="125" t="str">
        <f>IF(G166="","",VLOOKUP(G166,プルダウン用リスト!$K$1:$M$16,2,FALSE))</f>
        <v/>
      </c>
      <c r="G166" s="67"/>
      <c r="H166" s="55"/>
      <c r="I166" s="67"/>
      <c r="J166" s="134"/>
      <c r="K166" s="68"/>
      <c r="L166" s="69"/>
      <c r="M166" s="69"/>
      <c r="N166" s="260" t="str">
        <f t="shared" si="14"/>
        <v/>
      </c>
      <c r="O166" s="256">
        <f t="shared" si="16"/>
        <v>0</v>
      </c>
      <c r="P166" s="257" t="str">
        <f t="shared" si="15"/>
        <v>×</v>
      </c>
      <c r="Q166" s="272" t="str">
        <f t="shared" si="17"/>
        <v/>
      </c>
    </row>
    <row r="167" spans="2:17">
      <c r="B167" s="65"/>
      <c r="C167" s="54"/>
      <c r="D167" s="261" t="str">
        <f t="shared" si="13"/>
        <v/>
      </c>
      <c r="E167" s="262" t="str">
        <f t="shared" si="18"/>
        <v/>
      </c>
      <c r="F167" s="125" t="str">
        <f>IF(G167="","",VLOOKUP(G167,プルダウン用リスト!$K$1:$M$16,2,FALSE))</f>
        <v/>
      </c>
      <c r="G167" s="67"/>
      <c r="H167" s="55"/>
      <c r="I167" s="67"/>
      <c r="J167" s="134"/>
      <c r="K167" s="68"/>
      <c r="L167" s="69"/>
      <c r="M167" s="69"/>
      <c r="N167" s="260" t="str">
        <f t="shared" si="14"/>
        <v/>
      </c>
      <c r="O167" s="256">
        <f t="shared" si="16"/>
        <v>0</v>
      </c>
      <c r="P167" s="257" t="str">
        <f t="shared" si="15"/>
        <v>×</v>
      </c>
      <c r="Q167" s="272" t="str">
        <f t="shared" si="17"/>
        <v/>
      </c>
    </row>
    <row r="168" spans="2:17">
      <c r="B168" s="65"/>
      <c r="C168" s="54"/>
      <c r="D168" s="261" t="str">
        <f t="shared" si="13"/>
        <v/>
      </c>
      <c r="E168" s="262" t="str">
        <f t="shared" si="18"/>
        <v/>
      </c>
      <c r="F168" s="125" t="str">
        <f>IF(G168="","",VLOOKUP(G168,プルダウン用リスト!$K$1:$M$16,2,FALSE))</f>
        <v/>
      </c>
      <c r="G168" s="67"/>
      <c r="H168" s="67"/>
      <c r="I168" s="67"/>
      <c r="J168" s="134"/>
      <c r="K168" s="68"/>
      <c r="L168" s="69"/>
      <c r="M168" s="69"/>
      <c r="N168" s="260" t="str">
        <f t="shared" si="14"/>
        <v/>
      </c>
      <c r="O168" s="256">
        <f t="shared" si="16"/>
        <v>0</v>
      </c>
      <c r="P168" s="257" t="str">
        <f t="shared" si="15"/>
        <v>×</v>
      </c>
      <c r="Q168" s="272" t="str">
        <f t="shared" si="17"/>
        <v/>
      </c>
    </row>
    <row r="169" spans="2:17">
      <c r="B169" s="65"/>
      <c r="C169" s="54"/>
      <c r="D169" s="261" t="str">
        <f t="shared" si="13"/>
        <v/>
      </c>
      <c r="E169" s="262" t="str">
        <f t="shared" si="18"/>
        <v/>
      </c>
      <c r="F169" s="125" t="str">
        <f>IF(G169="","",VLOOKUP(G169,プルダウン用リスト!$K$1:$M$16,2,FALSE))</f>
        <v/>
      </c>
      <c r="G169" s="67"/>
      <c r="H169" s="55"/>
      <c r="I169" s="67"/>
      <c r="J169" s="134"/>
      <c r="K169" s="68"/>
      <c r="L169" s="69"/>
      <c r="M169" s="69"/>
      <c r="N169" s="260" t="str">
        <f t="shared" si="14"/>
        <v/>
      </c>
      <c r="O169" s="256">
        <f t="shared" si="16"/>
        <v>0</v>
      </c>
      <c r="P169" s="257" t="str">
        <f t="shared" si="15"/>
        <v>×</v>
      </c>
      <c r="Q169" s="272" t="str">
        <f t="shared" si="17"/>
        <v/>
      </c>
    </row>
    <row r="170" spans="2:17">
      <c r="B170" s="65"/>
      <c r="C170" s="54"/>
      <c r="D170" s="261" t="str">
        <f t="shared" si="13"/>
        <v/>
      </c>
      <c r="E170" s="262" t="str">
        <f t="shared" si="18"/>
        <v/>
      </c>
      <c r="F170" s="125" t="str">
        <f>IF(G170="","",VLOOKUP(G170,プルダウン用リスト!$K$1:$M$16,2,FALSE))</f>
        <v/>
      </c>
      <c r="G170" s="67"/>
      <c r="H170" s="55"/>
      <c r="I170" s="67"/>
      <c r="J170" s="134"/>
      <c r="K170" s="68"/>
      <c r="L170" s="69"/>
      <c r="M170" s="69"/>
      <c r="N170" s="260" t="str">
        <f t="shared" si="14"/>
        <v/>
      </c>
      <c r="O170" s="256">
        <f t="shared" si="16"/>
        <v>0</v>
      </c>
      <c r="P170" s="257" t="str">
        <f t="shared" si="15"/>
        <v>×</v>
      </c>
      <c r="Q170" s="272" t="str">
        <f t="shared" si="17"/>
        <v/>
      </c>
    </row>
    <row r="171" spans="2:17">
      <c r="B171" s="65"/>
      <c r="C171" s="54"/>
      <c r="D171" s="261" t="str">
        <f t="shared" si="13"/>
        <v/>
      </c>
      <c r="E171" s="262" t="str">
        <f t="shared" si="18"/>
        <v/>
      </c>
      <c r="F171" s="125" t="str">
        <f>IF(G171="","",VLOOKUP(G171,プルダウン用リスト!$K$1:$M$16,2,FALSE))</f>
        <v/>
      </c>
      <c r="G171" s="67"/>
      <c r="H171" s="67"/>
      <c r="I171" s="67"/>
      <c r="J171" s="134"/>
      <c r="K171" s="68"/>
      <c r="L171" s="69"/>
      <c r="M171" s="69"/>
      <c r="N171" s="260" t="str">
        <f t="shared" si="14"/>
        <v/>
      </c>
      <c r="O171" s="256">
        <f t="shared" si="16"/>
        <v>0</v>
      </c>
      <c r="P171" s="257" t="str">
        <f t="shared" si="15"/>
        <v>×</v>
      </c>
      <c r="Q171" s="272" t="str">
        <f t="shared" si="17"/>
        <v/>
      </c>
    </row>
    <row r="172" spans="2:17">
      <c r="B172" s="65"/>
      <c r="C172" s="54"/>
      <c r="D172" s="261" t="str">
        <f t="shared" si="13"/>
        <v/>
      </c>
      <c r="E172" s="262" t="str">
        <f t="shared" si="18"/>
        <v/>
      </c>
      <c r="F172" s="125" t="str">
        <f>IF(G172="","",VLOOKUP(G172,プルダウン用リスト!$K$1:$M$16,2,FALSE))</f>
        <v/>
      </c>
      <c r="G172" s="67"/>
      <c r="H172" s="55"/>
      <c r="I172" s="67"/>
      <c r="J172" s="134"/>
      <c r="K172" s="68"/>
      <c r="L172" s="69"/>
      <c r="M172" s="69"/>
      <c r="N172" s="260" t="str">
        <f t="shared" si="14"/>
        <v/>
      </c>
      <c r="O172" s="256">
        <f t="shared" si="16"/>
        <v>0</v>
      </c>
      <c r="P172" s="257" t="str">
        <f t="shared" si="15"/>
        <v>×</v>
      </c>
      <c r="Q172" s="272" t="str">
        <f t="shared" si="17"/>
        <v/>
      </c>
    </row>
    <row r="173" spans="2:17">
      <c r="B173" s="65"/>
      <c r="C173" s="54"/>
      <c r="D173" s="261" t="str">
        <f t="shared" si="13"/>
        <v/>
      </c>
      <c r="E173" s="262" t="str">
        <f t="shared" si="18"/>
        <v/>
      </c>
      <c r="F173" s="125" t="str">
        <f>IF(G173="","",VLOOKUP(G173,プルダウン用リスト!$K$1:$M$16,2,FALSE))</f>
        <v/>
      </c>
      <c r="G173" s="67"/>
      <c r="H173" s="55"/>
      <c r="I173" s="67"/>
      <c r="J173" s="134"/>
      <c r="K173" s="68"/>
      <c r="L173" s="69"/>
      <c r="M173" s="69"/>
      <c r="N173" s="260" t="str">
        <f t="shared" si="14"/>
        <v/>
      </c>
      <c r="O173" s="256">
        <f t="shared" si="16"/>
        <v>0</v>
      </c>
      <c r="P173" s="257" t="str">
        <f t="shared" si="15"/>
        <v>×</v>
      </c>
      <c r="Q173" s="272" t="str">
        <f t="shared" si="17"/>
        <v/>
      </c>
    </row>
    <row r="174" spans="2:17">
      <c r="B174" s="65"/>
      <c r="C174" s="66"/>
      <c r="D174" s="261" t="str">
        <f t="shared" si="13"/>
        <v/>
      </c>
      <c r="E174" s="262" t="str">
        <f t="shared" si="18"/>
        <v/>
      </c>
      <c r="F174" s="125" t="str">
        <f>IF(G174="","",VLOOKUP(G174,プルダウン用リスト!$K$1:$M$16,2,FALSE))</f>
        <v/>
      </c>
      <c r="G174" s="67"/>
      <c r="H174" s="67"/>
      <c r="I174" s="67"/>
      <c r="J174" s="134"/>
      <c r="K174" s="68"/>
      <c r="L174" s="69"/>
      <c r="M174" s="69"/>
      <c r="N174" s="260" t="str">
        <f t="shared" si="14"/>
        <v/>
      </c>
      <c r="O174" s="256">
        <f t="shared" si="16"/>
        <v>0</v>
      </c>
      <c r="P174" s="257" t="str">
        <f t="shared" si="15"/>
        <v>×</v>
      </c>
      <c r="Q174" s="272" t="str">
        <f t="shared" si="17"/>
        <v/>
      </c>
    </row>
    <row r="175" spans="2:17">
      <c r="B175" s="65"/>
      <c r="C175" s="54"/>
      <c r="D175" s="261" t="str">
        <f t="shared" si="13"/>
        <v/>
      </c>
      <c r="E175" s="262" t="str">
        <f t="shared" si="18"/>
        <v/>
      </c>
      <c r="F175" s="125" t="str">
        <f>IF(G175="","",VLOOKUP(G175,プルダウン用リスト!$K$1:$M$16,2,FALSE))</f>
        <v/>
      </c>
      <c r="G175" s="67"/>
      <c r="H175" s="55"/>
      <c r="I175" s="67"/>
      <c r="J175" s="134"/>
      <c r="K175" s="68"/>
      <c r="L175" s="69"/>
      <c r="M175" s="69"/>
      <c r="N175" s="260" t="str">
        <f t="shared" si="14"/>
        <v/>
      </c>
      <c r="O175" s="256">
        <f t="shared" si="16"/>
        <v>0</v>
      </c>
      <c r="P175" s="257" t="str">
        <f t="shared" si="15"/>
        <v>×</v>
      </c>
      <c r="Q175" s="272" t="str">
        <f t="shared" si="17"/>
        <v/>
      </c>
    </row>
    <row r="176" spans="2:17">
      <c r="B176" s="65"/>
      <c r="C176" s="54"/>
      <c r="D176" s="261" t="str">
        <f t="shared" si="13"/>
        <v/>
      </c>
      <c r="E176" s="262" t="str">
        <f t="shared" si="18"/>
        <v/>
      </c>
      <c r="F176" s="125" t="str">
        <f>IF(G176="","",VLOOKUP(G176,プルダウン用リスト!$K$1:$M$16,2,FALSE))</f>
        <v/>
      </c>
      <c r="G176" s="67"/>
      <c r="H176" s="55"/>
      <c r="I176" s="67"/>
      <c r="J176" s="134"/>
      <c r="K176" s="68"/>
      <c r="L176" s="69"/>
      <c r="M176" s="69"/>
      <c r="N176" s="260" t="str">
        <f t="shared" si="14"/>
        <v/>
      </c>
      <c r="O176" s="256">
        <f t="shared" si="16"/>
        <v>0</v>
      </c>
      <c r="P176" s="257" t="str">
        <f t="shared" si="15"/>
        <v>×</v>
      </c>
      <c r="Q176" s="272" t="str">
        <f t="shared" si="17"/>
        <v/>
      </c>
    </row>
    <row r="177" spans="2:17">
      <c r="B177" s="65"/>
      <c r="C177" s="54"/>
      <c r="D177" s="261" t="str">
        <f t="shared" si="13"/>
        <v/>
      </c>
      <c r="E177" s="262" t="str">
        <f t="shared" si="18"/>
        <v/>
      </c>
      <c r="F177" s="125" t="str">
        <f>IF(G177="","",VLOOKUP(G177,プルダウン用リスト!$K$1:$M$16,2,FALSE))</f>
        <v/>
      </c>
      <c r="G177" s="67"/>
      <c r="H177" s="67"/>
      <c r="I177" s="67"/>
      <c r="J177" s="134"/>
      <c r="K177" s="68"/>
      <c r="L177" s="69"/>
      <c r="M177" s="69"/>
      <c r="N177" s="260" t="str">
        <f t="shared" si="14"/>
        <v/>
      </c>
      <c r="O177" s="256">
        <f t="shared" si="16"/>
        <v>0</v>
      </c>
      <c r="P177" s="257" t="str">
        <f t="shared" si="15"/>
        <v>×</v>
      </c>
      <c r="Q177" s="272" t="str">
        <f t="shared" si="17"/>
        <v/>
      </c>
    </row>
    <row r="178" spans="2:17">
      <c r="B178" s="65"/>
      <c r="C178" s="54"/>
      <c r="D178" s="261" t="str">
        <f t="shared" si="13"/>
        <v/>
      </c>
      <c r="E178" s="262" t="str">
        <f t="shared" si="18"/>
        <v/>
      </c>
      <c r="F178" s="125" t="str">
        <f>IF(G178="","",VLOOKUP(G178,プルダウン用リスト!$K$1:$M$16,2,FALSE))</f>
        <v/>
      </c>
      <c r="G178" s="67"/>
      <c r="H178" s="55"/>
      <c r="I178" s="67"/>
      <c r="J178" s="134"/>
      <c r="K178" s="68"/>
      <c r="L178" s="69"/>
      <c r="M178" s="69"/>
      <c r="N178" s="260" t="str">
        <f t="shared" si="14"/>
        <v/>
      </c>
      <c r="O178" s="256">
        <f t="shared" si="16"/>
        <v>0</v>
      </c>
      <c r="P178" s="257" t="str">
        <f t="shared" si="15"/>
        <v>×</v>
      </c>
      <c r="Q178" s="272" t="str">
        <f t="shared" si="17"/>
        <v/>
      </c>
    </row>
    <row r="179" spans="2:17">
      <c r="B179" s="65"/>
      <c r="C179" s="54"/>
      <c r="D179" s="261" t="str">
        <f t="shared" si="13"/>
        <v/>
      </c>
      <c r="E179" s="262" t="str">
        <f t="shared" si="18"/>
        <v/>
      </c>
      <c r="F179" s="125" t="str">
        <f>IF(G179="","",VLOOKUP(G179,プルダウン用リスト!$K$1:$M$16,2,FALSE))</f>
        <v/>
      </c>
      <c r="G179" s="67"/>
      <c r="H179" s="55"/>
      <c r="I179" s="67"/>
      <c r="J179" s="134"/>
      <c r="K179" s="68"/>
      <c r="L179" s="69"/>
      <c r="M179" s="69"/>
      <c r="N179" s="260" t="str">
        <f t="shared" si="14"/>
        <v/>
      </c>
      <c r="O179" s="256">
        <f t="shared" si="16"/>
        <v>0</v>
      </c>
      <c r="P179" s="257" t="str">
        <f t="shared" si="15"/>
        <v>×</v>
      </c>
      <c r="Q179" s="272" t="str">
        <f t="shared" si="17"/>
        <v/>
      </c>
    </row>
    <row r="180" spans="2:17">
      <c r="B180" s="65"/>
      <c r="C180" s="54"/>
      <c r="D180" s="261" t="str">
        <f t="shared" si="13"/>
        <v/>
      </c>
      <c r="E180" s="262" t="str">
        <f t="shared" si="18"/>
        <v/>
      </c>
      <c r="F180" s="125" t="str">
        <f>IF(G180="","",VLOOKUP(G180,プルダウン用リスト!$K$1:$M$16,2,FALSE))</f>
        <v/>
      </c>
      <c r="G180" s="67"/>
      <c r="H180" s="67"/>
      <c r="I180" s="67"/>
      <c r="J180" s="134"/>
      <c r="K180" s="68"/>
      <c r="L180" s="69"/>
      <c r="M180" s="69"/>
      <c r="N180" s="260" t="str">
        <f t="shared" si="14"/>
        <v/>
      </c>
      <c r="O180" s="256">
        <f t="shared" si="16"/>
        <v>0</v>
      </c>
      <c r="P180" s="257" t="str">
        <f t="shared" si="15"/>
        <v>×</v>
      </c>
      <c r="Q180" s="272" t="str">
        <f t="shared" si="17"/>
        <v/>
      </c>
    </row>
    <row r="181" spans="2:17">
      <c r="B181" s="65"/>
      <c r="C181" s="54"/>
      <c r="D181" s="261" t="str">
        <f t="shared" si="13"/>
        <v/>
      </c>
      <c r="E181" s="262" t="str">
        <f t="shared" si="18"/>
        <v/>
      </c>
      <c r="F181" s="125" t="str">
        <f>IF(G181="","",VLOOKUP(G181,プルダウン用リスト!$K$1:$M$16,2,FALSE))</f>
        <v/>
      </c>
      <c r="G181" s="67"/>
      <c r="H181" s="55"/>
      <c r="I181" s="67"/>
      <c r="J181" s="134"/>
      <c r="K181" s="68"/>
      <c r="L181" s="69"/>
      <c r="M181" s="69"/>
      <c r="N181" s="260" t="str">
        <f t="shared" si="14"/>
        <v/>
      </c>
      <c r="O181" s="256">
        <f t="shared" si="16"/>
        <v>0</v>
      </c>
      <c r="P181" s="257" t="str">
        <f t="shared" si="15"/>
        <v>×</v>
      </c>
      <c r="Q181" s="272" t="str">
        <f t="shared" si="17"/>
        <v/>
      </c>
    </row>
    <row r="182" spans="2:17">
      <c r="B182" s="65"/>
      <c r="C182" s="54"/>
      <c r="D182" s="261" t="str">
        <f t="shared" si="13"/>
        <v/>
      </c>
      <c r="E182" s="262" t="str">
        <f t="shared" si="18"/>
        <v/>
      </c>
      <c r="F182" s="125" t="str">
        <f>IF(G182="","",VLOOKUP(G182,プルダウン用リスト!$K$1:$M$16,2,FALSE))</f>
        <v/>
      </c>
      <c r="G182" s="67"/>
      <c r="H182" s="55"/>
      <c r="I182" s="67"/>
      <c r="J182" s="134"/>
      <c r="K182" s="68"/>
      <c r="L182" s="69"/>
      <c r="M182" s="69"/>
      <c r="N182" s="260" t="str">
        <f t="shared" si="14"/>
        <v/>
      </c>
      <c r="O182" s="256">
        <f t="shared" si="16"/>
        <v>0</v>
      </c>
      <c r="P182" s="257" t="str">
        <f t="shared" si="15"/>
        <v>×</v>
      </c>
      <c r="Q182" s="272" t="str">
        <f t="shared" si="17"/>
        <v/>
      </c>
    </row>
    <row r="183" spans="2:17">
      <c r="B183" s="65"/>
      <c r="C183" s="54"/>
      <c r="D183" s="261" t="str">
        <f t="shared" si="13"/>
        <v/>
      </c>
      <c r="E183" s="262" t="str">
        <f t="shared" si="18"/>
        <v/>
      </c>
      <c r="F183" s="125" t="str">
        <f>IF(G183="","",VLOOKUP(G183,プルダウン用リスト!$K$1:$M$16,2,FALSE))</f>
        <v/>
      </c>
      <c r="G183" s="67"/>
      <c r="H183" s="67"/>
      <c r="I183" s="67"/>
      <c r="J183" s="134"/>
      <c r="K183" s="68"/>
      <c r="L183" s="69"/>
      <c r="M183" s="69"/>
      <c r="N183" s="260" t="str">
        <f t="shared" si="14"/>
        <v/>
      </c>
      <c r="O183" s="256">
        <f t="shared" si="16"/>
        <v>0</v>
      </c>
      <c r="P183" s="257" t="str">
        <f t="shared" si="15"/>
        <v>×</v>
      </c>
      <c r="Q183" s="272" t="str">
        <f t="shared" si="17"/>
        <v/>
      </c>
    </row>
    <row r="184" spans="2:17">
      <c r="B184" s="65"/>
      <c r="C184" s="54"/>
      <c r="D184" s="261" t="str">
        <f t="shared" si="13"/>
        <v/>
      </c>
      <c r="E184" s="262" t="str">
        <f t="shared" si="18"/>
        <v/>
      </c>
      <c r="F184" s="125" t="str">
        <f>IF(G184="","",VLOOKUP(G184,プルダウン用リスト!$K$1:$M$16,2,FALSE))</f>
        <v/>
      </c>
      <c r="G184" s="67"/>
      <c r="H184" s="55"/>
      <c r="I184" s="67"/>
      <c r="J184" s="134"/>
      <c r="K184" s="68"/>
      <c r="L184" s="69"/>
      <c r="M184" s="69"/>
      <c r="N184" s="260" t="str">
        <f t="shared" si="14"/>
        <v/>
      </c>
      <c r="O184" s="256">
        <f t="shared" si="16"/>
        <v>0</v>
      </c>
      <c r="P184" s="257" t="str">
        <f t="shared" si="15"/>
        <v>×</v>
      </c>
      <c r="Q184" s="272" t="str">
        <f t="shared" si="17"/>
        <v/>
      </c>
    </row>
    <row r="185" spans="2:17">
      <c r="B185" s="65"/>
      <c r="C185" s="54"/>
      <c r="D185" s="261" t="str">
        <f t="shared" si="13"/>
        <v/>
      </c>
      <c r="E185" s="262" t="str">
        <f t="shared" si="18"/>
        <v/>
      </c>
      <c r="F185" s="125" t="str">
        <f>IF(G185="","",VLOOKUP(G185,プルダウン用リスト!$K$1:$M$16,2,FALSE))</f>
        <v/>
      </c>
      <c r="G185" s="67"/>
      <c r="H185" s="55"/>
      <c r="I185" s="67"/>
      <c r="J185" s="134"/>
      <c r="K185" s="68"/>
      <c r="L185" s="69"/>
      <c r="M185" s="69"/>
      <c r="N185" s="260" t="str">
        <f t="shared" si="14"/>
        <v/>
      </c>
      <c r="O185" s="256">
        <f t="shared" si="16"/>
        <v>0</v>
      </c>
      <c r="P185" s="257" t="str">
        <f t="shared" si="15"/>
        <v>×</v>
      </c>
      <c r="Q185" s="272" t="str">
        <f t="shared" si="17"/>
        <v/>
      </c>
    </row>
    <row r="186" spans="2:17">
      <c r="B186" s="65"/>
      <c r="C186" s="66"/>
      <c r="D186" s="261" t="str">
        <f t="shared" si="13"/>
        <v/>
      </c>
      <c r="E186" s="262" t="str">
        <f t="shared" si="18"/>
        <v/>
      </c>
      <c r="F186" s="125" t="str">
        <f>IF(G186="","",VLOOKUP(G186,プルダウン用リスト!$K$1:$M$16,2,FALSE))</f>
        <v/>
      </c>
      <c r="G186" s="67"/>
      <c r="H186" s="67"/>
      <c r="I186" s="67"/>
      <c r="J186" s="134"/>
      <c r="K186" s="68"/>
      <c r="L186" s="69"/>
      <c r="M186" s="69"/>
      <c r="N186" s="260" t="str">
        <f t="shared" si="14"/>
        <v/>
      </c>
      <c r="O186" s="256">
        <f t="shared" si="16"/>
        <v>0</v>
      </c>
      <c r="P186" s="257" t="str">
        <f t="shared" si="15"/>
        <v>×</v>
      </c>
      <c r="Q186" s="272" t="str">
        <f t="shared" si="17"/>
        <v/>
      </c>
    </row>
    <row r="187" spans="2:17">
      <c r="B187" s="65"/>
      <c r="C187" s="54"/>
      <c r="D187" s="261" t="str">
        <f t="shared" si="13"/>
        <v/>
      </c>
      <c r="E187" s="262" t="str">
        <f t="shared" si="18"/>
        <v/>
      </c>
      <c r="F187" s="125" t="str">
        <f>IF(G187="","",VLOOKUP(G187,プルダウン用リスト!$K$1:$M$16,2,FALSE))</f>
        <v/>
      </c>
      <c r="G187" s="67"/>
      <c r="H187" s="55"/>
      <c r="I187" s="67"/>
      <c r="J187" s="134"/>
      <c r="K187" s="68"/>
      <c r="L187" s="69"/>
      <c r="M187" s="69"/>
      <c r="N187" s="260" t="str">
        <f t="shared" si="14"/>
        <v/>
      </c>
      <c r="O187" s="256">
        <f t="shared" si="16"/>
        <v>0</v>
      </c>
      <c r="P187" s="257" t="str">
        <f t="shared" si="15"/>
        <v>×</v>
      </c>
      <c r="Q187" s="272" t="str">
        <f t="shared" si="17"/>
        <v/>
      </c>
    </row>
    <row r="188" spans="2:17">
      <c r="B188" s="65"/>
      <c r="C188" s="54"/>
      <c r="D188" s="261" t="str">
        <f t="shared" si="13"/>
        <v/>
      </c>
      <c r="E188" s="262" t="str">
        <f t="shared" si="18"/>
        <v/>
      </c>
      <c r="F188" s="125" t="str">
        <f>IF(G188="","",VLOOKUP(G188,プルダウン用リスト!$K$1:$M$16,2,FALSE))</f>
        <v/>
      </c>
      <c r="G188" s="67"/>
      <c r="H188" s="55"/>
      <c r="I188" s="67"/>
      <c r="J188" s="134"/>
      <c r="K188" s="68"/>
      <c r="L188" s="69"/>
      <c r="M188" s="69"/>
      <c r="N188" s="260" t="str">
        <f t="shared" si="14"/>
        <v/>
      </c>
      <c r="O188" s="256">
        <f t="shared" si="16"/>
        <v>0</v>
      </c>
      <c r="P188" s="257" t="str">
        <f t="shared" si="15"/>
        <v>×</v>
      </c>
      <c r="Q188" s="272" t="str">
        <f t="shared" si="17"/>
        <v/>
      </c>
    </row>
    <row r="189" spans="2:17">
      <c r="B189" s="65"/>
      <c r="C189" s="54"/>
      <c r="D189" s="261" t="str">
        <f t="shared" si="13"/>
        <v/>
      </c>
      <c r="E189" s="262" t="str">
        <f t="shared" si="18"/>
        <v/>
      </c>
      <c r="F189" s="125" t="str">
        <f>IF(G189="","",VLOOKUP(G189,プルダウン用リスト!$K$1:$M$16,2,FALSE))</f>
        <v/>
      </c>
      <c r="G189" s="67"/>
      <c r="H189" s="67"/>
      <c r="I189" s="67"/>
      <c r="J189" s="134"/>
      <c r="K189" s="68"/>
      <c r="L189" s="69"/>
      <c r="M189" s="69"/>
      <c r="N189" s="260" t="str">
        <f t="shared" si="14"/>
        <v/>
      </c>
      <c r="O189" s="256">
        <f t="shared" si="16"/>
        <v>0</v>
      </c>
      <c r="P189" s="257" t="str">
        <f t="shared" si="15"/>
        <v>×</v>
      </c>
      <c r="Q189" s="272" t="str">
        <f t="shared" si="17"/>
        <v/>
      </c>
    </row>
    <row r="190" spans="2:17">
      <c r="B190" s="65"/>
      <c r="C190" s="54"/>
      <c r="D190" s="261" t="str">
        <f t="shared" si="13"/>
        <v/>
      </c>
      <c r="E190" s="262" t="str">
        <f t="shared" si="18"/>
        <v/>
      </c>
      <c r="F190" s="125" t="str">
        <f>IF(G190="","",VLOOKUP(G190,プルダウン用リスト!$K$1:$M$16,2,FALSE))</f>
        <v/>
      </c>
      <c r="G190" s="67"/>
      <c r="H190" s="55"/>
      <c r="I190" s="67"/>
      <c r="J190" s="134"/>
      <c r="K190" s="68"/>
      <c r="L190" s="69"/>
      <c r="M190" s="69"/>
      <c r="N190" s="260" t="str">
        <f t="shared" si="14"/>
        <v/>
      </c>
      <c r="O190" s="256">
        <f t="shared" si="16"/>
        <v>0</v>
      </c>
      <c r="P190" s="257" t="str">
        <f t="shared" si="15"/>
        <v>×</v>
      </c>
      <c r="Q190" s="272" t="str">
        <f t="shared" si="17"/>
        <v/>
      </c>
    </row>
    <row r="191" spans="2:17">
      <c r="B191" s="65"/>
      <c r="C191" s="54"/>
      <c r="D191" s="261" t="str">
        <f t="shared" si="13"/>
        <v/>
      </c>
      <c r="E191" s="262" t="str">
        <f t="shared" si="18"/>
        <v/>
      </c>
      <c r="F191" s="125" t="str">
        <f>IF(G191="","",VLOOKUP(G191,プルダウン用リスト!$K$1:$M$16,2,FALSE))</f>
        <v/>
      </c>
      <c r="G191" s="67"/>
      <c r="H191" s="55"/>
      <c r="I191" s="67"/>
      <c r="J191" s="134"/>
      <c r="K191" s="68"/>
      <c r="L191" s="69"/>
      <c r="M191" s="69"/>
      <c r="N191" s="260" t="str">
        <f t="shared" si="14"/>
        <v/>
      </c>
      <c r="O191" s="256">
        <f t="shared" si="16"/>
        <v>0</v>
      </c>
      <c r="P191" s="257" t="str">
        <f t="shared" si="15"/>
        <v>×</v>
      </c>
      <c r="Q191" s="272" t="str">
        <f t="shared" si="17"/>
        <v/>
      </c>
    </row>
    <row r="192" spans="2:17">
      <c r="B192" s="65"/>
      <c r="C192" s="54"/>
      <c r="D192" s="261" t="str">
        <f t="shared" si="13"/>
        <v/>
      </c>
      <c r="E192" s="262" t="str">
        <f t="shared" si="18"/>
        <v/>
      </c>
      <c r="F192" s="125" t="str">
        <f>IF(G192="","",VLOOKUP(G192,プルダウン用リスト!$K$1:$M$16,2,FALSE))</f>
        <v/>
      </c>
      <c r="G192" s="67"/>
      <c r="H192" s="67"/>
      <c r="I192" s="67"/>
      <c r="J192" s="134"/>
      <c r="K192" s="68"/>
      <c r="L192" s="69"/>
      <c r="M192" s="69"/>
      <c r="N192" s="260" t="str">
        <f t="shared" si="14"/>
        <v/>
      </c>
      <c r="O192" s="256">
        <f t="shared" si="16"/>
        <v>0</v>
      </c>
      <c r="P192" s="257" t="str">
        <f t="shared" si="15"/>
        <v>×</v>
      </c>
      <c r="Q192" s="272" t="str">
        <f t="shared" si="17"/>
        <v/>
      </c>
    </row>
    <row r="193" spans="2:17">
      <c r="B193" s="65"/>
      <c r="C193" s="54"/>
      <c r="D193" s="261" t="str">
        <f t="shared" si="13"/>
        <v/>
      </c>
      <c r="E193" s="262" t="str">
        <f t="shared" si="18"/>
        <v/>
      </c>
      <c r="F193" s="125" t="str">
        <f>IF(G193="","",VLOOKUP(G193,プルダウン用リスト!$K$1:$M$16,2,FALSE))</f>
        <v/>
      </c>
      <c r="G193" s="67"/>
      <c r="H193" s="55"/>
      <c r="I193" s="67"/>
      <c r="J193" s="134"/>
      <c r="K193" s="68"/>
      <c r="L193" s="69"/>
      <c r="M193" s="69"/>
      <c r="N193" s="260" t="str">
        <f t="shared" si="14"/>
        <v/>
      </c>
      <c r="O193" s="256">
        <f t="shared" si="16"/>
        <v>0</v>
      </c>
      <c r="P193" s="257" t="str">
        <f t="shared" si="15"/>
        <v>×</v>
      </c>
      <c r="Q193" s="272" t="str">
        <f t="shared" si="17"/>
        <v/>
      </c>
    </row>
    <row r="194" spans="2:17">
      <c r="B194" s="65"/>
      <c r="C194" s="54"/>
      <c r="D194" s="261" t="str">
        <f t="shared" si="13"/>
        <v/>
      </c>
      <c r="E194" s="262" t="str">
        <f t="shared" si="18"/>
        <v/>
      </c>
      <c r="F194" s="125" t="str">
        <f>IF(G194="","",VLOOKUP(G194,プルダウン用リスト!$K$1:$M$16,2,FALSE))</f>
        <v/>
      </c>
      <c r="G194" s="67"/>
      <c r="H194" s="55"/>
      <c r="I194" s="67"/>
      <c r="J194" s="134"/>
      <c r="K194" s="68"/>
      <c r="L194" s="69"/>
      <c r="M194" s="69"/>
      <c r="N194" s="260" t="str">
        <f t="shared" si="14"/>
        <v/>
      </c>
      <c r="O194" s="256">
        <f t="shared" si="16"/>
        <v>0</v>
      </c>
      <c r="P194" s="257" t="str">
        <f t="shared" si="15"/>
        <v>×</v>
      </c>
      <c r="Q194" s="272" t="str">
        <f t="shared" si="17"/>
        <v/>
      </c>
    </row>
    <row r="195" spans="2:17">
      <c r="B195" s="65"/>
      <c r="C195" s="54"/>
      <c r="D195" s="261" t="str">
        <f t="shared" si="13"/>
        <v/>
      </c>
      <c r="E195" s="262" t="str">
        <f t="shared" si="18"/>
        <v/>
      </c>
      <c r="F195" s="125" t="str">
        <f>IF(G195="","",VLOOKUP(G195,プルダウン用リスト!$K$1:$M$16,2,FALSE))</f>
        <v/>
      </c>
      <c r="G195" s="67"/>
      <c r="H195" s="67"/>
      <c r="I195" s="67"/>
      <c r="J195" s="134"/>
      <c r="K195" s="68"/>
      <c r="L195" s="69"/>
      <c r="M195" s="69"/>
      <c r="N195" s="260" t="str">
        <f t="shared" si="14"/>
        <v/>
      </c>
      <c r="O195" s="256">
        <f t="shared" si="16"/>
        <v>0</v>
      </c>
      <c r="P195" s="257" t="str">
        <f t="shared" si="15"/>
        <v>×</v>
      </c>
      <c r="Q195" s="272" t="str">
        <f t="shared" si="17"/>
        <v/>
      </c>
    </row>
    <row r="196" spans="2:17">
      <c r="B196" s="65"/>
      <c r="C196" s="54"/>
      <c r="D196" s="261" t="str">
        <f t="shared" si="13"/>
        <v/>
      </c>
      <c r="E196" s="262" t="str">
        <f t="shared" si="18"/>
        <v/>
      </c>
      <c r="F196" s="125" t="str">
        <f>IF(G196="","",VLOOKUP(G196,プルダウン用リスト!$K$1:$M$16,2,FALSE))</f>
        <v/>
      </c>
      <c r="G196" s="67"/>
      <c r="H196" s="55"/>
      <c r="I196" s="67"/>
      <c r="J196" s="134"/>
      <c r="K196" s="68"/>
      <c r="L196" s="69"/>
      <c r="M196" s="69"/>
      <c r="N196" s="260" t="str">
        <f t="shared" si="14"/>
        <v/>
      </c>
      <c r="O196" s="256">
        <f t="shared" si="16"/>
        <v>0</v>
      </c>
      <c r="P196" s="257" t="str">
        <f t="shared" si="15"/>
        <v>×</v>
      </c>
      <c r="Q196" s="272" t="str">
        <f t="shared" si="17"/>
        <v/>
      </c>
    </row>
    <row r="197" spans="2:17">
      <c r="B197" s="65"/>
      <c r="C197" s="54"/>
      <c r="D197" s="261" t="str">
        <f t="shared" si="13"/>
        <v/>
      </c>
      <c r="E197" s="262" t="str">
        <f t="shared" si="18"/>
        <v/>
      </c>
      <c r="F197" s="125" t="str">
        <f>IF(G197="","",VLOOKUP(G197,プルダウン用リスト!$K$1:$M$16,2,FALSE))</f>
        <v/>
      </c>
      <c r="G197" s="67"/>
      <c r="H197" s="55"/>
      <c r="I197" s="67"/>
      <c r="J197" s="134"/>
      <c r="K197" s="68"/>
      <c r="L197" s="69"/>
      <c r="M197" s="69"/>
      <c r="N197" s="260" t="str">
        <f t="shared" si="14"/>
        <v/>
      </c>
      <c r="O197" s="256">
        <f t="shared" si="16"/>
        <v>0</v>
      </c>
      <c r="P197" s="257" t="str">
        <f t="shared" si="15"/>
        <v>×</v>
      </c>
      <c r="Q197" s="272" t="str">
        <f t="shared" si="17"/>
        <v/>
      </c>
    </row>
    <row r="198" spans="2:17">
      <c r="B198" s="65"/>
      <c r="C198" s="66"/>
      <c r="D198" s="261" t="str">
        <f t="shared" si="13"/>
        <v/>
      </c>
      <c r="E198" s="262" t="str">
        <f t="shared" si="18"/>
        <v/>
      </c>
      <c r="F198" s="125" t="str">
        <f>IF(G198="","",VLOOKUP(G198,プルダウン用リスト!$K$1:$M$16,2,FALSE))</f>
        <v/>
      </c>
      <c r="G198" s="67"/>
      <c r="H198" s="67"/>
      <c r="I198" s="67"/>
      <c r="J198" s="134"/>
      <c r="K198" s="68"/>
      <c r="L198" s="69"/>
      <c r="M198" s="69"/>
      <c r="N198" s="260" t="str">
        <f t="shared" si="14"/>
        <v/>
      </c>
      <c r="O198" s="256">
        <f t="shared" si="16"/>
        <v>0</v>
      </c>
      <c r="P198" s="257" t="str">
        <f t="shared" si="15"/>
        <v>×</v>
      </c>
      <c r="Q198" s="272" t="str">
        <f t="shared" si="17"/>
        <v/>
      </c>
    </row>
    <row r="199" spans="2:17">
      <c r="B199" s="65"/>
      <c r="C199" s="54"/>
      <c r="D199" s="261" t="str">
        <f t="shared" ref="D199:D262" si="19">IF(E199="","",IF(E199="謝金","01.",IF(E199="旅費","02.",IF(E199="その他","04.","03."))))</f>
        <v/>
      </c>
      <c r="E199" s="262" t="str">
        <f t="shared" si="18"/>
        <v/>
      </c>
      <c r="F199" s="125" t="str">
        <f>IF(G199="","",VLOOKUP(G199,プルダウン用リスト!$K$1:$M$16,2,FALSE))</f>
        <v/>
      </c>
      <c r="G199" s="67"/>
      <c r="H199" s="55"/>
      <c r="I199" s="67"/>
      <c r="J199" s="134"/>
      <c r="K199" s="68"/>
      <c r="L199" s="69"/>
      <c r="M199" s="69"/>
      <c r="N199" s="260" t="str">
        <f t="shared" ref="N199:N262" si="20">IF(G199="16.対象外経費",L199,IF(M199="","",L199-M199))</f>
        <v/>
      </c>
      <c r="O199" s="256">
        <f t="shared" si="16"/>
        <v>0</v>
      </c>
      <c r="P199" s="257" t="str">
        <f t="shared" ref="P199:P262" si="21">IF(G199="2.旅費","〇","×")</f>
        <v>×</v>
      </c>
      <c r="Q199" s="272" t="str">
        <f t="shared" si="17"/>
        <v/>
      </c>
    </row>
    <row r="200" spans="2:17">
      <c r="B200" s="65"/>
      <c r="C200" s="54"/>
      <c r="D200" s="261" t="str">
        <f t="shared" si="19"/>
        <v/>
      </c>
      <c r="E200" s="262" t="str">
        <f t="shared" si="18"/>
        <v/>
      </c>
      <c r="F200" s="125" t="str">
        <f>IF(G200="","",VLOOKUP(G200,プルダウン用リスト!$K$1:$M$16,2,FALSE))</f>
        <v/>
      </c>
      <c r="G200" s="67"/>
      <c r="H200" s="55"/>
      <c r="I200" s="67"/>
      <c r="J200" s="134"/>
      <c r="K200" s="68"/>
      <c r="L200" s="69"/>
      <c r="M200" s="69"/>
      <c r="N200" s="260" t="str">
        <f t="shared" si="20"/>
        <v/>
      </c>
      <c r="O200" s="256">
        <f t="shared" ref="O200:O263" si="22">IF(L200&gt;0,COUNTA(B200,C200,G200,H200,I200,K200,,L200,J200),0)</f>
        <v>0</v>
      </c>
      <c r="P200" s="257" t="str">
        <f t="shared" si="21"/>
        <v>×</v>
      </c>
      <c r="Q200" s="272" t="str">
        <f t="shared" ref="Q200:Q263" si="23">_xlfn.IFS(O200=0,"",AND(G200="16.対象外経費",O200=7),"OK",O200&lt;=7,"ピンク色のセルを全て入力してください",O200=9,"OK",P200="〇","旅行区間および宿泊地を入力してください",O200=8,"OK")</f>
        <v/>
      </c>
    </row>
    <row r="201" spans="2:17">
      <c r="B201" s="65"/>
      <c r="C201" s="54"/>
      <c r="D201" s="261" t="str">
        <f t="shared" si="19"/>
        <v/>
      </c>
      <c r="E201" s="262" t="str">
        <f t="shared" si="18"/>
        <v/>
      </c>
      <c r="F201" s="125" t="str">
        <f>IF(G201="","",VLOOKUP(G201,プルダウン用リスト!$K$1:$M$16,2,FALSE))</f>
        <v/>
      </c>
      <c r="G201" s="67"/>
      <c r="H201" s="67"/>
      <c r="I201" s="67"/>
      <c r="J201" s="134"/>
      <c r="K201" s="68"/>
      <c r="L201" s="69"/>
      <c r="M201" s="69"/>
      <c r="N201" s="260" t="str">
        <f t="shared" si="20"/>
        <v/>
      </c>
      <c r="O201" s="256">
        <f t="shared" si="22"/>
        <v>0</v>
      </c>
      <c r="P201" s="257" t="str">
        <f t="shared" si="21"/>
        <v>×</v>
      </c>
      <c r="Q201" s="272" t="str">
        <f t="shared" si="23"/>
        <v/>
      </c>
    </row>
    <row r="202" spans="2:17">
      <c r="B202" s="65"/>
      <c r="C202" s="54"/>
      <c r="D202" s="261" t="str">
        <f t="shared" si="19"/>
        <v/>
      </c>
      <c r="E202" s="262" t="str">
        <f t="shared" si="18"/>
        <v/>
      </c>
      <c r="F202" s="125" t="str">
        <f>IF(G202="","",VLOOKUP(G202,プルダウン用リスト!$K$1:$M$16,2,FALSE))</f>
        <v/>
      </c>
      <c r="G202" s="67"/>
      <c r="H202" s="55"/>
      <c r="I202" s="67"/>
      <c r="J202" s="134"/>
      <c r="K202" s="68"/>
      <c r="L202" s="69"/>
      <c r="M202" s="69"/>
      <c r="N202" s="260" t="str">
        <f t="shared" si="20"/>
        <v/>
      </c>
      <c r="O202" s="256">
        <f t="shared" si="22"/>
        <v>0</v>
      </c>
      <c r="P202" s="257" t="str">
        <f t="shared" si="21"/>
        <v>×</v>
      </c>
      <c r="Q202" s="272" t="str">
        <f t="shared" si="23"/>
        <v/>
      </c>
    </row>
    <row r="203" spans="2:17">
      <c r="B203" s="65"/>
      <c r="C203" s="54"/>
      <c r="D203" s="261" t="str">
        <f t="shared" si="19"/>
        <v/>
      </c>
      <c r="E203" s="262" t="str">
        <f t="shared" si="18"/>
        <v/>
      </c>
      <c r="F203" s="125" t="str">
        <f>IF(G203="","",VLOOKUP(G203,プルダウン用リスト!$K$1:$M$16,2,FALSE))</f>
        <v/>
      </c>
      <c r="G203" s="67"/>
      <c r="H203" s="55"/>
      <c r="I203" s="67"/>
      <c r="J203" s="134"/>
      <c r="K203" s="68"/>
      <c r="L203" s="69"/>
      <c r="M203" s="69"/>
      <c r="N203" s="260" t="str">
        <f t="shared" si="20"/>
        <v/>
      </c>
      <c r="O203" s="256">
        <f t="shared" si="22"/>
        <v>0</v>
      </c>
      <c r="P203" s="257" t="str">
        <f t="shared" si="21"/>
        <v>×</v>
      </c>
      <c r="Q203" s="272" t="str">
        <f t="shared" si="23"/>
        <v/>
      </c>
    </row>
    <row r="204" spans="2:17">
      <c r="B204" s="65"/>
      <c r="C204" s="54"/>
      <c r="D204" s="261" t="str">
        <f t="shared" si="19"/>
        <v/>
      </c>
      <c r="E204" s="262" t="str">
        <f t="shared" si="18"/>
        <v/>
      </c>
      <c r="F204" s="125" t="str">
        <f>IF(G204="","",VLOOKUP(G204,プルダウン用リスト!$K$1:$M$16,2,FALSE))</f>
        <v/>
      </c>
      <c r="G204" s="67"/>
      <c r="H204" s="67"/>
      <c r="I204" s="67"/>
      <c r="J204" s="134"/>
      <c r="K204" s="68"/>
      <c r="L204" s="69"/>
      <c r="M204" s="69"/>
      <c r="N204" s="260" t="str">
        <f t="shared" si="20"/>
        <v/>
      </c>
      <c r="O204" s="256">
        <f t="shared" si="22"/>
        <v>0</v>
      </c>
      <c r="P204" s="257" t="str">
        <f t="shared" si="21"/>
        <v>×</v>
      </c>
      <c r="Q204" s="272" t="str">
        <f t="shared" si="23"/>
        <v/>
      </c>
    </row>
    <row r="205" spans="2:17">
      <c r="B205" s="65"/>
      <c r="C205" s="54"/>
      <c r="D205" s="261" t="str">
        <f t="shared" si="19"/>
        <v/>
      </c>
      <c r="E205" s="262" t="str">
        <f t="shared" si="18"/>
        <v/>
      </c>
      <c r="F205" s="125" t="str">
        <f>IF(G205="","",VLOOKUP(G205,プルダウン用リスト!$K$1:$M$16,2,FALSE))</f>
        <v/>
      </c>
      <c r="G205" s="67"/>
      <c r="H205" s="55"/>
      <c r="I205" s="67"/>
      <c r="J205" s="134"/>
      <c r="K205" s="68"/>
      <c r="L205" s="69"/>
      <c r="M205" s="69"/>
      <c r="N205" s="260" t="str">
        <f t="shared" si="20"/>
        <v/>
      </c>
      <c r="O205" s="256">
        <f t="shared" si="22"/>
        <v>0</v>
      </c>
      <c r="P205" s="257" t="str">
        <f t="shared" si="21"/>
        <v>×</v>
      </c>
      <c r="Q205" s="272" t="str">
        <f t="shared" si="23"/>
        <v/>
      </c>
    </row>
    <row r="206" spans="2:17">
      <c r="B206" s="65"/>
      <c r="C206" s="54"/>
      <c r="D206" s="261" t="str">
        <f t="shared" si="19"/>
        <v/>
      </c>
      <c r="E206" s="262" t="str">
        <f t="shared" si="18"/>
        <v/>
      </c>
      <c r="F206" s="125" t="str">
        <f>IF(G206="","",VLOOKUP(G206,プルダウン用リスト!$K$1:$M$16,2,FALSE))</f>
        <v/>
      </c>
      <c r="G206" s="67"/>
      <c r="H206" s="55"/>
      <c r="I206" s="67"/>
      <c r="J206" s="134"/>
      <c r="K206" s="68"/>
      <c r="L206" s="69"/>
      <c r="M206" s="69"/>
      <c r="N206" s="260" t="str">
        <f t="shared" si="20"/>
        <v/>
      </c>
      <c r="O206" s="256">
        <f t="shared" si="22"/>
        <v>0</v>
      </c>
      <c r="P206" s="257" t="str">
        <f t="shared" si="21"/>
        <v>×</v>
      </c>
      <c r="Q206" s="272" t="str">
        <f t="shared" si="23"/>
        <v/>
      </c>
    </row>
    <row r="207" spans="2:17">
      <c r="B207" s="65"/>
      <c r="C207" s="54"/>
      <c r="D207" s="261" t="str">
        <f t="shared" si="19"/>
        <v/>
      </c>
      <c r="E207" s="262" t="str">
        <f t="shared" si="18"/>
        <v/>
      </c>
      <c r="F207" s="125" t="str">
        <f>IF(G207="","",VLOOKUP(G207,プルダウン用リスト!$K$1:$M$16,2,FALSE))</f>
        <v/>
      </c>
      <c r="G207" s="67"/>
      <c r="H207" s="67"/>
      <c r="I207" s="67"/>
      <c r="J207" s="134"/>
      <c r="K207" s="68"/>
      <c r="L207" s="69"/>
      <c r="M207" s="69"/>
      <c r="N207" s="260" t="str">
        <f t="shared" si="20"/>
        <v/>
      </c>
      <c r="O207" s="256">
        <f t="shared" si="22"/>
        <v>0</v>
      </c>
      <c r="P207" s="257" t="str">
        <f t="shared" si="21"/>
        <v>×</v>
      </c>
      <c r="Q207" s="272" t="str">
        <f t="shared" si="23"/>
        <v/>
      </c>
    </row>
    <row r="208" spans="2:17">
      <c r="B208" s="65"/>
      <c r="C208" s="54"/>
      <c r="D208" s="261" t="str">
        <f t="shared" si="19"/>
        <v/>
      </c>
      <c r="E208" s="262" t="str">
        <f t="shared" si="18"/>
        <v/>
      </c>
      <c r="F208" s="125" t="str">
        <f>IF(G208="","",VLOOKUP(G208,プルダウン用リスト!$K$1:$M$16,2,FALSE))</f>
        <v/>
      </c>
      <c r="G208" s="67"/>
      <c r="H208" s="55"/>
      <c r="I208" s="67"/>
      <c r="J208" s="134"/>
      <c r="K208" s="68"/>
      <c r="L208" s="69"/>
      <c r="M208" s="69"/>
      <c r="N208" s="260" t="str">
        <f t="shared" si="20"/>
        <v/>
      </c>
      <c r="O208" s="256">
        <f t="shared" si="22"/>
        <v>0</v>
      </c>
      <c r="P208" s="257" t="str">
        <f t="shared" si="21"/>
        <v>×</v>
      </c>
      <c r="Q208" s="272" t="str">
        <f t="shared" si="23"/>
        <v/>
      </c>
    </row>
    <row r="209" spans="2:17">
      <c r="B209" s="65"/>
      <c r="C209" s="54"/>
      <c r="D209" s="261" t="str">
        <f t="shared" si="19"/>
        <v/>
      </c>
      <c r="E209" s="262" t="str">
        <f t="shared" si="18"/>
        <v/>
      </c>
      <c r="F209" s="125" t="str">
        <f>IF(G209="","",VLOOKUP(G209,プルダウン用リスト!$K$1:$M$16,2,FALSE))</f>
        <v/>
      </c>
      <c r="G209" s="67"/>
      <c r="H209" s="55"/>
      <c r="I209" s="67"/>
      <c r="J209" s="134"/>
      <c r="K209" s="68"/>
      <c r="L209" s="69"/>
      <c r="M209" s="69"/>
      <c r="N209" s="260" t="str">
        <f t="shared" si="20"/>
        <v/>
      </c>
      <c r="O209" s="256">
        <f t="shared" si="22"/>
        <v>0</v>
      </c>
      <c r="P209" s="257" t="str">
        <f t="shared" si="21"/>
        <v>×</v>
      </c>
      <c r="Q209" s="272" t="str">
        <f t="shared" si="23"/>
        <v/>
      </c>
    </row>
    <row r="210" spans="2:17">
      <c r="B210" s="65"/>
      <c r="C210" s="66"/>
      <c r="D210" s="261" t="str">
        <f t="shared" si="19"/>
        <v/>
      </c>
      <c r="E210" s="262" t="str">
        <f t="shared" si="18"/>
        <v/>
      </c>
      <c r="F210" s="125" t="str">
        <f>IF(G210="","",VLOOKUP(G210,プルダウン用リスト!$K$1:$M$16,2,FALSE))</f>
        <v/>
      </c>
      <c r="G210" s="67"/>
      <c r="H210" s="67"/>
      <c r="I210" s="67"/>
      <c r="J210" s="134"/>
      <c r="K210" s="68"/>
      <c r="L210" s="69"/>
      <c r="M210" s="69"/>
      <c r="N210" s="260" t="str">
        <f t="shared" si="20"/>
        <v/>
      </c>
      <c r="O210" s="256">
        <f t="shared" si="22"/>
        <v>0</v>
      </c>
      <c r="P210" s="257" t="str">
        <f t="shared" si="21"/>
        <v>×</v>
      </c>
      <c r="Q210" s="272" t="str">
        <f t="shared" si="23"/>
        <v/>
      </c>
    </row>
    <row r="211" spans="2:17">
      <c r="B211" s="65"/>
      <c r="C211" s="54"/>
      <c r="D211" s="261" t="str">
        <f t="shared" si="19"/>
        <v/>
      </c>
      <c r="E211" s="262" t="str">
        <f t="shared" si="18"/>
        <v/>
      </c>
      <c r="F211" s="125" t="str">
        <f>IF(G211="","",VLOOKUP(G211,プルダウン用リスト!$K$1:$M$16,2,FALSE))</f>
        <v/>
      </c>
      <c r="G211" s="67"/>
      <c r="H211" s="55"/>
      <c r="I211" s="67"/>
      <c r="J211" s="134"/>
      <c r="K211" s="68"/>
      <c r="L211" s="69"/>
      <c r="M211" s="69"/>
      <c r="N211" s="260" t="str">
        <f t="shared" si="20"/>
        <v/>
      </c>
      <c r="O211" s="256">
        <f t="shared" si="22"/>
        <v>0</v>
      </c>
      <c r="P211" s="257" t="str">
        <f t="shared" si="21"/>
        <v>×</v>
      </c>
      <c r="Q211" s="272" t="str">
        <f t="shared" si="23"/>
        <v/>
      </c>
    </row>
    <row r="212" spans="2:17">
      <c r="B212" s="65"/>
      <c r="C212" s="54"/>
      <c r="D212" s="261" t="str">
        <f t="shared" si="19"/>
        <v/>
      </c>
      <c r="E212" s="262" t="str">
        <f t="shared" si="18"/>
        <v/>
      </c>
      <c r="F212" s="125" t="str">
        <f>IF(G212="","",VLOOKUP(G212,プルダウン用リスト!$K$1:$M$16,2,FALSE))</f>
        <v/>
      </c>
      <c r="G212" s="67"/>
      <c r="H212" s="55"/>
      <c r="I212" s="67"/>
      <c r="J212" s="134"/>
      <c r="K212" s="68"/>
      <c r="L212" s="69"/>
      <c r="M212" s="69"/>
      <c r="N212" s="260" t="str">
        <f t="shared" si="20"/>
        <v/>
      </c>
      <c r="O212" s="256">
        <f t="shared" si="22"/>
        <v>0</v>
      </c>
      <c r="P212" s="257" t="str">
        <f t="shared" si="21"/>
        <v>×</v>
      </c>
      <c r="Q212" s="272" t="str">
        <f t="shared" si="23"/>
        <v/>
      </c>
    </row>
    <row r="213" spans="2:17">
      <c r="B213" s="65"/>
      <c r="C213" s="54"/>
      <c r="D213" s="261" t="str">
        <f t="shared" si="19"/>
        <v/>
      </c>
      <c r="E213" s="262" t="str">
        <f t="shared" si="18"/>
        <v/>
      </c>
      <c r="F213" s="125" t="str">
        <f>IF(G213="","",VLOOKUP(G213,プルダウン用リスト!$K$1:$M$16,2,FALSE))</f>
        <v/>
      </c>
      <c r="G213" s="67"/>
      <c r="H213" s="67"/>
      <c r="I213" s="67"/>
      <c r="J213" s="134"/>
      <c r="K213" s="68"/>
      <c r="L213" s="69"/>
      <c r="M213" s="69"/>
      <c r="N213" s="260" t="str">
        <f t="shared" si="20"/>
        <v/>
      </c>
      <c r="O213" s="256">
        <f t="shared" si="22"/>
        <v>0</v>
      </c>
      <c r="P213" s="257" t="str">
        <f t="shared" si="21"/>
        <v>×</v>
      </c>
      <c r="Q213" s="272" t="str">
        <f t="shared" si="23"/>
        <v/>
      </c>
    </row>
    <row r="214" spans="2:17">
      <c r="B214" s="65"/>
      <c r="C214" s="54"/>
      <c r="D214" s="261" t="str">
        <f t="shared" si="19"/>
        <v/>
      </c>
      <c r="E214" s="262" t="str">
        <f t="shared" si="18"/>
        <v/>
      </c>
      <c r="F214" s="125" t="str">
        <f>IF(G214="","",VLOOKUP(G214,プルダウン用リスト!$K$1:$M$16,2,FALSE))</f>
        <v/>
      </c>
      <c r="G214" s="67"/>
      <c r="H214" s="55"/>
      <c r="I214" s="67"/>
      <c r="J214" s="134"/>
      <c r="K214" s="68"/>
      <c r="L214" s="69"/>
      <c r="M214" s="69"/>
      <c r="N214" s="260" t="str">
        <f t="shared" si="20"/>
        <v/>
      </c>
      <c r="O214" s="256">
        <f t="shared" si="22"/>
        <v>0</v>
      </c>
      <c r="P214" s="257" t="str">
        <f t="shared" si="21"/>
        <v>×</v>
      </c>
      <c r="Q214" s="272" t="str">
        <f t="shared" si="23"/>
        <v/>
      </c>
    </row>
    <row r="215" spans="2:17">
      <c r="B215" s="65"/>
      <c r="C215" s="54"/>
      <c r="D215" s="261" t="str">
        <f t="shared" si="19"/>
        <v/>
      </c>
      <c r="E215" s="262" t="str">
        <f t="shared" ref="E215:E278" si="24">IF(G215="","",IF(OR(G215="1.謝金（内部）",G215="1.謝金（外部）"),"謝金",IF(G215="2.旅費","旅費",IF(G215="16.対象外経費","その他","所費"))))</f>
        <v/>
      </c>
      <c r="F215" s="125" t="str">
        <f>IF(G215="","",VLOOKUP(G215,プルダウン用リスト!$K$1:$M$16,2,FALSE))</f>
        <v/>
      </c>
      <c r="G215" s="67"/>
      <c r="H215" s="55"/>
      <c r="I215" s="67"/>
      <c r="J215" s="134"/>
      <c r="K215" s="68"/>
      <c r="L215" s="69"/>
      <c r="M215" s="69"/>
      <c r="N215" s="260" t="str">
        <f t="shared" si="20"/>
        <v/>
      </c>
      <c r="O215" s="256">
        <f t="shared" si="22"/>
        <v>0</v>
      </c>
      <c r="P215" s="257" t="str">
        <f t="shared" si="21"/>
        <v>×</v>
      </c>
      <c r="Q215" s="272" t="str">
        <f t="shared" si="23"/>
        <v/>
      </c>
    </row>
    <row r="216" spans="2:17">
      <c r="B216" s="65"/>
      <c r="C216" s="54"/>
      <c r="D216" s="261" t="str">
        <f t="shared" si="19"/>
        <v/>
      </c>
      <c r="E216" s="262" t="str">
        <f t="shared" si="24"/>
        <v/>
      </c>
      <c r="F216" s="125" t="str">
        <f>IF(G216="","",VLOOKUP(G216,プルダウン用リスト!$K$1:$M$16,2,FALSE))</f>
        <v/>
      </c>
      <c r="G216" s="67"/>
      <c r="H216" s="67"/>
      <c r="I216" s="67"/>
      <c r="J216" s="134"/>
      <c r="K216" s="68"/>
      <c r="L216" s="69"/>
      <c r="M216" s="69"/>
      <c r="N216" s="260" t="str">
        <f t="shared" si="20"/>
        <v/>
      </c>
      <c r="O216" s="256">
        <f t="shared" si="22"/>
        <v>0</v>
      </c>
      <c r="P216" s="257" t="str">
        <f t="shared" si="21"/>
        <v>×</v>
      </c>
      <c r="Q216" s="272" t="str">
        <f t="shared" si="23"/>
        <v/>
      </c>
    </row>
    <row r="217" spans="2:17">
      <c r="B217" s="65"/>
      <c r="C217" s="54"/>
      <c r="D217" s="261" t="str">
        <f t="shared" si="19"/>
        <v/>
      </c>
      <c r="E217" s="262" t="str">
        <f t="shared" si="24"/>
        <v/>
      </c>
      <c r="F217" s="125" t="str">
        <f>IF(G217="","",VLOOKUP(G217,プルダウン用リスト!$K$1:$M$16,2,FALSE))</f>
        <v/>
      </c>
      <c r="G217" s="67"/>
      <c r="H217" s="55"/>
      <c r="I217" s="67"/>
      <c r="J217" s="134"/>
      <c r="K217" s="68"/>
      <c r="L217" s="69"/>
      <c r="M217" s="69"/>
      <c r="N217" s="260" t="str">
        <f t="shared" si="20"/>
        <v/>
      </c>
      <c r="O217" s="256">
        <f t="shared" si="22"/>
        <v>0</v>
      </c>
      <c r="P217" s="257" t="str">
        <f t="shared" si="21"/>
        <v>×</v>
      </c>
      <c r="Q217" s="272" t="str">
        <f t="shared" si="23"/>
        <v/>
      </c>
    </row>
    <row r="218" spans="2:17">
      <c r="B218" s="65"/>
      <c r="C218" s="54"/>
      <c r="D218" s="261" t="str">
        <f t="shared" si="19"/>
        <v/>
      </c>
      <c r="E218" s="262" t="str">
        <f t="shared" si="24"/>
        <v/>
      </c>
      <c r="F218" s="125" t="str">
        <f>IF(G218="","",VLOOKUP(G218,プルダウン用リスト!$K$1:$M$16,2,FALSE))</f>
        <v/>
      </c>
      <c r="G218" s="67"/>
      <c r="H218" s="55"/>
      <c r="I218" s="67"/>
      <c r="J218" s="134"/>
      <c r="K218" s="68"/>
      <c r="L218" s="69"/>
      <c r="M218" s="69"/>
      <c r="N218" s="260" t="str">
        <f t="shared" si="20"/>
        <v/>
      </c>
      <c r="O218" s="256">
        <f t="shared" si="22"/>
        <v>0</v>
      </c>
      <c r="P218" s="257" t="str">
        <f t="shared" si="21"/>
        <v>×</v>
      </c>
      <c r="Q218" s="272" t="str">
        <f t="shared" si="23"/>
        <v/>
      </c>
    </row>
    <row r="219" spans="2:17">
      <c r="B219" s="65"/>
      <c r="C219" s="54"/>
      <c r="D219" s="261" t="str">
        <f t="shared" si="19"/>
        <v/>
      </c>
      <c r="E219" s="262" t="str">
        <f t="shared" si="24"/>
        <v/>
      </c>
      <c r="F219" s="125" t="str">
        <f>IF(G219="","",VLOOKUP(G219,プルダウン用リスト!$K$1:$M$16,2,FALSE))</f>
        <v/>
      </c>
      <c r="G219" s="67"/>
      <c r="H219" s="67"/>
      <c r="I219" s="67"/>
      <c r="J219" s="134"/>
      <c r="K219" s="68"/>
      <c r="L219" s="69"/>
      <c r="M219" s="69"/>
      <c r="N219" s="260" t="str">
        <f t="shared" si="20"/>
        <v/>
      </c>
      <c r="O219" s="256">
        <f t="shared" si="22"/>
        <v>0</v>
      </c>
      <c r="P219" s="257" t="str">
        <f t="shared" si="21"/>
        <v>×</v>
      </c>
      <c r="Q219" s="272" t="str">
        <f t="shared" si="23"/>
        <v/>
      </c>
    </row>
    <row r="220" spans="2:17">
      <c r="B220" s="65"/>
      <c r="C220" s="54"/>
      <c r="D220" s="261" t="str">
        <f t="shared" si="19"/>
        <v/>
      </c>
      <c r="E220" s="262" t="str">
        <f t="shared" si="24"/>
        <v/>
      </c>
      <c r="F220" s="125" t="str">
        <f>IF(G220="","",VLOOKUP(G220,プルダウン用リスト!$K$1:$M$16,2,FALSE))</f>
        <v/>
      </c>
      <c r="G220" s="67"/>
      <c r="H220" s="55"/>
      <c r="I220" s="67"/>
      <c r="J220" s="134"/>
      <c r="K220" s="68"/>
      <c r="L220" s="69"/>
      <c r="M220" s="69"/>
      <c r="N220" s="260" t="str">
        <f t="shared" si="20"/>
        <v/>
      </c>
      <c r="O220" s="256">
        <f t="shared" si="22"/>
        <v>0</v>
      </c>
      <c r="P220" s="257" t="str">
        <f t="shared" si="21"/>
        <v>×</v>
      </c>
      <c r="Q220" s="272" t="str">
        <f t="shared" si="23"/>
        <v/>
      </c>
    </row>
    <row r="221" spans="2:17">
      <c r="B221" s="65"/>
      <c r="C221" s="54"/>
      <c r="D221" s="261" t="str">
        <f t="shared" si="19"/>
        <v/>
      </c>
      <c r="E221" s="262" t="str">
        <f t="shared" si="24"/>
        <v/>
      </c>
      <c r="F221" s="125" t="str">
        <f>IF(G221="","",VLOOKUP(G221,プルダウン用リスト!$K$1:$M$16,2,FALSE))</f>
        <v/>
      </c>
      <c r="G221" s="67"/>
      <c r="H221" s="55"/>
      <c r="I221" s="67"/>
      <c r="J221" s="134"/>
      <c r="K221" s="68"/>
      <c r="L221" s="69"/>
      <c r="M221" s="69"/>
      <c r="N221" s="260" t="str">
        <f t="shared" si="20"/>
        <v/>
      </c>
      <c r="O221" s="256">
        <f t="shared" si="22"/>
        <v>0</v>
      </c>
      <c r="P221" s="257" t="str">
        <f t="shared" si="21"/>
        <v>×</v>
      </c>
      <c r="Q221" s="272" t="str">
        <f t="shared" si="23"/>
        <v/>
      </c>
    </row>
    <row r="222" spans="2:17">
      <c r="B222" s="65"/>
      <c r="C222" s="66"/>
      <c r="D222" s="261" t="str">
        <f t="shared" si="19"/>
        <v/>
      </c>
      <c r="E222" s="262" t="str">
        <f t="shared" si="24"/>
        <v/>
      </c>
      <c r="F222" s="125" t="str">
        <f>IF(G222="","",VLOOKUP(G222,プルダウン用リスト!$K$1:$M$16,2,FALSE))</f>
        <v/>
      </c>
      <c r="G222" s="67"/>
      <c r="H222" s="67"/>
      <c r="I222" s="67"/>
      <c r="J222" s="134"/>
      <c r="K222" s="68"/>
      <c r="L222" s="69"/>
      <c r="M222" s="69"/>
      <c r="N222" s="260" t="str">
        <f t="shared" si="20"/>
        <v/>
      </c>
      <c r="O222" s="256">
        <f t="shared" si="22"/>
        <v>0</v>
      </c>
      <c r="P222" s="257" t="str">
        <f t="shared" si="21"/>
        <v>×</v>
      </c>
      <c r="Q222" s="272" t="str">
        <f t="shared" si="23"/>
        <v/>
      </c>
    </row>
    <row r="223" spans="2:17">
      <c r="B223" s="65"/>
      <c r="C223" s="54"/>
      <c r="D223" s="261" t="str">
        <f t="shared" si="19"/>
        <v/>
      </c>
      <c r="E223" s="262" t="str">
        <f t="shared" si="24"/>
        <v/>
      </c>
      <c r="F223" s="125" t="str">
        <f>IF(G223="","",VLOOKUP(G223,プルダウン用リスト!$K$1:$M$16,2,FALSE))</f>
        <v/>
      </c>
      <c r="G223" s="67"/>
      <c r="H223" s="55"/>
      <c r="I223" s="67"/>
      <c r="J223" s="134"/>
      <c r="K223" s="68"/>
      <c r="L223" s="69"/>
      <c r="M223" s="69"/>
      <c r="N223" s="260" t="str">
        <f t="shared" si="20"/>
        <v/>
      </c>
      <c r="O223" s="256">
        <f t="shared" si="22"/>
        <v>0</v>
      </c>
      <c r="P223" s="257" t="str">
        <f t="shared" si="21"/>
        <v>×</v>
      </c>
      <c r="Q223" s="272" t="str">
        <f t="shared" si="23"/>
        <v/>
      </c>
    </row>
    <row r="224" spans="2:17">
      <c r="B224" s="65"/>
      <c r="C224" s="54"/>
      <c r="D224" s="261" t="str">
        <f t="shared" si="19"/>
        <v/>
      </c>
      <c r="E224" s="262" t="str">
        <f t="shared" si="24"/>
        <v/>
      </c>
      <c r="F224" s="125" t="str">
        <f>IF(G224="","",VLOOKUP(G224,プルダウン用リスト!$K$1:$M$16,2,FALSE))</f>
        <v/>
      </c>
      <c r="G224" s="67"/>
      <c r="H224" s="55"/>
      <c r="I224" s="67"/>
      <c r="J224" s="134"/>
      <c r="K224" s="68"/>
      <c r="L224" s="69"/>
      <c r="M224" s="69"/>
      <c r="N224" s="260" t="str">
        <f t="shared" si="20"/>
        <v/>
      </c>
      <c r="O224" s="256">
        <f t="shared" si="22"/>
        <v>0</v>
      </c>
      <c r="P224" s="257" t="str">
        <f t="shared" si="21"/>
        <v>×</v>
      </c>
      <c r="Q224" s="272" t="str">
        <f t="shared" si="23"/>
        <v/>
      </c>
    </row>
    <row r="225" spans="2:17">
      <c r="B225" s="65"/>
      <c r="C225" s="54"/>
      <c r="D225" s="261" t="str">
        <f t="shared" si="19"/>
        <v/>
      </c>
      <c r="E225" s="262" t="str">
        <f t="shared" si="24"/>
        <v/>
      </c>
      <c r="F225" s="125" t="str">
        <f>IF(G225="","",VLOOKUP(G225,プルダウン用リスト!$K$1:$M$16,2,FALSE))</f>
        <v/>
      </c>
      <c r="G225" s="67"/>
      <c r="H225" s="67"/>
      <c r="I225" s="67"/>
      <c r="J225" s="134"/>
      <c r="K225" s="68"/>
      <c r="L225" s="69"/>
      <c r="M225" s="69"/>
      <c r="N225" s="260" t="str">
        <f t="shared" si="20"/>
        <v/>
      </c>
      <c r="O225" s="256">
        <f t="shared" si="22"/>
        <v>0</v>
      </c>
      <c r="P225" s="257" t="str">
        <f t="shared" si="21"/>
        <v>×</v>
      </c>
      <c r="Q225" s="272" t="str">
        <f t="shared" si="23"/>
        <v/>
      </c>
    </row>
    <row r="226" spans="2:17">
      <c r="B226" s="65"/>
      <c r="C226" s="54"/>
      <c r="D226" s="261" t="str">
        <f t="shared" si="19"/>
        <v/>
      </c>
      <c r="E226" s="262" t="str">
        <f t="shared" si="24"/>
        <v/>
      </c>
      <c r="F226" s="125" t="str">
        <f>IF(G226="","",VLOOKUP(G226,プルダウン用リスト!$K$1:$M$16,2,FALSE))</f>
        <v/>
      </c>
      <c r="G226" s="67"/>
      <c r="H226" s="55"/>
      <c r="I226" s="67"/>
      <c r="J226" s="134"/>
      <c r="K226" s="68"/>
      <c r="L226" s="69"/>
      <c r="M226" s="69"/>
      <c r="N226" s="260" t="str">
        <f t="shared" si="20"/>
        <v/>
      </c>
      <c r="O226" s="256">
        <f t="shared" si="22"/>
        <v>0</v>
      </c>
      <c r="P226" s="257" t="str">
        <f t="shared" si="21"/>
        <v>×</v>
      </c>
      <c r="Q226" s="272" t="str">
        <f t="shared" si="23"/>
        <v/>
      </c>
    </row>
    <row r="227" spans="2:17">
      <c r="B227" s="65"/>
      <c r="C227" s="54"/>
      <c r="D227" s="261" t="str">
        <f t="shared" si="19"/>
        <v/>
      </c>
      <c r="E227" s="262" t="str">
        <f t="shared" si="24"/>
        <v/>
      </c>
      <c r="F227" s="125" t="str">
        <f>IF(G227="","",VLOOKUP(G227,プルダウン用リスト!$K$1:$M$16,2,FALSE))</f>
        <v/>
      </c>
      <c r="G227" s="67"/>
      <c r="H227" s="55"/>
      <c r="I227" s="67"/>
      <c r="J227" s="134"/>
      <c r="K227" s="68"/>
      <c r="L227" s="69"/>
      <c r="M227" s="69"/>
      <c r="N227" s="260" t="str">
        <f t="shared" si="20"/>
        <v/>
      </c>
      <c r="O227" s="256">
        <f t="shared" si="22"/>
        <v>0</v>
      </c>
      <c r="P227" s="257" t="str">
        <f t="shared" si="21"/>
        <v>×</v>
      </c>
      <c r="Q227" s="272" t="str">
        <f t="shared" si="23"/>
        <v/>
      </c>
    </row>
    <row r="228" spans="2:17">
      <c r="B228" s="65"/>
      <c r="C228" s="54"/>
      <c r="D228" s="261" t="str">
        <f t="shared" si="19"/>
        <v/>
      </c>
      <c r="E228" s="262" t="str">
        <f t="shared" si="24"/>
        <v/>
      </c>
      <c r="F228" s="125" t="str">
        <f>IF(G228="","",VLOOKUP(G228,プルダウン用リスト!$K$1:$M$16,2,FALSE))</f>
        <v/>
      </c>
      <c r="G228" s="67"/>
      <c r="H228" s="67"/>
      <c r="I228" s="67"/>
      <c r="J228" s="134"/>
      <c r="K228" s="68"/>
      <c r="L228" s="69"/>
      <c r="M228" s="69"/>
      <c r="N228" s="260" t="str">
        <f t="shared" si="20"/>
        <v/>
      </c>
      <c r="O228" s="256">
        <f t="shared" si="22"/>
        <v>0</v>
      </c>
      <c r="P228" s="257" t="str">
        <f t="shared" si="21"/>
        <v>×</v>
      </c>
      <c r="Q228" s="272" t="str">
        <f t="shared" si="23"/>
        <v/>
      </c>
    </row>
    <row r="229" spans="2:17">
      <c r="B229" s="65"/>
      <c r="C229" s="54"/>
      <c r="D229" s="261" t="str">
        <f t="shared" si="19"/>
        <v/>
      </c>
      <c r="E229" s="262" t="str">
        <f t="shared" si="24"/>
        <v/>
      </c>
      <c r="F229" s="125" t="str">
        <f>IF(G229="","",VLOOKUP(G229,プルダウン用リスト!$K$1:$M$16,2,FALSE))</f>
        <v/>
      </c>
      <c r="G229" s="67"/>
      <c r="H229" s="55"/>
      <c r="I229" s="67"/>
      <c r="J229" s="134"/>
      <c r="K229" s="68"/>
      <c r="L229" s="69"/>
      <c r="M229" s="69"/>
      <c r="N229" s="260" t="str">
        <f t="shared" si="20"/>
        <v/>
      </c>
      <c r="O229" s="256">
        <f t="shared" si="22"/>
        <v>0</v>
      </c>
      <c r="P229" s="257" t="str">
        <f t="shared" si="21"/>
        <v>×</v>
      </c>
      <c r="Q229" s="272" t="str">
        <f t="shared" si="23"/>
        <v/>
      </c>
    </row>
    <row r="230" spans="2:17">
      <c r="B230" s="65"/>
      <c r="C230" s="54"/>
      <c r="D230" s="261" t="str">
        <f t="shared" si="19"/>
        <v/>
      </c>
      <c r="E230" s="262" t="str">
        <f t="shared" si="24"/>
        <v/>
      </c>
      <c r="F230" s="125" t="str">
        <f>IF(G230="","",VLOOKUP(G230,プルダウン用リスト!$K$1:$M$16,2,FALSE))</f>
        <v/>
      </c>
      <c r="G230" s="67"/>
      <c r="H230" s="55"/>
      <c r="I230" s="67"/>
      <c r="J230" s="134"/>
      <c r="K230" s="68"/>
      <c r="L230" s="69"/>
      <c r="M230" s="69"/>
      <c r="N230" s="260" t="str">
        <f t="shared" si="20"/>
        <v/>
      </c>
      <c r="O230" s="256">
        <f t="shared" si="22"/>
        <v>0</v>
      </c>
      <c r="P230" s="257" t="str">
        <f t="shared" si="21"/>
        <v>×</v>
      </c>
      <c r="Q230" s="272" t="str">
        <f t="shared" si="23"/>
        <v/>
      </c>
    </row>
    <row r="231" spans="2:17">
      <c r="B231" s="65"/>
      <c r="C231" s="54"/>
      <c r="D231" s="261" t="str">
        <f t="shared" si="19"/>
        <v/>
      </c>
      <c r="E231" s="262" t="str">
        <f t="shared" si="24"/>
        <v/>
      </c>
      <c r="F231" s="125" t="str">
        <f>IF(G231="","",VLOOKUP(G231,プルダウン用リスト!$K$1:$M$16,2,FALSE))</f>
        <v/>
      </c>
      <c r="G231" s="67"/>
      <c r="H231" s="67"/>
      <c r="I231" s="67"/>
      <c r="J231" s="134"/>
      <c r="K231" s="68"/>
      <c r="L231" s="69"/>
      <c r="M231" s="69"/>
      <c r="N231" s="260" t="str">
        <f t="shared" si="20"/>
        <v/>
      </c>
      <c r="O231" s="256">
        <f t="shared" si="22"/>
        <v>0</v>
      </c>
      <c r="P231" s="257" t="str">
        <f t="shared" si="21"/>
        <v>×</v>
      </c>
      <c r="Q231" s="272" t="str">
        <f t="shared" si="23"/>
        <v/>
      </c>
    </row>
    <row r="232" spans="2:17">
      <c r="B232" s="65"/>
      <c r="C232" s="54"/>
      <c r="D232" s="261" t="str">
        <f t="shared" si="19"/>
        <v/>
      </c>
      <c r="E232" s="262" t="str">
        <f t="shared" si="24"/>
        <v/>
      </c>
      <c r="F232" s="125" t="str">
        <f>IF(G232="","",VLOOKUP(G232,プルダウン用リスト!$K$1:$M$16,2,FALSE))</f>
        <v/>
      </c>
      <c r="G232" s="67"/>
      <c r="H232" s="55"/>
      <c r="I232" s="67"/>
      <c r="J232" s="134"/>
      <c r="K232" s="68"/>
      <c r="L232" s="69"/>
      <c r="M232" s="69"/>
      <c r="N232" s="260" t="str">
        <f t="shared" si="20"/>
        <v/>
      </c>
      <c r="O232" s="256">
        <f t="shared" si="22"/>
        <v>0</v>
      </c>
      <c r="P232" s="257" t="str">
        <f t="shared" si="21"/>
        <v>×</v>
      </c>
      <c r="Q232" s="272" t="str">
        <f t="shared" si="23"/>
        <v/>
      </c>
    </row>
    <row r="233" spans="2:17">
      <c r="B233" s="65"/>
      <c r="C233" s="54"/>
      <c r="D233" s="261" t="str">
        <f t="shared" si="19"/>
        <v/>
      </c>
      <c r="E233" s="262" t="str">
        <f t="shared" si="24"/>
        <v/>
      </c>
      <c r="F233" s="125" t="str">
        <f>IF(G233="","",VLOOKUP(G233,プルダウン用リスト!$K$1:$M$16,2,FALSE))</f>
        <v/>
      </c>
      <c r="G233" s="67"/>
      <c r="H233" s="55"/>
      <c r="I233" s="67"/>
      <c r="J233" s="134"/>
      <c r="K233" s="68"/>
      <c r="L233" s="69"/>
      <c r="M233" s="69"/>
      <c r="N233" s="260" t="str">
        <f t="shared" si="20"/>
        <v/>
      </c>
      <c r="O233" s="256">
        <f t="shared" si="22"/>
        <v>0</v>
      </c>
      <c r="P233" s="257" t="str">
        <f t="shared" si="21"/>
        <v>×</v>
      </c>
      <c r="Q233" s="272" t="str">
        <f t="shared" si="23"/>
        <v/>
      </c>
    </row>
    <row r="234" spans="2:17">
      <c r="B234" s="65"/>
      <c r="C234" s="66"/>
      <c r="D234" s="261" t="str">
        <f t="shared" si="19"/>
        <v/>
      </c>
      <c r="E234" s="262" t="str">
        <f t="shared" si="24"/>
        <v/>
      </c>
      <c r="F234" s="125" t="str">
        <f>IF(G234="","",VLOOKUP(G234,プルダウン用リスト!$K$1:$M$16,2,FALSE))</f>
        <v/>
      </c>
      <c r="G234" s="67"/>
      <c r="H234" s="67"/>
      <c r="I234" s="67"/>
      <c r="J234" s="134"/>
      <c r="K234" s="68"/>
      <c r="L234" s="69"/>
      <c r="M234" s="69"/>
      <c r="N234" s="260" t="str">
        <f t="shared" si="20"/>
        <v/>
      </c>
      <c r="O234" s="256">
        <f t="shared" si="22"/>
        <v>0</v>
      </c>
      <c r="P234" s="257" t="str">
        <f t="shared" si="21"/>
        <v>×</v>
      </c>
      <c r="Q234" s="272" t="str">
        <f t="shared" si="23"/>
        <v/>
      </c>
    </row>
    <row r="235" spans="2:17">
      <c r="B235" s="65"/>
      <c r="C235" s="54"/>
      <c r="D235" s="261" t="str">
        <f t="shared" si="19"/>
        <v/>
      </c>
      <c r="E235" s="262" t="str">
        <f t="shared" si="24"/>
        <v/>
      </c>
      <c r="F235" s="125" t="str">
        <f>IF(G235="","",VLOOKUP(G235,プルダウン用リスト!$K$1:$M$16,2,FALSE))</f>
        <v/>
      </c>
      <c r="G235" s="67"/>
      <c r="H235" s="55"/>
      <c r="I235" s="67"/>
      <c r="J235" s="134"/>
      <c r="K235" s="68"/>
      <c r="L235" s="69"/>
      <c r="M235" s="69"/>
      <c r="N235" s="260" t="str">
        <f t="shared" si="20"/>
        <v/>
      </c>
      <c r="O235" s="256">
        <f t="shared" si="22"/>
        <v>0</v>
      </c>
      <c r="P235" s="257" t="str">
        <f t="shared" si="21"/>
        <v>×</v>
      </c>
      <c r="Q235" s="272" t="str">
        <f t="shared" si="23"/>
        <v/>
      </c>
    </row>
    <row r="236" spans="2:17">
      <c r="B236" s="65"/>
      <c r="C236" s="54"/>
      <c r="D236" s="261" t="str">
        <f t="shared" si="19"/>
        <v/>
      </c>
      <c r="E236" s="262" t="str">
        <f t="shared" si="24"/>
        <v/>
      </c>
      <c r="F236" s="125" t="str">
        <f>IF(G236="","",VLOOKUP(G236,プルダウン用リスト!$K$1:$M$16,2,FALSE))</f>
        <v/>
      </c>
      <c r="G236" s="67"/>
      <c r="H236" s="55"/>
      <c r="I236" s="67"/>
      <c r="J236" s="134"/>
      <c r="K236" s="68"/>
      <c r="L236" s="69"/>
      <c r="M236" s="69"/>
      <c r="N236" s="260" t="str">
        <f t="shared" si="20"/>
        <v/>
      </c>
      <c r="O236" s="256">
        <f t="shared" si="22"/>
        <v>0</v>
      </c>
      <c r="P236" s="257" t="str">
        <f t="shared" si="21"/>
        <v>×</v>
      </c>
      <c r="Q236" s="272" t="str">
        <f t="shared" si="23"/>
        <v/>
      </c>
    </row>
    <row r="237" spans="2:17">
      <c r="B237" s="65"/>
      <c r="C237" s="54"/>
      <c r="D237" s="261" t="str">
        <f t="shared" si="19"/>
        <v/>
      </c>
      <c r="E237" s="262" t="str">
        <f t="shared" si="24"/>
        <v/>
      </c>
      <c r="F237" s="125" t="str">
        <f>IF(G237="","",VLOOKUP(G237,プルダウン用リスト!$K$1:$M$16,2,FALSE))</f>
        <v/>
      </c>
      <c r="G237" s="67"/>
      <c r="H237" s="67"/>
      <c r="I237" s="67"/>
      <c r="J237" s="134"/>
      <c r="K237" s="68"/>
      <c r="L237" s="69"/>
      <c r="M237" s="69"/>
      <c r="N237" s="260" t="str">
        <f t="shared" si="20"/>
        <v/>
      </c>
      <c r="O237" s="256">
        <f t="shared" si="22"/>
        <v>0</v>
      </c>
      <c r="P237" s="257" t="str">
        <f t="shared" si="21"/>
        <v>×</v>
      </c>
      <c r="Q237" s="272" t="str">
        <f t="shared" si="23"/>
        <v/>
      </c>
    </row>
    <row r="238" spans="2:17">
      <c r="B238" s="65"/>
      <c r="C238" s="54"/>
      <c r="D238" s="261" t="str">
        <f t="shared" si="19"/>
        <v/>
      </c>
      <c r="E238" s="262" t="str">
        <f t="shared" si="24"/>
        <v/>
      </c>
      <c r="F238" s="125" t="str">
        <f>IF(G238="","",VLOOKUP(G238,プルダウン用リスト!$K$1:$M$16,2,FALSE))</f>
        <v/>
      </c>
      <c r="G238" s="67"/>
      <c r="H238" s="55"/>
      <c r="I238" s="67"/>
      <c r="J238" s="134"/>
      <c r="K238" s="68"/>
      <c r="L238" s="69"/>
      <c r="M238" s="69"/>
      <c r="N238" s="260" t="str">
        <f t="shared" si="20"/>
        <v/>
      </c>
      <c r="O238" s="256">
        <f t="shared" si="22"/>
        <v>0</v>
      </c>
      <c r="P238" s="257" t="str">
        <f t="shared" si="21"/>
        <v>×</v>
      </c>
      <c r="Q238" s="272" t="str">
        <f t="shared" si="23"/>
        <v/>
      </c>
    </row>
    <row r="239" spans="2:17">
      <c r="B239" s="65"/>
      <c r="C239" s="54"/>
      <c r="D239" s="261" t="str">
        <f t="shared" si="19"/>
        <v/>
      </c>
      <c r="E239" s="262" t="str">
        <f t="shared" si="24"/>
        <v/>
      </c>
      <c r="F239" s="125" t="str">
        <f>IF(G239="","",VLOOKUP(G239,プルダウン用リスト!$K$1:$M$16,2,FALSE))</f>
        <v/>
      </c>
      <c r="G239" s="67"/>
      <c r="H239" s="55"/>
      <c r="I239" s="67"/>
      <c r="J239" s="134"/>
      <c r="K239" s="68"/>
      <c r="L239" s="69"/>
      <c r="M239" s="69"/>
      <c r="N239" s="260" t="str">
        <f t="shared" si="20"/>
        <v/>
      </c>
      <c r="O239" s="256">
        <f t="shared" si="22"/>
        <v>0</v>
      </c>
      <c r="P239" s="257" t="str">
        <f t="shared" si="21"/>
        <v>×</v>
      </c>
      <c r="Q239" s="272" t="str">
        <f t="shared" si="23"/>
        <v/>
      </c>
    </row>
    <row r="240" spans="2:17">
      <c r="B240" s="65"/>
      <c r="C240" s="54"/>
      <c r="D240" s="261" t="str">
        <f t="shared" si="19"/>
        <v/>
      </c>
      <c r="E240" s="262" t="str">
        <f t="shared" si="24"/>
        <v/>
      </c>
      <c r="F240" s="125" t="str">
        <f>IF(G240="","",VLOOKUP(G240,プルダウン用リスト!$K$1:$M$16,2,FALSE))</f>
        <v/>
      </c>
      <c r="G240" s="67"/>
      <c r="H240" s="67"/>
      <c r="I240" s="67"/>
      <c r="J240" s="134"/>
      <c r="K240" s="68"/>
      <c r="L240" s="69"/>
      <c r="M240" s="69"/>
      <c r="N240" s="260" t="str">
        <f t="shared" si="20"/>
        <v/>
      </c>
      <c r="O240" s="256">
        <f t="shared" si="22"/>
        <v>0</v>
      </c>
      <c r="P240" s="257" t="str">
        <f t="shared" si="21"/>
        <v>×</v>
      </c>
      <c r="Q240" s="272" t="str">
        <f t="shared" si="23"/>
        <v/>
      </c>
    </row>
    <row r="241" spans="2:17">
      <c r="B241" s="65"/>
      <c r="C241" s="54"/>
      <c r="D241" s="261" t="str">
        <f t="shared" si="19"/>
        <v/>
      </c>
      <c r="E241" s="262" t="str">
        <f t="shared" si="24"/>
        <v/>
      </c>
      <c r="F241" s="125" t="str">
        <f>IF(G241="","",VLOOKUP(G241,プルダウン用リスト!$K$1:$M$16,2,FALSE))</f>
        <v/>
      </c>
      <c r="G241" s="67"/>
      <c r="H241" s="55"/>
      <c r="I241" s="67"/>
      <c r="J241" s="134"/>
      <c r="K241" s="68"/>
      <c r="L241" s="69"/>
      <c r="M241" s="69"/>
      <c r="N241" s="260" t="str">
        <f t="shared" si="20"/>
        <v/>
      </c>
      <c r="O241" s="256">
        <f t="shared" si="22"/>
        <v>0</v>
      </c>
      <c r="P241" s="257" t="str">
        <f t="shared" si="21"/>
        <v>×</v>
      </c>
      <c r="Q241" s="272" t="str">
        <f t="shared" si="23"/>
        <v/>
      </c>
    </row>
    <row r="242" spans="2:17">
      <c r="B242" s="65"/>
      <c r="C242" s="54"/>
      <c r="D242" s="261" t="str">
        <f t="shared" si="19"/>
        <v/>
      </c>
      <c r="E242" s="262" t="str">
        <f t="shared" si="24"/>
        <v/>
      </c>
      <c r="F242" s="125" t="str">
        <f>IF(G242="","",VLOOKUP(G242,プルダウン用リスト!$K$1:$M$16,2,FALSE))</f>
        <v/>
      </c>
      <c r="G242" s="67"/>
      <c r="H242" s="55"/>
      <c r="I242" s="67"/>
      <c r="J242" s="134"/>
      <c r="K242" s="68"/>
      <c r="L242" s="69"/>
      <c r="M242" s="69"/>
      <c r="N242" s="260" t="str">
        <f t="shared" si="20"/>
        <v/>
      </c>
      <c r="O242" s="256">
        <f t="shared" si="22"/>
        <v>0</v>
      </c>
      <c r="P242" s="257" t="str">
        <f t="shared" si="21"/>
        <v>×</v>
      </c>
      <c r="Q242" s="272" t="str">
        <f t="shared" si="23"/>
        <v/>
      </c>
    </row>
    <row r="243" spans="2:17">
      <c r="B243" s="65"/>
      <c r="C243" s="54"/>
      <c r="D243" s="261" t="str">
        <f t="shared" si="19"/>
        <v/>
      </c>
      <c r="E243" s="262" t="str">
        <f t="shared" si="24"/>
        <v/>
      </c>
      <c r="F243" s="125" t="str">
        <f>IF(G243="","",VLOOKUP(G243,プルダウン用リスト!$K$1:$M$16,2,FALSE))</f>
        <v/>
      </c>
      <c r="G243" s="67"/>
      <c r="H243" s="67"/>
      <c r="I243" s="67"/>
      <c r="J243" s="134"/>
      <c r="K243" s="68"/>
      <c r="L243" s="69"/>
      <c r="M243" s="69"/>
      <c r="N243" s="260" t="str">
        <f t="shared" si="20"/>
        <v/>
      </c>
      <c r="O243" s="256">
        <f t="shared" si="22"/>
        <v>0</v>
      </c>
      <c r="P243" s="257" t="str">
        <f t="shared" si="21"/>
        <v>×</v>
      </c>
      <c r="Q243" s="272" t="str">
        <f t="shared" si="23"/>
        <v/>
      </c>
    </row>
    <row r="244" spans="2:17">
      <c r="B244" s="65"/>
      <c r="C244" s="54"/>
      <c r="D244" s="261" t="str">
        <f t="shared" si="19"/>
        <v/>
      </c>
      <c r="E244" s="262" t="str">
        <f t="shared" si="24"/>
        <v/>
      </c>
      <c r="F244" s="125" t="str">
        <f>IF(G244="","",VLOOKUP(G244,プルダウン用リスト!$K$1:$M$16,2,FALSE))</f>
        <v/>
      </c>
      <c r="G244" s="67"/>
      <c r="H244" s="55"/>
      <c r="I244" s="67"/>
      <c r="J244" s="134"/>
      <c r="K244" s="68"/>
      <c r="L244" s="69"/>
      <c r="M244" s="69"/>
      <c r="N244" s="260" t="str">
        <f t="shared" si="20"/>
        <v/>
      </c>
      <c r="O244" s="256">
        <f t="shared" si="22"/>
        <v>0</v>
      </c>
      <c r="P244" s="257" t="str">
        <f t="shared" si="21"/>
        <v>×</v>
      </c>
      <c r="Q244" s="272" t="str">
        <f t="shared" si="23"/>
        <v/>
      </c>
    </row>
    <row r="245" spans="2:17">
      <c r="B245" s="65"/>
      <c r="C245" s="54"/>
      <c r="D245" s="261" t="str">
        <f t="shared" si="19"/>
        <v/>
      </c>
      <c r="E245" s="262" t="str">
        <f t="shared" si="24"/>
        <v/>
      </c>
      <c r="F245" s="125" t="str">
        <f>IF(G245="","",VLOOKUP(G245,プルダウン用リスト!$K$1:$M$16,2,FALSE))</f>
        <v/>
      </c>
      <c r="G245" s="67"/>
      <c r="H245" s="55"/>
      <c r="I245" s="67"/>
      <c r="J245" s="134"/>
      <c r="K245" s="68"/>
      <c r="L245" s="69"/>
      <c r="M245" s="69"/>
      <c r="N245" s="260" t="str">
        <f t="shared" si="20"/>
        <v/>
      </c>
      <c r="O245" s="256">
        <f t="shared" si="22"/>
        <v>0</v>
      </c>
      <c r="P245" s="257" t="str">
        <f t="shared" si="21"/>
        <v>×</v>
      </c>
      <c r="Q245" s="272" t="str">
        <f t="shared" si="23"/>
        <v/>
      </c>
    </row>
    <row r="246" spans="2:17">
      <c r="B246" s="65"/>
      <c r="C246" s="66"/>
      <c r="D246" s="261" t="str">
        <f t="shared" si="19"/>
        <v/>
      </c>
      <c r="E246" s="262" t="str">
        <f t="shared" si="24"/>
        <v/>
      </c>
      <c r="F246" s="125" t="str">
        <f>IF(G246="","",VLOOKUP(G246,プルダウン用リスト!$K$1:$M$16,2,FALSE))</f>
        <v/>
      </c>
      <c r="G246" s="67"/>
      <c r="H246" s="67"/>
      <c r="I246" s="67"/>
      <c r="J246" s="134"/>
      <c r="K246" s="68"/>
      <c r="L246" s="69"/>
      <c r="M246" s="69"/>
      <c r="N246" s="260" t="str">
        <f t="shared" si="20"/>
        <v/>
      </c>
      <c r="O246" s="256">
        <f t="shared" si="22"/>
        <v>0</v>
      </c>
      <c r="P246" s="257" t="str">
        <f t="shared" si="21"/>
        <v>×</v>
      </c>
      <c r="Q246" s="272" t="str">
        <f t="shared" si="23"/>
        <v/>
      </c>
    </row>
    <row r="247" spans="2:17">
      <c r="B247" s="65"/>
      <c r="C247" s="54"/>
      <c r="D247" s="261" t="str">
        <f t="shared" si="19"/>
        <v/>
      </c>
      <c r="E247" s="262" t="str">
        <f t="shared" si="24"/>
        <v/>
      </c>
      <c r="F247" s="125" t="str">
        <f>IF(G247="","",VLOOKUP(G247,プルダウン用リスト!$K$1:$M$16,2,FALSE))</f>
        <v/>
      </c>
      <c r="G247" s="67"/>
      <c r="H247" s="55"/>
      <c r="I247" s="67"/>
      <c r="J247" s="134"/>
      <c r="K247" s="68"/>
      <c r="L247" s="69"/>
      <c r="M247" s="69"/>
      <c r="N247" s="260" t="str">
        <f t="shared" si="20"/>
        <v/>
      </c>
      <c r="O247" s="256">
        <f t="shared" si="22"/>
        <v>0</v>
      </c>
      <c r="P247" s="257" t="str">
        <f t="shared" si="21"/>
        <v>×</v>
      </c>
      <c r="Q247" s="272" t="str">
        <f t="shared" si="23"/>
        <v/>
      </c>
    </row>
    <row r="248" spans="2:17">
      <c r="B248" s="65"/>
      <c r="C248" s="54"/>
      <c r="D248" s="261" t="str">
        <f t="shared" si="19"/>
        <v/>
      </c>
      <c r="E248" s="262" t="str">
        <f t="shared" si="24"/>
        <v/>
      </c>
      <c r="F248" s="125" t="str">
        <f>IF(G248="","",VLOOKUP(G248,プルダウン用リスト!$K$1:$M$16,2,FALSE))</f>
        <v/>
      </c>
      <c r="G248" s="67"/>
      <c r="H248" s="55"/>
      <c r="I248" s="67"/>
      <c r="J248" s="134"/>
      <c r="K248" s="68"/>
      <c r="L248" s="69"/>
      <c r="M248" s="69"/>
      <c r="N248" s="260" t="str">
        <f t="shared" si="20"/>
        <v/>
      </c>
      <c r="O248" s="256">
        <f t="shared" si="22"/>
        <v>0</v>
      </c>
      <c r="P248" s="257" t="str">
        <f t="shared" si="21"/>
        <v>×</v>
      </c>
      <c r="Q248" s="272" t="str">
        <f t="shared" si="23"/>
        <v/>
      </c>
    </row>
    <row r="249" spans="2:17">
      <c r="B249" s="65"/>
      <c r="C249" s="54"/>
      <c r="D249" s="261" t="str">
        <f t="shared" si="19"/>
        <v/>
      </c>
      <c r="E249" s="262" t="str">
        <f t="shared" si="24"/>
        <v/>
      </c>
      <c r="F249" s="125" t="str">
        <f>IF(G249="","",VLOOKUP(G249,プルダウン用リスト!$K$1:$M$16,2,FALSE))</f>
        <v/>
      </c>
      <c r="G249" s="67"/>
      <c r="H249" s="67"/>
      <c r="I249" s="67"/>
      <c r="J249" s="134"/>
      <c r="K249" s="68"/>
      <c r="L249" s="69"/>
      <c r="M249" s="69"/>
      <c r="N249" s="260" t="str">
        <f t="shared" si="20"/>
        <v/>
      </c>
      <c r="O249" s="256">
        <f t="shared" si="22"/>
        <v>0</v>
      </c>
      <c r="P249" s="257" t="str">
        <f t="shared" si="21"/>
        <v>×</v>
      </c>
      <c r="Q249" s="272" t="str">
        <f t="shared" si="23"/>
        <v/>
      </c>
    </row>
    <row r="250" spans="2:17">
      <c r="B250" s="65"/>
      <c r="C250" s="54"/>
      <c r="D250" s="261" t="str">
        <f t="shared" si="19"/>
        <v/>
      </c>
      <c r="E250" s="262" t="str">
        <f t="shared" si="24"/>
        <v/>
      </c>
      <c r="F250" s="125" t="str">
        <f>IF(G250="","",VLOOKUP(G250,プルダウン用リスト!$K$1:$M$16,2,FALSE))</f>
        <v/>
      </c>
      <c r="G250" s="67"/>
      <c r="H250" s="55"/>
      <c r="I250" s="67"/>
      <c r="J250" s="134"/>
      <c r="K250" s="68"/>
      <c r="L250" s="69"/>
      <c r="M250" s="69"/>
      <c r="N250" s="260" t="str">
        <f t="shared" si="20"/>
        <v/>
      </c>
      <c r="O250" s="256">
        <f t="shared" si="22"/>
        <v>0</v>
      </c>
      <c r="P250" s="257" t="str">
        <f t="shared" si="21"/>
        <v>×</v>
      </c>
      <c r="Q250" s="272" t="str">
        <f t="shared" si="23"/>
        <v/>
      </c>
    </row>
    <row r="251" spans="2:17">
      <c r="B251" s="65"/>
      <c r="C251" s="54"/>
      <c r="D251" s="261" t="str">
        <f t="shared" si="19"/>
        <v/>
      </c>
      <c r="E251" s="262" t="str">
        <f t="shared" si="24"/>
        <v/>
      </c>
      <c r="F251" s="125" t="str">
        <f>IF(G251="","",VLOOKUP(G251,プルダウン用リスト!$K$1:$M$16,2,FALSE))</f>
        <v/>
      </c>
      <c r="G251" s="67"/>
      <c r="H251" s="55"/>
      <c r="I251" s="67"/>
      <c r="J251" s="134"/>
      <c r="K251" s="68"/>
      <c r="L251" s="69"/>
      <c r="M251" s="69"/>
      <c r="N251" s="260" t="str">
        <f t="shared" si="20"/>
        <v/>
      </c>
      <c r="O251" s="256">
        <f t="shared" si="22"/>
        <v>0</v>
      </c>
      <c r="P251" s="257" t="str">
        <f t="shared" si="21"/>
        <v>×</v>
      </c>
      <c r="Q251" s="272" t="str">
        <f t="shared" si="23"/>
        <v/>
      </c>
    </row>
    <row r="252" spans="2:17">
      <c r="B252" s="65"/>
      <c r="C252" s="54"/>
      <c r="D252" s="261" t="str">
        <f t="shared" si="19"/>
        <v/>
      </c>
      <c r="E252" s="262" t="str">
        <f t="shared" si="24"/>
        <v/>
      </c>
      <c r="F252" s="125" t="str">
        <f>IF(G252="","",VLOOKUP(G252,プルダウン用リスト!$K$1:$M$16,2,FALSE))</f>
        <v/>
      </c>
      <c r="G252" s="67"/>
      <c r="H252" s="67"/>
      <c r="I252" s="67"/>
      <c r="J252" s="134"/>
      <c r="K252" s="68"/>
      <c r="L252" s="69"/>
      <c r="M252" s="69"/>
      <c r="N252" s="260" t="str">
        <f t="shared" si="20"/>
        <v/>
      </c>
      <c r="O252" s="256">
        <f t="shared" si="22"/>
        <v>0</v>
      </c>
      <c r="P252" s="257" t="str">
        <f t="shared" si="21"/>
        <v>×</v>
      </c>
      <c r="Q252" s="272" t="str">
        <f t="shared" si="23"/>
        <v/>
      </c>
    </row>
    <row r="253" spans="2:17">
      <c r="B253" s="65"/>
      <c r="C253" s="54"/>
      <c r="D253" s="261" t="str">
        <f t="shared" si="19"/>
        <v/>
      </c>
      <c r="E253" s="262" t="str">
        <f t="shared" si="24"/>
        <v/>
      </c>
      <c r="F253" s="125" t="str">
        <f>IF(G253="","",VLOOKUP(G253,プルダウン用リスト!$K$1:$M$16,2,FALSE))</f>
        <v/>
      </c>
      <c r="G253" s="67"/>
      <c r="H253" s="55"/>
      <c r="I253" s="67"/>
      <c r="J253" s="134"/>
      <c r="K253" s="68"/>
      <c r="L253" s="69"/>
      <c r="M253" s="69"/>
      <c r="N253" s="260" t="str">
        <f t="shared" si="20"/>
        <v/>
      </c>
      <c r="O253" s="256">
        <f t="shared" si="22"/>
        <v>0</v>
      </c>
      <c r="P253" s="257" t="str">
        <f t="shared" si="21"/>
        <v>×</v>
      </c>
      <c r="Q253" s="272" t="str">
        <f t="shared" si="23"/>
        <v/>
      </c>
    </row>
    <row r="254" spans="2:17">
      <c r="B254" s="65"/>
      <c r="C254" s="54"/>
      <c r="D254" s="261" t="str">
        <f t="shared" si="19"/>
        <v/>
      </c>
      <c r="E254" s="262" t="str">
        <f t="shared" si="24"/>
        <v/>
      </c>
      <c r="F254" s="125" t="str">
        <f>IF(G254="","",VLOOKUP(G254,プルダウン用リスト!$K$1:$M$16,2,FALSE))</f>
        <v/>
      </c>
      <c r="G254" s="67"/>
      <c r="H254" s="55"/>
      <c r="I254" s="67"/>
      <c r="J254" s="134"/>
      <c r="K254" s="68"/>
      <c r="L254" s="69"/>
      <c r="M254" s="69"/>
      <c r="N254" s="260" t="str">
        <f t="shared" si="20"/>
        <v/>
      </c>
      <c r="O254" s="256">
        <f t="shared" si="22"/>
        <v>0</v>
      </c>
      <c r="P254" s="257" t="str">
        <f t="shared" si="21"/>
        <v>×</v>
      </c>
      <c r="Q254" s="272" t="str">
        <f t="shared" si="23"/>
        <v/>
      </c>
    </row>
    <row r="255" spans="2:17">
      <c r="B255" s="65"/>
      <c r="C255" s="54"/>
      <c r="D255" s="261" t="str">
        <f t="shared" si="19"/>
        <v/>
      </c>
      <c r="E255" s="262" t="str">
        <f t="shared" si="24"/>
        <v/>
      </c>
      <c r="F255" s="125" t="str">
        <f>IF(G255="","",VLOOKUP(G255,プルダウン用リスト!$K$1:$M$16,2,FALSE))</f>
        <v/>
      </c>
      <c r="G255" s="67"/>
      <c r="H255" s="67"/>
      <c r="I255" s="67"/>
      <c r="J255" s="134"/>
      <c r="K255" s="68"/>
      <c r="L255" s="69"/>
      <c r="M255" s="69"/>
      <c r="N255" s="260" t="str">
        <f t="shared" si="20"/>
        <v/>
      </c>
      <c r="O255" s="256">
        <f t="shared" si="22"/>
        <v>0</v>
      </c>
      <c r="P255" s="257" t="str">
        <f t="shared" si="21"/>
        <v>×</v>
      </c>
      <c r="Q255" s="272" t="str">
        <f t="shared" si="23"/>
        <v/>
      </c>
    </row>
    <row r="256" spans="2:17">
      <c r="B256" s="65"/>
      <c r="C256" s="54"/>
      <c r="D256" s="261" t="str">
        <f t="shared" si="19"/>
        <v/>
      </c>
      <c r="E256" s="262" t="str">
        <f t="shared" si="24"/>
        <v/>
      </c>
      <c r="F256" s="125" t="str">
        <f>IF(G256="","",VLOOKUP(G256,プルダウン用リスト!$K$1:$M$16,2,FALSE))</f>
        <v/>
      </c>
      <c r="G256" s="67"/>
      <c r="H256" s="55"/>
      <c r="I256" s="67"/>
      <c r="J256" s="134"/>
      <c r="K256" s="68"/>
      <c r="L256" s="69"/>
      <c r="M256" s="69"/>
      <c r="N256" s="260" t="str">
        <f t="shared" si="20"/>
        <v/>
      </c>
      <c r="O256" s="256">
        <f t="shared" si="22"/>
        <v>0</v>
      </c>
      <c r="P256" s="257" t="str">
        <f t="shared" si="21"/>
        <v>×</v>
      </c>
      <c r="Q256" s="272" t="str">
        <f t="shared" si="23"/>
        <v/>
      </c>
    </row>
    <row r="257" spans="2:17">
      <c r="B257" s="65"/>
      <c r="C257" s="54"/>
      <c r="D257" s="261" t="str">
        <f t="shared" si="19"/>
        <v/>
      </c>
      <c r="E257" s="262" t="str">
        <f t="shared" si="24"/>
        <v/>
      </c>
      <c r="F257" s="125" t="str">
        <f>IF(G257="","",VLOOKUP(G257,プルダウン用リスト!$K$1:$M$16,2,FALSE))</f>
        <v/>
      </c>
      <c r="G257" s="67"/>
      <c r="H257" s="55"/>
      <c r="I257" s="67"/>
      <c r="J257" s="134"/>
      <c r="K257" s="68"/>
      <c r="L257" s="69"/>
      <c r="M257" s="69"/>
      <c r="N257" s="260" t="str">
        <f t="shared" si="20"/>
        <v/>
      </c>
      <c r="O257" s="256">
        <f t="shared" si="22"/>
        <v>0</v>
      </c>
      <c r="P257" s="257" t="str">
        <f t="shared" si="21"/>
        <v>×</v>
      </c>
      <c r="Q257" s="272" t="str">
        <f t="shared" si="23"/>
        <v/>
      </c>
    </row>
    <row r="258" spans="2:17">
      <c r="B258" s="65"/>
      <c r="C258" s="66"/>
      <c r="D258" s="261" t="str">
        <f t="shared" si="19"/>
        <v/>
      </c>
      <c r="E258" s="262" t="str">
        <f t="shared" si="24"/>
        <v/>
      </c>
      <c r="F258" s="125" t="str">
        <f>IF(G258="","",VLOOKUP(G258,プルダウン用リスト!$K$1:$M$16,2,FALSE))</f>
        <v/>
      </c>
      <c r="G258" s="67"/>
      <c r="H258" s="67"/>
      <c r="I258" s="67"/>
      <c r="J258" s="134"/>
      <c r="K258" s="68"/>
      <c r="L258" s="69"/>
      <c r="M258" s="69"/>
      <c r="N258" s="260" t="str">
        <f t="shared" si="20"/>
        <v/>
      </c>
      <c r="O258" s="256">
        <f t="shared" si="22"/>
        <v>0</v>
      </c>
      <c r="P258" s="257" t="str">
        <f t="shared" si="21"/>
        <v>×</v>
      </c>
      <c r="Q258" s="272" t="str">
        <f t="shared" si="23"/>
        <v/>
      </c>
    </row>
    <row r="259" spans="2:17">
      <c r="B259" s="65"/>
      <c r="C259" s="54"/>
      <c r="D259" s="261" t="str">
        <f t="shared" si="19"/>
        <v/>
      </c>
      <c r="E259" s="262" t="str">
        <f t="shared" si="24"/>
        <v/>
      </c>
      <c r="F259" s="125" t="str">
        <f>IF(G259="","",VLOOKUP(G259,プルダウン用リスト!$K$1:$M$16,2,FALSE))</f>
        <v/>
      </c>
      <c r="G259" s="67"/>
      <c r="H259" s="55"/>
      <c r="I259" s="67"/>
      <c r="J259" s="134"/>
      <c r="K259" s="68"/>
      <c r="L259" s="69"/>
      <c r="M259" s="69"/>
      <c r="N259" s="260" t="str">
        <f t="shared" si="20"/>
        <v/>
      </c>
      <c r="O259" s="256">
        <f t="shared" si="22"/>
        <v>0</v>
      </c>
      <c r="P259" s="257" t="str">
        <f t="shared" si="21"/>
        <v>×</v>
      </c>
      <c r="Q259" s="272" t="str">
        <f t="shared" si="23"/>
        <v/>
      </c>
    </row>
    <row r="260" spans="2:17">
      <c r="B260" s="65"/>
      <c r="C260" s="54"/>
      <c r="D260" s="261" t="str">
        <f t="shared" si="19"/>
        <v/>
      </c>
      <c r="E260" s="262" t="str">
        <f t="shared" si="24"/>
        <v/>
      </c>
      <c r="F260" s="125" t="str">
        <f>IF(G260="","",VLOOKUP(G260,プルダウン用リスト!$K$1:$M$16,2,FALSE))</f>
        <v/>
      </c>
      <c r="G260" s="67"/>
      <c r="H260" s="55"/>
      <c r="I260" s="67"/>
      <c r="J260" s="134"/>
      <c r="K260" s="68"/>
      <c r="L260" s="69"/>
      <c r="M260" s="69"/>
      <c r="N260" s="260" t="str">
        <f t="shared" si="20"/>
        <v/>
      </c>
      <c r="O260" s="256">
        <f t="shared" si="22"/>
        <v>0</v>
      </c>
      <c r="P260" s="257" t="str">
        <f t="shared" si="21"/>
        <v>×</v>
      </c>
      <c r="Q260" s="272" t="str">
        <f t="shared" si="23"/>
        <v/>
      </c>
    </row>
    <row r="261" spans="2:17">
      <c r="B261" s="65"/>
      <c r="C261" s="54"/>
      <c r="D261" s="261" t="str">
        <f t="shared" si="19"/>
        <v/>
      </c>
      <c r="E261" s="262" t="str">
        <f t="shared" si="24"/>
        <v/>
      </c>
      <c r="F261" s="125" t="str">
        <f>IF(G261="","",VLOOKUP(G261,プルダウン用リスト!$K$1:$M$16,2,FALSE))</f>
        <v/>
      </c>
      <c r="G261" s="67"/>
      <c r="H261" s="67"/>
      <c r="I261" s="67"/>
      <c r="J261" s="134"/>
      <c r="K261" s="68"/>
      <c r="L261" s="69"/>
      <c r="M261" s="69"/>
      <c r="N261" s="260" t="str">
        <f t="shared" si="20"/>
        <v/>
      </c>
      <c r="O261" s="256">
        <f t="shared" si="22"/>
        <v>0</v>
      </c>
      <c r="P261" s="257" t="str">
        <f t="shared" si="21"/>
        <v>×</v>
      </c>
      <c r="Q261" s="272" t="str">
        <f t="shared" si="23"/>
        <v/>
      </c>
    </row>
    <row r="262" spans="2:17">
      <c r="B262" s="65"/>
      <c r="C262" s="54"/>
      <c r="D262" s="261" t="str">
        <f t="shared" si="19"/>
        <v/>
      </c>
      <c r="E262" s="262" t="str">
        <f t="shared" si="24"/>
        <v/>
      </c>
      <c r="F262" s="125" t="str">
        <f>IF(G262="","",VLOOKUP(G262,プルダウン用リスト!$K$1:$M$16,2,FALSE))</f>
        <v/>
      </c>
      <c r="G262" s="67"/>
      <c r="H262" s="55"/>
      <c r="I262" s="67"/>
      <c r="J262" s="134"/>
      <c r="K262" s="68"/>
      <c r="L262" s="69"/>
      <c r="M262" s="69"/>
      <c r="N262" s="260" t="str">
        <f t="shared" si="20"/>
        <v/>
      </c>
      <c r="O262" s="256">
        <f t="shared" si="22"/>
        <v>0</v>
      </c>
      <c r="P262" s="257" t="str">
        <f t="shared" si="21"/>
        <v>×</v>
      </c>
      <c r="Q262" s="272" t="str">
        <f t="shared" si="23"/>
        <v/>
      </c>
    </row>
    <row r="263" spans="2:17">
      <c r="B263" s="65"/>
      <c r="C263" s="54"/>
      <c r="D263" s="261" t="str">
        <f t="shared" ref="D263:D326" si="25">IF(E263="","",IF(E263="謝金","01.",IF(E263="旅費","02.",IF(E263="その他","04.","03."))))</f>
        <v/>
      </c>
      <c r="E263" s="262" t="str">
        <f t="shared" si="24"/>
        <v/>
      </c>
      <c r="F263" s="125" t="str">
        <f>IF(G263="","",VLOOKUP(G263,プルダウン用リスト!$K$1:$M$16,2,FALSE))</f>
        <v/>
      </c>
      <c r="G263" s="67"/>
      <c r="H263" s="55"/>
      <c r="I263" s="67"/>
      <c r="J263" s="134"/>
      <c r="K263" s="68"/>
      <c r="L263" s="69"/>
      <c r="M263" s="69"/>
      <c r="N263" s="260" t="str">
        <f t="shared" ref="N263:N326" si="26">IF(G263="16.対象外経費",L263,IF(M263="","",L263-M263))</f>
        <v/>
      </c>
      <c r="O263" s="256">
        <f t="shared" si="22"/>
        <v>0</v>
      </c>
      <c r="P263" s="257" t="str">
        <f t="shared" ref="P263:P326" si="27">IF(G263="2.旅費","〇","×")</f>
        <v>×</v>
      </c>
      <c r="Q263" s="272" t="str">
        <f t="shared" si="23"/>
        <v/>
      </c>
    </row>
    <row r="264" spans="2:17">
      <c r="B264" s="65"/>
      <c r="C264" s="54"/>
      <c r="D264" s="261" t="str">
        <f t="shared" si="25"/>
        <v/>
      </c>
      <c r="E264" s="262" t="str">
        <f t="shared" si="24"/>
        <v/>
      </c>
      <c r="F264" s="125" t="str">
        <f>IF(G264="","",VLOOKUP(G264,プルダウン用リスト!$K$1:$M$16,2,FALSE))</f>
        <v/>
      </c>
      <c r="G264" s="67"/>
      <c r="H264" s="67"/>
      <c r="I264" s="67"/>
      <c r="J264" s="134"/>
      <c r="K264" s="68"/>
      <c r="L264" s="69"/>
      <c r="M264" s="69"/>
      <c r="N264" s="260" t="str">
        <f t="shared" si="26"/>
        <v/>
      </c>
      <c r="O264" s="256">
        <f t="shared" ref="O264:O327" si="28">IF(L264&gt;0,COUNTA(B264,C264,G264,H264,I264,K264,,L264,J264),0)</f>
        <v>0</v>
      </c>
      <c r="P264" s="257" t="str">
        <f t="shared" si="27"/>
        <v>×</v>
      </c>
      <c r="Q264" s="272" t="str">
        <f t="shared" ref="Q264:Q327" si="29">_xlfn.IFS(O264=0,"",AND(G264="16.対象外経費",O264=7),"OK",O264&lt;=7,"ピンク色のセルを全て入力してください",O264=9,"OK",P264="〇","旅行区間および宿泊地を入力してください",O264=8,"OK")</f>
        <v/>
      </c>
    </row>
    <row r="265" spans="2:17">
      <c r="B265" s="65"/>
      <c r="C265" s="54"/>
      <c r="D265" s="261" t="str">
        <f t="shared" si="25"/>
        <v/>
      </c>
      <c r="E265" s="262" t="str">
        <f t="shared" si="24"/>
        <v/>
      </c>
      <c r="F265" s="125" t="str">
        <f>IF(G265="","",VLOOKUP(G265,プルダウン用リスト!$K$1:$M$16,2,FALSE))</f>
        <v/>
      </c>
      <c r="G265" s="67"/>
      <c r="H265" s="55"/>
      <c r="I265" s="67"/>
      <c r="J265" s="134"/>
      <c r="K265" s="68"/>
      <c r="L265" s="69"/>
      <c r="M265" s="69"/>
      <c r="N265" s="260" t="str">
        <f t="shared" si="26"/>
        <v/>
      </c>
      <c r="O265" s="256">
        <f t="shared" si="28"/>
        <v>0</v>
      </c>
      <c r="P265" s="257" t="str">
        <f t="shared" si="27"/>
        <v>×</v>
      </c>
      <c r="Q265" s="272" t="str">
        <f t="shared" si="29"/>
        <v/>
      </c>
    </row>
    <row r="266" spans="2:17">
      <c r="B266" s="65"/>
      <c r="C266" s="54"/>
      <c r="D266" s="261" t="str">
        <f t="shared" si="25"/>
        <v/>
      </c>
      <c r="E266" s="262" t="str">
        <f t="shared" si="24"/>
        <v/>
      </c>
      <c r="F266" s="125" t="str">
        <f>IF(G266="","",VLOOKUP(G266,プルダウン用リスト!$K$1:$M$16,2,FALSE))</f>
        <v/>
      </c>
      <c r="G266" s="67"/>
      <c r="H266" s="55"/>
      <c r="I266" s="67"/>
      <c r="J266" s="134"/>
      <c r="K266" s="68"/>
      <c r="L266" s="69"/>
      <c r="M266" s="69"/>
      <c r="N266" s="260" t="str">
        <f t="shared" si="26"/>
        <v/>
      </c>
      <c r="O266" s="256">
        <f t="shared" si="28"/>
        <v>0</v>
      </c>
      <c r="P266" s="257" t="str">
        <f t="shared" si="27"/>
        <v>×</v>
      </c>
      <c r="Q266" s="272" t="str">
        <f t="shared" si="29"/>
        <v/>
      </c>
    </row>
    <row r="267" spans="2:17">
      <c r="B267" s="65"/>
      <c r="C267" s="54"/>
      <c r="D267" s="261" t="str">
        <f t="shared" si="25"/>
        <v/>
      </c>
      <c r="E267" s="262" t="str">
        <f t="shared" si="24"/>
        <v/>
      </c>
      <c r="F267" s="125" t="str">
        <f>IF(G267="","",VLOOKUP(G267,プルダウン用リスト!$K$1:$M$16,2,FALSE))</f>
        <v/>
      </c>
      <c r="G267" s="67"/>
      <c r="H267" s="67"/>
      <c r="I267" s="67"/>
      <c r="J267" s="134"/>
      <c r="K267" s="68"/>
      <c r="L267" s="69"/>
      <c r="M267" s="69"/>
      <c r="N267" s="260" t="str">
        <f t="shared" si="26"/>
        <v/>
      </c>
      <c r="O267" s="256">
        <f t="shared" si="28"/>
        <v>0</v>
      </c>
      <c r="P267" s="257" t="str">
        <f t="shared" si="27"/>
        <v>×</v>
      </c>
      <c r="Q267" s="272" t="str">
        <f t="shared" si="29"/>
        <v/>
      </c>
    </row>
    <row r="268" spans="2:17">
      <c r="B268" s="65"/>
      <c r="C268" s="54"/>
      <c r="D268" s="261" t="str">
        <f t="shared" si="25"/>
        <v/>
      </c>
      <c r="E268" s="262" t="str">
        <f t="shared" si="24"/>
        <v/>
      </c>
      <c r="F268" s="125" t="str">
        <f>IF(G268="","",VLOOKUP(G268,プルダウン用リスト!$K$1:$M$16,2,FALSE))</f>
        <v/>
      </c>
      <c r="G268" s="67"/>
      <c r="H268" s="55"/>
      <c r="I268" s="67"/>
      <c r="J268" s="134"/>
      <c r="K268" s="68"/>
      <c r="L268" s="69"/>
      <c r="M268" s="69"/>
      <c r="N268" s="260" t="str">
        <f t="shared" si="26"/>
        <v/>
      </c>
      <c r="O268" s="256">
        <f t="shared" si="28"/>
        <v>0</v>
      </c>
      <c r="P268" s="257" t="str">
        <f t="shared" si="27"/>
        <v>×</v>
      </c>
      <c r="Q268" s="272" t="str">
        <f t="shared" si="29"/>
        <v/>
      </c>
    </row>
    <row r="269" spans="2:17">
      <c r="B269" s="65"/>
      <c r="C269" s="54"/>
      <c r="D269" s="261" t="str">
        <f t="shared" si="25"/>
        <v/>
      </c>
      <c r="E269" s="262" t="str">
        <f t="shared" si="24"/>
        <v/>
      </c>
      <c r="F269" s="125" t="str">
        <f>IF(G269="","",VLOOKUP(G269,プルダウン用リスト!$K$1:$M$16,2,FALSE))</f>
        <v/>
      </c>
      <c r="G269" s="67"/>
      <c r="H269" s="55"/>
      <c r="I269" s="67"/>
      <c r="J269" s="134"/>
      <c r="K269" s="68"/>
      <c r="L269" s="69"/>
      <c r="M269" s="69"/>
      <c r="N269" s="260" t="str">
        <f t="shared" si="26"/>
        <v/>
      </c>
      <c r="O269" s="256">
        <f t="shared" si="28"/>
        <v>0</v>
      </c>
      <c r="P269" s="257" t="str">
        <f t="shared" si="27"/>
        <v>×</v>
      </c>
      <c r="Q269" s="272" t="str">
        <f t="shared" si="29"/>
        <v/>
      </c>
    </row>
    <row r="270" spans="2:17">
      <c r="B270" s="65"/>
      <c r="C270" s="66"/>
      <c r="D270" s="261" t="str">
        <f t="shared" si="25"/>
        <v/>
      </c>
      <c r="E270" s="262" t="str">
        <f t="shared" si="24"/>
        <v/>
      </c>
      <c r="F270" s="125" t="str">
        <f>IF(G270="","",VLOOKUP(G270,プルダウン用リスト!$K$1:$M$16,2,FALSE))</f>
        <v/>
      </c>
      <c r="G270" s="67"/>
      <c r="H270" s="67"/>
      <c r="I270" s="67"/>
      <c r="J270" s="134"/>
      <c r="K270" s="68"/>
      <c r="L270" s="69"/>
      <c r="M270" s="69"/>
      <c r="N270" s="260" t="str">
        <f t="shared" si="26"/>
        <v/>
      </c>
      <c r="O270" s="256">
        <f t="shared" si="28"/>
        <v>0</v>
      </c>
      <c r="P270" s="257" t="str">
        <f t="shared" si="27"/>
        <v>×</v>
      </c>
      <c r="Q270" s="272" t="str">
        <f t="shared" si="29"/>
        <v/>
      </c>
    </row>
    <row r="271" spans="2:17">
      <c r="B271" s="65"/>
      <c r="C271" s="54"/>
      <c r="D271" s="261" t="str">
        <f t="shared" si="25"/>
        <v/>
      </c>
      <c r="E271" s="262" t="str">
        <f t="shared" si="24"/>
        <v/>
      </c>
      <c r="F271" s="125" t="str">
        <f>IF(G271="","",VLOOKUP(G271,プルダウン用リスト!$K$1:$M$16,2,FALSE))</f>
        <v/>
      </c>
      <c r="G271" s="67"/>
      <c r="H271" s="55"/>
      <c r="I271" s="67"/>
      <c r="J271" s="134"/>
      <c r="K271" s="68"/>
      <c r="L271" s="69"/>
      <c r="M271" s="69"/>
      <c r="N271" s="260" t="str">
        <f t="shared" si="26"/>
        <v/>
      </c>
      <c r="O271" s="256">
        <f t="shared" si="28"/>
        <v>0</v>
      </c>
      <c r="P271" s="257" t="str">
        <f t="shared" si="27"/>
        <v>×</v>
      </c>
      <c r="Q271" s="272" t="str">
        <f t="shared" si="29"/>
        <v/>
      </c>
    </row>
    <row r="272" spans="2:17">
      <c r="B272" s="65"/>
      <c r="C272" s="54"/>
      <c r="D272" s="261" t="str">
        <f t="shared" si="25"/>
        <v/>
      </c>
      <c r="E272" s="262" t="str">
        <f t="shared" si="24"/>
        <v/>
      </c>
      <c r="F272" s="125" t="str">
        <f>IF(G272="","",VLOOKUP(G272,プルダウン用リスト!$K$1:$M$16,2,FALSE))</f>
        <v/>
      </c>
      <c r="G272" s="67"/>
      <c r="H272" s="55"/>
      <c r="I272" s="67"/>
      <c r="J272" s="134"/>
      <c r="K272" s="68"/>
      <c r="L272" s="69"/>
      <c r="M272" s="69"/>
      <c r="N272" s="260" t="str">
        <f t="shared" si="26"/>
        <v/>
      </c>
      <c r="O272" s="256">
        <f t="shared" si="28"/>
        <v>0</v>
      </c>
      <c r="P272" s="257" t="str">
        <f t="shared" si="27"/>
        <v>×</v>
      </c>
      <c r="Q272" s="272" t="str">
        <f t="shared" si="29"/>
        <v/>
      </c>
    </row>
    <row r="273" spans="2:17">
      <c r="B273" s="65"/>
      <c r="C273" s="54"/>
      <c r="D273" s="261" t="str">
        <f t="shared" si="25"/>
        <v/>
      </c>
      <c r="E273" s="262" t="str">
        <f t="shared" si="24"/>
        <v/>
      </c>
      <c r="F273" s="125" t="str">
        <f>IF(G273="","",VLOOKUP(G273,プルダウン用リスト!$K$1:$M$16,2,FALSE))</f>
        <v/>
      </c>
      <c r="G273" s="67"/>
      <c r="H273" s="67"/>
      <c r="I273" s="67"/>
      <c r="J273" s="134"/>
      <c r="K273" s="68"/>
      <c r="L273" s="69"/>
      <c r="M273" s="69"/>
      <c r="N273" s="260" t="str">
        <f t="shared" si="26"/>
        <v/>
      </c>
      <c r="O273" s="256">
        <f t="shared" si="28"/>
        <v>0</v>
      </c>
      <c r="P273" s="257" t="str">
        <f t="shared" si="27"/>
        <v>×</v>
      </c>
      <c r="Q273" s="272" t="str">
        <f t="shared" si="29"/>
        <v/>
      </c>
    </row>
    <row r="274" spans="2:17">
      <c r="B274" s="65"/>
      <c r="C274" s="54"/>
      <c r="D274" s="261" t="str">
        <f t="shared" si="25"/>
        <v/>
      </c>
      <c r="E274" s="262" t="str">
        <f t="shared" si="24"/>
        <v/>
      </c>
      <c r="F274" s="125" t="str">
        <f>IF(G274="","",VLOOKUP(G274,プルダウン用リスト!$K$1:$M$16,2,FALSE))</f>
        <v/>
      </c>
      <c r="G274" s="67"/>
      <c r="H274" s="55"/>
      <c r="I274" s="67"/>
      <c r="J274" s="134"/>
      <c r="K274" s="68"/>
      <c r="L274" s="69"/>
      <c r="M274" s="69"/>
      <c r="N274" s="260" t="str">
        <f t="shared" si="26"/>
        <v/>
      </c>
      <c r="O274" s="256">
        <f t="shared" si="28"/>
        <v>0</v>
      </c>
      <c r="P274" s="257" t="str">
        <f t="shared" si="27"/>
        <v>×</v>
      </c>
      <c r="Q274" s="272" t="str">
        <f t="shared" si="29"/>
        <v/>
      </c>
    </row>
    <row r="275" spans="2:17">
      <c r="B275" s="65"/>
      <c r="C275" s="54"/>
      <c r="D275" s="261" t="str">
        <f t="shared" si="25"/>
        <v/>
      </c>
      <c r="E275" s="262" t="str">
        <f t="shared" si="24"/>
        <v/>
      </c>
      <c r="F275" s="125" t="str">
        <f>IF(G275="","",VLOOKUP(G275,プルダウン用リスト!$K$1:$M$16,2,FALSE))</f>
        <v/>
      </c>
      <c r="G275" s="67"/>
      <c r="H275" s="55"/>
      <c r="I275" s="67"/>
      <c r="J275" s="134"/>
      <c r="K275" s="68"/>
      <c r="L275" s="69"/>
      <c r="M275" s="69"/>
      <c r="N275" s="260" t="str">
        <f t="shared" si="26"/>
        <v/>
      </c>
      <c r="O275" s="256">
        <f t="shared" si="28"/>
        <v>0</v>
      </c>
      <c r="P275" s="257" t="str">
        <f t="shared" si="27"/>
        <v>×</v>
      </c>
      <c r="Q275" s="272" t="str">
        <f t="shared" si="29"/>
        <v/>
      </c>
    </row>
    <row r="276" spans="2:17">
      <c r="B276" s="65"/>
      <c r="C276" s="54"/>
      <c r="D276" s="261" t="str">
        <f t="shared" si="25"/>
        <v/>
      </c>
      <c r="E276" s="262" t="str">
        <f t="shared" si="24"/>
        <v/>
      </c>
      <c r="F276" s="125" t="str">
        <f>IF(G276="","",VLOOKUP(G276,プルダウン用リスト!$K$1:$M$16,2,FALSE))</f>
        <v/>
      </c>
      <c r="G276" s="67"/>
      <c r="H276" s="67"/>
      <c r="I276" s="67"/>
      <c r="J276" s="134"/>
      <c r="K276" s="68"/>
      <c r="L276" s="69"/>
      <c r="M276" s="69"/>
      <c r="N276" s="260" t="str">
        <f t="shared" si="26"/>
        <v/>
      </c>
      <c r="O276" s="256">
        <f t="shared" si="28"/>
        <v>0</v>
      </c>
      <c r="P276" s="257" t="str">
        <f t="shared" si="27"/>
        <v>×</v>
      </c>
      <c r="Q276" s="272" t="str">
        <f t="shared" si="29"/>
        <v/>
      </c>
    </row>
    <row r="277" spans="2:17">
      <c r="B277" s="65"/>
      <c r="C277" s="54"/>
      <c r="D277" s="261" t="str">
        <f t="shared" si="25"/>
        <v/>
      </c>
      <c r="E277" s="262" t="str">
        <f t="shared" si="24"/>
        <v/>
      </c>
      <c r="F277" s="125" t="str">
        <f>IF(G277="","",VLOOKUP(G277,プルダウン用リスト!$K$1:$M$16,2,FALSE))</f>
        <v/>
      </c>
      <c r="G277" s="67"/>
      <c r="H277" s="55"/>
      <c r="I277" s="67"/>
      <c r="J277" s="134"/>
      <c r="K277" s="68"/>
      <c r="L277" s="69"/>
      <c r="M277" s="69"/>
      <c r="N277" s="260" t="str">
        <f t="shared" si="26"/>
        <v/>
      </c>
      <c r="O277" s="256">
        <f t="shared" si="28"/>
        <v>0</v>
      </c>
      <c r="P277" s="257" t="str">
        <f t="shared" si="27"/>
        <v>×</v>
      </c>
      <c r="Q277" s="272" t="str">
        <f t="shared" si="29"/>
        <v/>
      </c>
    </row>
    <row r="278" spans="2:17">
      <c r="B278" s="65"/>
      <c r="C278" s="54"/>
      <c r="D278" s="261" t="str">
        <f t="shared" si="25"/>
        <v/>
      </c>
      <c r="E278" s="262" t="str">
        <f t="shared" si="24"/>
        <v/>
      </c>
      <c r="F278" s="125" t="str">
        <f>IF(G278="","",VLOOKUP(G278,プルダウン用リスト!$K$1:$M$16,2,FALSE))</f>
        <v/>
      </c>
      <c r="G278" s="67"/>
      <c r="H278" s="55"/>
      <c r="I278" s="67"/>
      <c r="J278" s="134"/>
      <c r="K278" s="68"/>
      <c r="L278" s="69"/>
      <c r="M278" s="69"/>
      <c r="N278" s="260" t="str">
        <f t="shared" si="26"/>
        <v/>
      </c>
      <c r="O278" s="256">
        <f t="shared" si="28"/>
        <v>0</v>
      </c>
      <c r="P278" s="257" t="str">
        <f t="shared" si="27"/>
        <v>×</v>
      </c>
      <c r="Q278" s="272" t="str">
        <f t="shared" si="29"/>
        <v/>
      </c>
    </row>
    <row r="279" spans="2:17">
      <c r="B279" s="65"/>
      <c r="C279" s="54"/>
      <c r="D279" s="261" t="str">
        <f t="shared" si="25"/>
        <v/>
      </c>
      <c r="E279" s="262" t="str">
        <f t="shared" ref="E279:E342" si="30">IF(G279="","",IF(OR(G279="1.謝金（内部）",G279="1.謝金（外部）"),"謝金",IF(G279="2.旅費","旅費",IF(G279="16.対象外経費","その他","所費"))))</f>
        <v/>
      </c>
      <c r="F279" s="125" t="str">
        <f>IF(G279="","",VLOOKUP(G279,プルダウン用リスト!$K$1:$M$16,2,FALSE))</f>
        <v/>
      </c>
      <c r="G279" s="67"/>
      <c r="H279" s="67"/>
      <c r="I279" s="67"/>
      <c r="J279" s="134"/>
      <c r="K279" s="68"/>
      <c r="L279" s="69"/>
      <c r="M279" s="69"/>
      <c r="N279" s="260" t="str">
        <f t="shared" si="26"/>
        <v/>
      </c>
      <c r="O279" s="256">
        <f t="shared" si="28"/>
        <v>0</v>
      </c>
      <c r="P279" s="257" t="str">
        <f t="shared" si="27"/>
        <v>×</v>
      </c>
      <c r="Q279" s="272" t="str">
        <f t="shared" si="29"/>
        <v/>
      </c>
    </row>
    <row r="280" spans="2:17">
      <c r="B280" s="65"/>
      <c r="C280" s="54"/>
      <c r="D280" s="261" t="str">
        <f t="shared" si="25"/>
        <v/>
      </c>
      <c r="E280" s="262" t="str">
        <f t="shared" si="30"/>
        <v/>
      </c>
      <c r="F280" s="125" t="str">
        <f>IF(G280="","",VLOOKUP(G280,プルダウン用リスト!$K$1:$M$16,2,FALSE))</f>
        <v/>
      </c>
      <c r="G280" s="67"/>
      <c r="H280" s="55"/>
      <c r="I280" s="67"/>
      <c r="J280" s="134"/>
      <c r="K280" s="68"/>
      <c r="L280" s="69"/>
      <c r="M280" s="69"/>
      <c r="N280" s="260" t="str">
        <f t="shared" si="26"/>
        <v/>
      </c>
      <c r="O280" s="256">
        <f t="shared" si="28"/>
        <v>0</v>
      </c>
      <c r="P280" s="257" t="str">
        <f t="shared" si="27"/>
        <v>×</v>
      </c>
      <c r="Q280" s="272" t="str">
        <f t="shared" si="29"/>
        <v/>
      </c>
    </row>
    <row r="281" spans="2:17">
      <c r="B281" s="65"/>
      <c r="C281" s="54"/>
      <c r="D281" s="261" t="str">
        <f t="shared" si="25"/>
        <v/>
      </c>
      <c r="E281" s="262" t="str">
        <f t="shared" si="30"/>
        <v/>
      </c>
      <c r="F281" s="125" t="str">
        <f>IF(G281="","",VLOOKUP(G281,プルダウン用リスト!$K$1:$M$16,2,FALSE))</f>
        <v/>
      </c>
      <c r="G281" s="67"/>
      <c r="H281" s="55"/>
      <c r="I281" s="67"/>
      <c r="J281" s="134"/>
      <c r="K281" s="68"/>
      <c r="L281" s="69"/>
      <c r="M281" s="69"/>
      <c r="N281" s="260" t="str">
        <f t="shared" si="26"/>
        <v/>
      </c>
      <c r="O281" s="256">
        <f t="shared" si="28"/>
        <v>0</v>
      </c>
      <c r="P281" s="257" t="str">
        <f t="shared" si="27"/>
        <v>×</v>
      </c>
      <c r="Q281" s="272" t="str">
        <f t="shared" si="29"/>
        <v/>
      </c>
    </row>
    <row r="282" spans="2:17">
      <c r="B282" s="65"/>
      <c r="C282" s="66"/>
      <c r="D282" s="261" t="str">
        <f t="shared" si="25"/>
        <v/>
      </c>
      <c r="E282" s="262" t="str">
        <f t="shared" si="30"/>
        <v/>
      </c>
      <c r="F282" s="125" t="str">
        <f>IF(G282="","",VLOOKUP(G282,プルダウン用リスト!$K$1:$M$16,2,FALSE))</f>
        <v/>
      </c>
      <c r="G282" s="67"/>
      <c r="H282" s="67"/>
      <c r="I282" s="67"/>
      <c r="J282" s="134"/>
      <c r="K282" s="68"/>
      <c r="L282" s="69"/>
      <c r="M282" s="69"/>
      <c r="N282" s="260" t="str">
        <f t="shared" si="26"/>
        <v/>
      </c>
      <c r="O282" s="256">
        <f t="shared" si="28"/>
        <v>0</v>
      </c>
      <c r="P282" s="257" t="str">
        <f t="shared" si="27"/>
        <v>×</v>
      </c>
      <c r="Q282" s="272" t="str">
        <f t="shared" si="29"/>
        <v/>
      </c>
    </row>
    <row r="283" spans="2:17">
      <c r="B283" s="65"/>
      <c r="C283" s="54"/>
      <c r="D283" s="261" t="str">
        <f t="shared" si="25"/>
        <v/>
      </c>
      <c r="E283" s="262" t="str">
        <f t="shared" si="30"/>
        <v/>
      </c>
      <c r="F283" s="125" t="str">
        <f>IF(G283="","",VLOOKUP(G283,プルダウン用リスト!$K$1:$M$16,2,FALSE))</f>
        <v/>
      </c>
      <c r="G283" s="67"/>
      <c r="H283" s="55"/>
      <c r="I283" s="67"/>
      <c r="J283" s="134"/>
      <c r="K283" s="68"/>
      <c r="L283" s="69"/>
      <c r="M283" s="69"/>
      <c r="N283" s="260" t="str">
        <f t="shared" si="26"/>
        <v/>
      </c>
      <c r="O283" s="256">
        <f t="shared" si="28"/>
        <v>0</v>
      </c>
      <c r="P283" s="257" t="str">
        <f t="shared" si="27"/>
        <v>×</v>
      </c>
      <c r="Q283" s="272" t="str">
        <f t="shared" si="29"/>
        <v/>
      </c>
    </row>
    <row r="284" spans="2:17">
      <c r="B284" s="65"/>
      <c r="C284" s="54"/>
      <c r="D284" s="261" t="str">
        <f t="shared" si="25"/>
        <v/>
      </c>
      <c r="E284" s="262" t="str">
        <f t="shared" si="30"/>
        <v/>
      </c>
      <c r="F284" s="125" t="str">
        <f>IF(G284="","",VLOOKUP(G284,プルダウン用リスト!$K$1:$M$16,2,FALSE))</f>
        <v/>
      </c>
      <c r="G284" s="67"/>
      <c r="H284" s="55"/>
      <c r="I284" s="67"/>
      <c r="J284" s="134"/>
      <c r="K284" s="68"/>
      <c r="L284" s="69"/>
      <c r="M284" s="69"/>
      <c r="N284" s="260" t="str">
        <f t="shared" si="26"/>
        <v/>
      </c>
      <c r="O284" s="256">
        <f t="shared" si="28"/>
        <v>0</v>
      </c>
      <c r="P284" s="257" t="str">
        <f t="shared" si="27"/>
        <v>×</v>
      </c>
      <c r="Q284" s="272" t="str">
        <f t="shared" si="29"/>
        <v/>
      </c>
    </row>
    <row r="285" spans="2:17">
      <c r="B285" s="65"/>
      <c r="C285" s="54"/>
      <c r="D285" s="261" t="str">
        <f t="shared" si="25"/>
        <v/>
      </c>
      <c r="E285" s="262" t="str">
        <f t="shared" si="30"/>
        <v/>
      </c>
      <c r="F285" s="125" t="str">
        <f>IF(G285="","",VLOOKUP(G285,プルダウン用リスト!$K$1:$M$16,2,FALSE))</f>
        <v/>
      </c>
      <c r="G285" s="67"/>
      <c r="H285" s="67"/>
      <c r="I285" s="67"/>
      <c r="J285" s="134"/>
      <c r="K285" s="68"/>
      <c r="L285" s="69"/>
      <c r="M285" s="69"/>
      <c r="N285" s="260" t="str">
        <f t="shared" si="26"/>
        <v/>
      </c>
      <c r="O285" s="256">
        <f t="shared" si="28"/>
        <v>0</v>
      </c>
      <c r="P285" s="257" t="str">
        <f t="shared" si="27"/>
        <v>×</v>
      </c>
      <c r="Q285" s="272" t="str">
        <f t="shared" si="29"/>
        <v/>
      </c>
    </row>
    <row r="286" spans="2:17">
      <c r="B286" s="65"/>
      <c r="C286" s="54"/>
      <c r="D286" s="261" t="str">
        <f t="shared" si="25"/>
        <v/>
      </c>
      <c r="E286" s="262" t="str">
        <f t="shared" si="30"/>
        <v/>
      </c>
      <c r="F286" s="125" t="str">
        <f>IF(G286="","",VLOOKUP(G286,プルダウン用リスト!$K$1:$M$16,2,FALSE))</f>
        <v/>
      </c>
      <c r="G286" s="67"/>
      <c r="H286" s="55"/>
      <c r="I286" s="67"/>
      <c r="J286" s="134"/>
      <c r="K286" s="68"/>
      <c r="L286" s="69"/>
      <c r="M286" s="69"/>
      <c r="N286" s="260" t="str">
        <f t="shared" si="26"/>
        <v/>
      </c>
      <c r="O286" s="256">
        <f t="shared" si="28"/>
        <v>0</v>
      </c>
      <c r="P286" s="257" t="str">
        <f t="shared" si="27"/>
        <v>×</v>
      </c>
      <c r="Q286" s="272" t="str">
        <f t="shared" si="29"/>
        <v/>
      </c>
    </row>
    <row r="287" spans="2:17">
      <c r="B287" s="65"/>
      <c r="C287" s="54"/>
      <c r="D287" s="261" t="str">
        <f t="shared" si="25"/>
        <v/>
      </c>
      <c r="E287" s="262" t="str">
        <f t="shared" si="30"/>
        <v/>
      </c>
      <c r="F287" s="125" t="str">
        <f>IF(G287="","",VLOOKUP(G287,プルダウン用リスト!$K$1:$M$16,2,FALSE))</f>
        <v/>
      </c>
      <c r="G287" s="67"/>
      <c r="H287" s="55"/>
      <c r="I287" s="67"/>
      <c r="J287" s="134"/>
      <c r="K287" s="68"/>
      <c r="L287" s="69"/>
      <c r="M287" s="69"/>
      <c r="N287" s="260" t="str">
        <f t="shared" si="26"/>
        <v/>
      </c>
      <c r="O287" s="256">
        <f t="shared" si="28"/>
        <v>0</v>
      </c>
      <c r="P287" s="257" t="str">
        <f t="shared" si="27"/>
        <v>×</v>
      </c>
      <c r="Q287" s="272" t="str">
        <f t="shared" si="29"/>
        <v/>
      </c>
    </row>
    <row r="288" spans="2:17">
      <c r="B288" s="65"/>
      <c r="C288" s="54"/>
      <c r="D288" s="261" t="str">
        <f t="shared" si="25"/>
        <v/>
      </c>
      <c r="E288" s="262" t="str">
        <f t="shared" si="30"/>
        <v/>
      </c>
      <c r="F288" s="125" t="str">
        <f>IF(G288="","",VLOOKUP(G288,プルダウン用リスト!$K$1:$M$16,2,FALSE))</f>
        <v/>
      </c>
      <c r="G288" s="67"/>
      <c r="H288" s="67"/>
      <c r="I288" s="67"/>
      <c r="J288" s="134"/>
      <c r="K288" s="68"/>
      <c r="L288" s="69"/>
      <c r="M288" s="69"/>
      <c r="N288" s="260" t="str">
        <f t="shared" si="26"/>
        <v/>
      </c>
      <c r="O288" s="256">
        <f t="shared" si="28"/>
        <v>0</v>
      </c>
      <c r="P288" s="257" t="str">
        <f t="shared" si="27"/>
        <v>×</v>
      </c>
      <c r="Q288" s="272" t="str">
        <f t="shared" si="29"/>
        <v/>
      </c>
    </row>
    <row r="289" spans="2:17">
      <c r="B289" s="65"/>
      <c r="C289" s="54"/>
      <c r="D289" s="261" t="str">
        <f t="shared" si="25"/>
        <v/>
      </c>
      <c r="E289" s="262" t="str">
        <f t="shared" si="30"/>
        <v/>
      </c>
      <c r="F289" s="125" t="str">
        <f>IF(G289="","",VLOOKUP(G289,プルダウン用リスト!$K$1:$M$16,2,FALSE))</f>
        <v/>
      </c>
      <c r="G289" s="67"/>
      <c r="H289" s="55"/>
      <c r="I289" s="67"/>
      <c r="J289" s="134"/>
      <c r="K289" s="68"/>
      <c r="L289" s="69"/>
      <c r="M289" s="69"/>
      <c r="N289" s="260" t="str">
        <f t="shared" si="26"/>
        <v/>
      </c>
      <c r="O289" s="256">
        <f t="shared" si="28"/>
        <v>0</v>
      </c>
      <c r="P289" s="257" t="str">
        <f t="shared" si="27"/>
        <v>×</v>
      </c>
      <c r="Q289" s="272" t="str">
        <f t="shared" si="29"/>
        <v/>
      </c>
    </row>
    <row r="290" spans="2:17">
      <c r="B290" s="65"/>
      <c r="C290" s="54"/>
      <c r="D290" s="261" t="str">
        <f t="shared" si="25"/>
        <v/>
      </c>
      <c r="E290" s="262" t="str">
        <f t="shared" si="30"/>
        <v/>
      </c>
      <c r="F290" s="125" t="str">
        <f>IF(G290="","",VLOOKUP(G290,プルダウン用リスト!$K$1:$M$16,2,FALSE))</f>
        <v/>
      </c>
      <c r="G290" s="67"/>
      <c r="H290" s="55"/>
      <c r="I290" s="67"/>
      <c r="J290" s="134"/>
      <c r="K290" s="68"/>
      <c r="L290" s="69"/>
      <c r="M290" s="69"/>
      <c r="N290" s="260" t="str">
        <f t="shared" si="26"/>
        <v/>
      </c>
      <c r="O290" s="256">
        <f t="shared" si="28"/>
        <v>0</v>
      </c>
      <c r="P290" s="257" t="str">
        <f t="shared" si="27"/>
        <v>×</v>
      </c>
      <c r="Q290" s="272" t="str">
        <f t="shared" si="29"/>
        <v/>
      </c>
    </row>
    <row r="291" spans="2:17">
      <c r="B291" s="65"/>
      <c r="C291" s="54"/>
      <c r="D291" s="261" t="str">
        <f t="shared" si="25"/>
        <v/>
      </c>
      <c r="E291" s="262" t="str">
        <f t="shared" si="30"/>
        <v/>
      </c>
      <c r="F291" s="125" t="str">
        <f>IF(G291="","",VLOOKUP(G291,プルダウン用リスト!$K$1:$M$16,2,FALSE))</f>
        <v/>
      </c>
      <c r="G291" s="67"/>
      <c r="H291" s="67"/>
      <c r="I291" s="67"/>
      <c r="J291" s="134"/>
      <c r="K291" s="68"/>
      <c r="L291" s="69"/>
      <c r="M291" s="69"/>
      <c r="N291" s="260" t="str">
        <f t="shared" si="26"/>
        <v/>
      </c>
      <c r="O291" s="256">
        <f t="shared" si="28"/>
        <v>0</v>
      </c>
      <c r="P291" s="257" t="str">
        <f t="shared" si="27"/>
        <v>×</v>
      </c>
      <c r="Q291" s="272" t="str">
        <f t="shared" si="29"/>
        <v/>
      </c>
    </row>
    <row r="292" spans="2:17">
      <c r="B292" s="65"/>
      <c r="C292" s="54"/>
      <c r="D292" s="261" t="str">
        <f t="shared" si="25"/>
        <v/>
      </c>
      <c r="E292" s="262" t="str">
        <f t="shared" si="30"/>
        <v/>
      </c>
      <c r="F292" s="125" t="str">
        <f>IF(G292="","",VLOOKUP(G292,プルダウン用リスト!$K$1:$M$16,2,FALSE))</f>
        <v/>
      </c>
      <c r="G292" s="67"/>
      <c r="H292" s="55"/>
      <c r="I292" s="67"/>
      <c r="J292" s="134"/>
      <c r="K292" s="68"/>
      <c r="L292" s="69"/>
      <c r="M292" s="69"/>
      <c r="N292" s="260" t="str">
        <f t="shared" si="26"/>
        <v/>
      </c>
      <c r="O292" s="256">
        <f t="shared" si="28"/>
        <v>0</v>
      </c>
      <c r="P292" s="257" t="str">
        <f t="shared" si="27"/>
        <v>×</v>
      </c>
      <c r="Q292" s="272" t="str">
        <f t="shared" si="29"/>
        <v/>
      </c>
    </row>
    <row r="293" spans="2:17">
      <c r="B293" s="65"/>
      <c r="C293" s="54"/>
      <c r="D293" s="261" t="str">
        <f t="shared" si="25"/>
        <v/>
      </c>
      <c r="E293" s="262" t="str">
        <f t="shared" si="30"/>
        <v/>
      </c>
      <c r="F293" s="125" t="str">
        <f>IF(G293="","",VLOOKUP(G293,プルダウン用リスト!$K$1:$M$16,2,FALSE))</f>
        <v/>
      </c>
      <c r="G293" s="67"/>
      <c r="H293" s="55"/>
      <c r="I293" s="67"/>
      <c r="J293" s="134"/>
      <c r="K293" s="68"/>
      <c r="L293" s="69"/>
      <c r="M293" s="69"/>
      <c r="N293" s="260" t="str">
        <f t="shared" si="26"/>
        <v/>
      </c>
      <c r="O293" s="256">
        <f t="shared" si="28"/>
        <v>0</v>
      </c>
      <c r="P293" s="257" t="str">
        <f t="shared" si="27"/>
        <v>×</v>
      </c>
      <c r="Q293" s="272" t="str">
        <f t="shared" si="29"/>
        <v/>
      </c>
    </row>
    <row r="294" spans="2:17">
      <c r="B294" s="65"/>
      <c r="C294" s="66"/>
      <c r="D294" s="261" t="str">
        <f t="shared" si="25"/>
        <v/>
      </c>
      <c r="E294" s="262" t="str">
        <f t="shared" si="30"/>
        <v/>
      </c>
      <c r="F294" s="125" t="str">
        <f>IF(G294="","",VLOOKUP(G294,プルダウン用リスト!$K$1:$M$16,2,FALSE))</f>
        <v/>
      </c>
      <c r="G294" s="67"/>
      <c r="H294" s="67"/>
      <c r="I294" s="67"/>
      <c r="J294" s="134"/>
      <c r="K294" s="68"/>
      <c r="L294" s="69"/>
      <c r="M294" s="69"/>
      <c r="N294" s="260" t="str">
        <f t="shared" si="26"/>
        <v/>
      </c>
      <c r="O294" s="256">
        <f t="shared" si="28"/>
        <v>0</v>
      </c>
      <c r="P294" s="257" t="str">
        <f t="shared" si="27"/>
        <v>×</v>
      </c>
      <c r="Q294" s="272" t="str">
        <f t="shared" si="29"/>
        <v/>
      </c>
    </row>
    <row r="295" spans="2:17">
      <c r="B295" s="65"/>
      <c r="C295" s="54"/>
      <c r="D295" s="261" t="str">
        <f t="shared" si="25"/>
        <v/>
      </c>
      <c r="E295" s="262" t="str">
        <f t="shared" si="30"/>
        <v/>
      </c>
      <c r="F295" s="125" t="str">
        <f>IF(G295="","",VLOOKUP(G295,プルダウン用リスト!$K$1:$M$16,2,FALSE))</f>
        <v/>
      </c>
      <c r="G295" s="67"/>
      <c r="H295" s="55"/>
      <c r="I295" s="67"/>
      <c r="J295" s="134"/>
      <c r="K295" s="68"/>
      <c r="L295" s="69"/>
      <c r="M295" s="69"/>
      <c r="N295" s="260" t="str">
        <f t="shared" si="26"/>
        <v/>
      </c>
      <c r="O295" s="256">
        <f t="shared" si="28"/>
        <v>0</v>
      </c>
      <c r="P295" s="257" t="str">
        <f t="shared" si="27"/>
        <v>×</v>
      </c>
      <c r="Q295" s="272" t="str">
        <f t="shared" si="29"/>
        <v/>
      </c>
    </row>
    <row r="296" spans="2:17">
      <c r="B296" s="65"/>
      <c r="C296" s="54"/>
      <c r="D296" s="261" t="str">
        <f t="shared" si="25"/>
        <v/>
      </c>
      <c r="E296" s="262" t="str">
        <f t="shared" si="30"/>
        <v/>
      </c>
      <c r="F296" s="125" t="str">
        <f>IF(G296="","",VLOOKUP(G296,プルダウン用リスト!$K$1:$M$16,2,FALSE))</f>
        <v/>
      </c>
      <c r="G296" s="67"/>
      <c r="H296" s="55"/>
      <c r="I296" s="67"/>
      <c r="J296" s="134"/>
      <c r="K296" s="68"/>
      <c r="L296" s="69"/>
      <c r="M296" s="69"/>
      <c r="N296" s="260" t="str">
        <f t="shared" si="26"/>
        <v/>
      </c>
      <c r="O296" s="256">
        <f t="shared" si="28"/>
        <v>0</v>
      </c>
      <c r="P296" s="257" t="str">
        <f t="shared" si="27"/>
        <v>×</v>
      </c>
      <c r="Q296" s="272" t="str">
        <f t="shared" si="29"/>
        <v/>
      </c>
    </row>
    <row r="297" spans="2:17">
      <c r="B297" s="65"/>
      <c r="C297" s="54"/>
      <c r="D297" s="261" t="str">
        <f t="shared" si="25"/>
        <v/>
      </c>
      <c r="E297" s="262" t="str">
        <f t="shared" si="30"/>
        <v/>
      </c>
      <c r="F297" s="125" t="str">
        <f>IF(G297="","",VLOOKUP(G297,プルダウン用リスト!$K$1:$M$16,2,FALSE))</f>
        <v/>
      </c>
      <c r="G297" s="67"/>
      <c r="H297" s="67"/>
      <c r="I297" s="67"/>
      <c r="J297" s="134"/>
      <c r="K297" s="68"/>
      <c r="L297" s="69"/>
      <c r="M297" s="69"/>
      <c r="N297" s="260" t="str">
        <f t="shared" si="26"/>
        <v/>
      </c>
      <c r="O297" s="256">
        <f t="shared" si="28"/>
        <v>0</v>
      </c>
      <c r="P297" s="257" t="str">
        <f t="shared" si="27"/>
        <v>×</v>
      </c>
      <c r="Q297" s="272" t="str">
        <f t="shared" si="29"/>
        <v/>
      </c>
    </row>
    <row r="298" spans="2:17">
      <c r="B298" s="65"/>
      <c r="C298" s="54"/>
      <c r="D298" s="261" t="str">
        <f t="shared" si="25"/>
        <v/>
      </c>
      <c r="E298" s="262" t="str">
        <f t="shared" si="30"/>
        <v/>
      </c>
      <c r="F298" s="125" t="str">
        <f>IF(G298="","",VLOOKUP(G298,プルダウン用リスト!$K$1:$M$16,2,FALSE))</f>
        <v/>
      </c>
      <c r="G298" s="67"/>
      <c r="H298" s="55"/>
      <c r="I298" s="67"/>
      <c r="J298" s="134"/>
      <c r="K298" s="68"/>
      <c r="L298" s="69"/>
      <c r="M298" s="69"/>
      <c r="N298" s="260" t="str">
        <f t="shared" si="26"/>
        <v/>
      </c>
      <c r="O298" s="256">
        <f t="shared" si="28"/>
        <v>0</v>
      </c>
      <c r="P298" s="257" t="str">
        <f t="shared" si="27"/>
        <v>×</v>
      </c>
      <c r="Q298" s="272" t="str">
        <f t="shared" si="29"/>
        <v/>
      </c>
    </row>
    <row r="299" spans="2:17">
      <c r="B299" s="65"/>
      <c r="C299" s="54"/>
      <c r="D299" s="261" t="str">
        <f t="shared" si="25"/>
        <v/>
      </c>
      <c r="E299" s="262" t="str">
        <f t="shared" si="30"/>
        <v/>
      </c>
      <c r="F299" s="125" t="str">
        <f>IF(G299="","",VLOOKUP(G299,プルダウン用リスト!$K$1:$M$16,2,FALSE))</f>
        <v/>
      </c>
      <c r="G299" s="67"/>
      <c r="H299" s="55"/>
      <c r="I299" s="67"/>
      <c r="J299" s="134"/>
      <c r="K299" s="68"/>
      <c r="L299" s="69"/>
      <c r="M299" s="69"/>
      <c r="N299" s="260" t="str">
        <f t="shared" si="26"/>
        <v/>
      </c>
      <c r="O299" s="256">
        <f t="shared" si="28"/>
        <v>0</v>
      </c>
      <c r="P299" s="257" t="str">
        <f t="shared" si="27"/>
        <v>×</v>
      </c>
      <c r="Q299" s="272" t="str">
        <f t="shared" si="29"/>
        <v/>
      </c>
    </row>
    <row r="300" spans="2:17">
      <c r="B300" s="65"/>
      <c r="C300" s="54"/>
      <c r="D300" s="261" t="str">
        <f t="shared" si="25"/>
        <v/>
      </c>
      <c r="E300" s="262" t="str">
        <f t="shared" si="30"/>
        <v/>
      </c>
      <c r="F300" s="125" t="str">
        <f>IF(G300="","",VLOOKUP(G300,プルダウン用リスト!$K$1:$M$16,2,FALSE))</f>
        <v/>
      </c>
      <c r="G300" s="67"/>
      <c r="H300" s="67"/>
      <c r="I300" s="67"/>
      <c r="J300" s="134"/>
      <c r="K300" s="68"/>
      <c r="L300" s="69"/>
      <c r="M300" s="69"/>
      <c r="N300" s="260" t="str">
        <f t="shared" si="26"/>
        <v/>
      </c>
      <c r="O300" s="256">
        <f t="shared" si="28"/>
        <v>0</v>
      </c>
      <c r="P300" s="257" t="str">
        <f t="shared" si="27"/>
        <v>×</v>
      </c>
      <c r="Q300" s="272" t="str">
        <f t="shared" si="29"/>
        <v/>
      </c>
    </row>
    <row r="301" spans="2:17">
      <c r="B301" s="65"/>
      <c r="C301" s="54"/>
      <c r="D301" s="261" t="str">
        <f t="shared" si="25"/>
        <v/>
      </c>
      <c r="E301" s="262" t="str">
        <f t="shared" si="30"/>
        <v/>
      </c>
      <c r="F301" s="125" t="str">
        <f>IF(G301="","",VLOOKUP(G301,プルダウン用リスト!$K$1:$M$16,2,FALSE))</f>
        <v/>
      </c>
      <c r="G301" s="67"/>
      <c r="H301" s="55"/>
      <c r="I301" s="67"/>
      <c r="J301" s="134"/>
      <c r="K301" s="68"/>
      <c r="L301" s="69"/>
      <c r="M301" s="69"/>
      <c r="N301" s="260" t="str">
        <f t="shared" si="26"/>
        <v/>
      </c>
      <c r="O301" s="256">
        <f t="shared" si="28"/>
        <v>0</v>
      </c>
      <c r="P301" s="257" t="str">
        <f t="shared" si="27"/>
        <v>×</v>
      </c>
      <c r="Q301" s="272" t="str">
        <f t="shared" si="29"/>
        <v/>
      </c>
    </row>
    <row r="302" spans="2:17">
      <c r="B302" s="65"/>
      <c r="C302" s="54"/>
      <c r="D302" s="261" t="str">
        <f t="shared" si="25"/>
        <v/>
      </c>
      <c r="E302" s="262" t="str">
        <f t="shared" si="30"/>
        <v/>
      </c>
      <c r="F302" s="125" t="str">
        <f>IF(G302="","",VLOOKUP(G302,プルダウン用リスト!$K$1:$M$16,2,FALSE))</f>
        <v/>
      </c>
      <c r="G302" s="67"/>
      <c r="H302" s="55"/>
      <c r="I302" s="67"/>
      <c r="J302" s="134"/>
      <c r="K302" s="68"/>
      <c r="L302" s="69"/>
      <c r="M302" s="69"/>
      <c r="N302" s="260" t="str">
        <f t="shared" si="26"/>
        <v/>
      </c>
      <c r="O302" s="256">
        <f t="shared" si="28"/>
        <v>0</v>
      </c>
      <c r="P302" s="257" t="str">
        <f t="shared" si="27"/>
        <v>×</v>
      </c>
      <c r="Q302" s="272" t="str">
        <f t="shared" si="29"/>
        <v/>
      </c>
    </row>
    <row r="303" spans="2:17">
      <c r="B303" s="65"/>
      <c r="C303" s="54"/>
      <c r="D303" s="261" t="str">
        <f t="shared" si="25"/>
        <v/>
      </c>
      <c r="E303" s="262" t="str">
        <f t="shared" si="30"/>
        <v/>
      </c>
      <c r="F303" s="125" t="str">
        <f>IF(G303="","",VLOOKUP(G303,プルダウン用リスト!$K$1:$M$16,2,FALSE))</f>
        <v/>
      </c>
      <c r="G303" s="67"/>
      <c r="H303" s="67"/>
      <c r="I303" s="67"/>
      <c r="J303" s="134"/>
      <c r="K303" s="68"/>
      <c r="L303" s="69"/>
      <c r="M303" s="69"/>
      <c r="N303" s="260" t="str">
        <f t="shared" si="26"/>
        <v/>
      </c>
      <c r="O303" s="256">
        <f t="shared" si="28"/>
        <v>0</v>
      </c>
      <c r="P303" s="257" t="str">
        <f t="shared" si="27"/>
        <v>×</v>
      </c>
      <c r="Q303" s="272" t="str">
        <f t="shared" si="29"/>
        <v/>
      </c>
    </row>
    <row r="304" spans="2:17">
      <c r="B304" s="65"/>
      <c r="C304" s="54"/>
      <c r="D304" s="261" t="str">
        <f t="shared" si="25"/>
        <v/>
      </c>
      <c r="E304" s="262" t="str">
        <f t="shared" si="30"/>
        <v/>
      </c>
      <c r="F304" s="125" t="str">
        <f>IF(G304="","",VLOOKUP(G304,プルダウン用リスト!$K$1:$M$16,2,FALSE))</f>
        <v/>
      </c>
      <c r="G304" s="67"/>
      <c r="H304" s="55"/>
      <c r="I304" s="67"/>
      <c r="J304" s="134"/>
      <c r="K304" s="68"/>
      <c r="L304" s="69"/>
      <c r="M304" s="69"/>
      <c r="N304" s="260" t="str">
        <f t="shared" si="26"/>
        <v/>
      </c>
      <c r="O304" s="256">
        <f t="shared" si="28"/>
        <v>0</v>
      </c>
      <c r="P304" s="257" t="str">
        <f t="shared" si="27"/>
        <v>×</v>
      </c>
      <c r="Q304" s="272" t="str">
        <f t="shared" si="29"/>
        <v/>
      </c>
    </row>
    <row r="305" spans="2:17">
      <c r="B305" s="65"/>
      <c r="C305" s="54"/>
      <c r="D305" s="261" t="str">
        <f t="shared" si="25"/>
        <v/>
      </c>
      <c r="E305" s="262" t="str">
        <f t="shared" si="30"/>
        <v/>
      </c>
      <c r="F305" s="125" t="str">
        <f>IF(G305="","",VLOOKUP(G305,プルダウン用リスト!$K$1:$M$16,2,FALSE))</f>
        <v/>
      </c>
      <c r="G305" s="67"/>
      <c r="H305" s="55"/>
      <c r="I305" s="67"/>
      <c r="J305" s="134"/>
      <c r="K305" s="68"/>
      <c r="L305" s="69"/>
      <c r="M305" s="69"/>
      <c r="N305" s="260" t="str">
        <f t="shared" si="26"/>
        <v/>
      </c>
      <c r="O305" s="256">
        <f t="shared" si="28"/>
        <v>0</v>
      </c>
      <c r="P305" s="257" t="str">
        <f t="shared" si="27"/>
        <v>×</v>
      </c>
      <c r="Q305" s="272" t="str">
        <f t="shared" si="29"/>
        <v/>
      </c>
    </row>
    <row r="306" spans="2:17">
      <c r="B306" s="65"/>
      <c r="C306" s="66"/>
      <c r="D306" s="261" t="str">
        <f t="shared" si="25"/>
        <v/>
      </c>
      <c r="E306" s="262" t="str">
        <f t="shared" si="30"/>
        <v/>
      </c>
      <c r="F306" s="125" t="str">
        <f>IF(G306="","",VLOOKUP(G306,プルダウン用リスト!$K$1:$M$16,2,FALSE))</f>
        <v/>
      </c>
      <c r="G306" s="67"/>
      <c r="H306" s="67"/>
      <c r="I306" s="67"/>
      <c r="J306" s="134"/>
      <c r="K306" s="68"/>
      <c r="L306" s="69"/>
      <c r="M306" s="69"/>
      <c r="N306" s="260" t="str">
        <f t="shared" si="26"/>
        <v/>
      </c>
      <c r="O306" s="256">
        <f t="shared" si="28"/>
        <v>0</v>
      </c>
      <c r="P306" s="257" t="str">
        <f t="shared" si="27"/>
        <v>×</v>
      </c>
      <c r="Q306" s="272" t="str">
        <f t="shared" si="29"/>
        <v/>
      </c>
    </row>
    <row r="307" spans="2:17">
      <c r="B307" s="65"/>
      <c r="C307" s="54"/>
      <c r="D307" s="261" t="str">
        <f t="shared" si="25"/>
        <v/>
      </c>
      <c r="E307" s="262" t="str">
        <f t="shared" si="30"/>
        <v/>
      </c>
      <c r="F307" s="125" t="str">
        <f>IF(G307="","",VLOOKUP(G307,プルダウン用リスト!$K$1:$M$16,2,FALSE))</f>
        <v/>
      </c>
      <c r="G307" s="67"/>
      <c r="H307" s="55"/>
      <c r="I307" s="67"/>
      <c r="J307" s="134"/>
      <c r="K307" s="68"/>
      <c r="L307" s="69"/>
      <c r="M307" s="69"/>
      <c r="N307" s="260" t="str">
        <f t="shared" si="26"/>
        <v/>
      </c>
      <c r="O307" s="256">
        <f t="shared" si="28"/>
        <v>0</v>
      </c>
      <c r="P307" s="257" t="str">
        <f t="shared" si="27"/>
        <v>×</v>
      </c>
      <c r="Q307" s="272" t="str">
        <f t="shared" si="29"/>
        <v/>
      </c>
    </row>
    <row r="308" spans="2:17">
      <c r="B308" s="65"/>
      <c r="C308" s="54"/>
      <c r="D308" s="261" t="str">
        <f t="shared" si="25"/>
        <v/>
      </c>
      <c r="E308" s="262" t="str">
        <f t="shared" si="30"/>
        <v/>
      </c>
      <c r="F308" s="125" t="str">
        <f>IF(G308="","",VLOOKUP(G308,プルダウン用リスト!$K$1:$M$16,2,FALSE))</f>
        <v/>
      </c>
      <c r="G308" s="67"/>
      <c r="H308" s="55"/>
      <c r="I308" s="67"/>
      <c r="J308" s="134"/>
      <c r="K308" s="68"/>
      <c r="L308" s="69"/>
      <c r="M308" s="69"/>
      <c r="N308" s="260" t="str">
        <f t="shared" si="26"/>
        <v/>
      </c>
      <c r="O308" s="256">
        <f t="shared" si="28"/>
        <v>0</v>
      </c>
      <c r="P308" s="257" t="str">
        <f t="shared" si="27"/>
        <v>×</v>
      </c>
      <c r="Q308" s="272" t="str">
        <f t="shared" si="29"/>
        <v/>
      </c>
    </row>
    <row r="309" spans="2:17">
      <c r="B309" s="65"/>
      <c r="C309" s="54"/>
      <c r="D309" s="261" t="str">
        <f t="shared" si="25"/>
        <v/>
      </c>
      <c r="E309" s="262" t="str">
        <f t="shared" si="30"/>
        <v/>
      </c>
      <c r="F309" s="125" t="str">
        <f>IF(G309="","",VLOOKUP(G309,プルダウン用リスト!$K$1:$M$16,2,FALSE))</f>
        <v/>
      </c>
      <c r="G309" s="67"/>
      <c r="H309" s="67"/>
      <c r="I309" s="67"/>
      <c r="J309" s="134"/>
      <c r="K309" s="68"/>
      <c r="L309" s="69"/>
      <c r="M309" s="69"/>
      <c r="N309" s="260" t="str">
        <f t="shared" si="26"/>
        <v/>
      </c>
      <c r="O309" s="256">
        <f t="shared" si="28"/>
        <v>0</v>
      </c>
      <c r="P309" s="257" t="str">
        <f t="shared" si="27"/>
        <v>×</v>
      </c>
      <c r="Q309" s="272" t="str">
        <f t="shared" si="29"/>
        <v/>
      </c>
    </row>
    <row r="310" spans="2:17">
      <c r="B310" s="65"/>
      <c r="C310" s="54"/>
      <c r="D310" s="261" t="str">
        <f t="shared" si="25"/>
        <v/>
      </c>
      <c r="E310" s="262" t="str">
        <f t="shared" si="30"/>
        <v/>
      </c>
      <c r="F310" s="125" t="str">
        <f>IF(G310="","",VLOOKUP(G310,プルダウン用リスト!$K$1:$M$16,2,FALSE))</f>
        <v/>
      </c>
      <c r="G310" s="67"/>
      <c r="H310" s="55"/>
      <c r="I310" s="67"/>
      <c r="J310" s="134"/>
      <c r="K310" s="68"/>
      <c r="L310" s="69"/>
      <c r="M310" s="69"/>
      <c r="N310" s="260" t="str">
        <f t="shared" si="26"/>
        <v/>
      </c>
      <c r="O310" s="256">
        <f t="shared" si="28"/>
        <v>0</v>
      </c>
      <c r="P310" s="257" t="str">
        <f t="shared" si="27"/>
        <v>×</v>
      </c>
      <c r="Q310" s="272" t="str">
        <f t="shared" si="29"/>
        <v/>
      </c>
    </row>
    <row r="311" spans="2:17">
      <c r="B311" s="65"/>
      <c r="C311" s="54"/>
      <c r="D311" s="261" t="str">
        <f t="shared" si="25"/>
        <v/>
      </c>
      <c r="E311" s="262" t="str">
        <f t="shared" si="30"/>
        <v/>
      </c>
      <c r="F311" s="125" t="str">
        <f>IF(G311="","",VLOOKUP(G311,プルダウン用リスト!$K$1:$M$16,2,FALSE))</f>
        <v/>
      </c>
      <c r="G311" s="67"/>
      <c r="H311" s="55"/>
      <c r="I311" s="67"/>
      <c r="J311" s="134"/>
      <c r="K311" s="68"/>
      <c r="L311" s="69"/>
      <c r="M311" s="69"/>
      <c r="N311" s="260" t="str">
        <f t="shared" si="26"/>
        <v/>
      </c>
      <c r="O311" s="256">
        <f t="shared" si="28"/>
        <v>0</v>
      </c>
      <c r="P311" s="257" t="str">
        <f t="shared" si="27"/>
        <v>×</v>
      </c>
      <c r="Q311" s="272" t="str">
        <f t="shared" si="29"/>
        <v/>
      </c>
    </row>
    <row r="312" spans="2:17">
      <c r="B312" s="65"/>
      <c r="C312" s="54"/>
      <c r="D312" s="261" t="str">
        <f t="shared" si="25"/>
        <v/>
      </c>
      <c r="E312" s="262" t="str">
        <f t="shared" si="30"/>
        <v/>
      </c>
      <c r="F312" s="125" t="str">
        <f>IF(G312="","",VLOOKUP(G312,プルダウン用リスト!$K$1:$M$16,2,FALSE))</f>
        <v/>
      </c>
      <c r="G312" s="67"/>
      <c r="H312" s="67"/>
      <c r="I312" s="67"/>
      <c r="J312" s="134"/>
      <c r="K312" s="68"/>
      <c r="L312" s="69"/>
      <c r="M312" s="69"/>
      <c r="N312" s="260" t="str">
        <f t="shared" si="26"/>
        <v/>
      </c>
      <c r="O312" s="256">
        <f t="shared" si="28"/>
        <v>0</v>
      </c>
      <c r="P312" s="257" t="str">
        <f t="shared" si="27"/>
        <v>×</v>
      </c>
      <c r="Q312" s="272" t="str">
        <f t="shared" si="29"/>
        <v/>
      </c>
    </row>
    <row r="313" spans="2:17">
      <c r="B313" s="65"/>
      <c r="C313" s="54"/>
      <c r="D313" s="261" t="str">
        <f t="shared" si="25"/>
        <v/>
      </c>
      <c r="E313" s="262" t="str">
        <f t="shared" si="30"/>
        <v/>
      </c>
      <c r="F313" s="125" t="str">
        <f>IF(G313="","",VLOOKUP(G313,プルダウン用リスト!$K$1:$M$16,2,FALSE))</f>
        <v/>
      </c>
      <c r="G313" s="67"/>
      <c r="H313" s="55"/>
      <c r="I313" s="67"/>
      <c r="J313" s="134"/>
      <c r="K313" s="68"/>
      <c r="L313" s="69"/>
      <c r="M313" s="69"/>
      <c r="N313" s="260" t="str">
        <f t="shared" si="26"/>
        <v/>
      </c>
      <c r="O313" s="256">
        <f t="shared" si="28"/>
        <v>0</v>
      </c>
      <c r="P313" s="257" t="str">
        <f t="shared" si="27"/>
        <v>×</v>
      </c>
      <c r="Q313" s="272" t="str">
        <f t="shared" si="29"/>
        <v/>
      </c>
    </row>
    <row r="314" spans="2:17">
      <c r="B314" s="65"/>
      <c r="C314" s="54"/>
      <c r="D314" s="261" t="str">
        <f t="shared" si="25"/>
        <v/>
      </c>
      <c r="E314" s="262" t="str">
        <f t="shared" si="30"/>
        <v/>
      </c>
      <c r="F314" s="125" t="str">
        <f>IF(G314="","",VLOOKUP(G314,プルダウン用リスト!$K$1:$M$16,2,FALSE))</f>
        <v/>
      </c>
      <c r="G314" s="67"/>
      <c r="H314" s="55"/>
      <c r="I314" s="67"/>
      <c r="J314" s="134"/>
      <c r="K314" s="68"/>
      <c r="L314" s="69"/>
      <c r="M314" s="69"/>
      <c r="N314" s="260" t="str">
        <f t="shared" si="26"/>
        <v/>
      </c>
      <c r="O314" s="256">
        <f t="shared" si="28"/>
        <v>0</v>
      </c>
      <c r="P314" s="257" t="str">
        <f t="shared" si="27"/>
        <v>×</v>
      </c>
      <c r="Q314" s="272" t="str">
        <f t="shared" si="29"/>
        <v/>
      </c>
    </row>
    <row r="315" spans="2:17">
      <c r="B315" s="65"/>
      <c r="C315" s="54"/>
      <c r="D315" s="261" t="str">
        <f t="shared" si="25"/>
        <v/>
      </c>
      <c r="E315" s="262" t="str">
        <f t="shared" si="30"/>
        <v/>
      </c>
      <c r="F315" s="125" t="str">
        <f>IF(G315="","",VLOOKUP(G315,プルダウン用リスト!$K$1:$M$16,2,FALSE))</f>
        <v/>
      </c>
      <c r="G315" s="67"/>
      <c r="H315" s="67"/>
      <c r="I315" s="67"/>
      <c r="J315" s="134"/>
      <c r="K315" s="68"/>
      <c r="L315" s="69"/>
      <c r="M315" s="69"/>
      <c r="N315" s="260" t="str">
        <f t="shared" si="26"/>
        <v/>
      </c>
      <c r="O315" s="256">
        <f t="shared" si="28"/>
        <v>0</v>
      </c>
      <c r="P315" s="257" t="str">
        <f t="shared" si="27"/>
        <v>×</v>
      </c>
      <c r="Q315" s="272" t="str">
        <f t="shared" si="29"/>
        <v/>
      </c>
    </row>
    <row r="316" spans="2:17">
      <c r="B316" s="65"/>
      <c r="C316" s="54"/>
      <c r="D316" s="261" t="str">
        <f t="shared" si="25"/>
        <v/>
      </c>
      <c r="E316" s="262" t="str">
        <f t="shared" si="30"/>
        <v/>
      </c>
      <c r="F316" s="125" t="str">
        <f>IF(G316="","",VLOOKUP(G316,プルダウン用リスト!$K$1:$M$16,2,FALSE))</f>
        <v/>
      </c>
      <c r="G316" s="67"/>
      <c r="H316" s="55"/>
      <c r="I316" s="67"/>
      <c r="J316" s="134"/>
      <c r="K316" s="68"/>
      <c r="L316" s="69"/>
      <c r="M316" s="69"/>
      <c r="N316" s="260" t="str">
        <f t="shared" si="26"/>
        <v/>
      </c>
      <c r="O316" s="256">
        <f t="shared" si="28"/>
        <v>0</v>
      </c>
      <c r="P316" s="257" t="str">
        <f t="shared" si="27"/>
        <v>×</v>
      </c>
      <c r="Q316" s="272" t="str">
        <f t="shared" si="29"/>
        <v/>
      </c>
    </row>
    <row r="317" spans="2:17">
      <c r="B317" s="65"/>
      <c r="C317" s="54"/>
      <c r="D317" s="261" t="str">
        <f t="shared" si="25"/>
        <v/>
      </c>
      <c r="E317" s="262" t="str">
        <f t="shared" si="30"/>
        <v/>
      </c>
      <c r="F317" s="125" t="str">
        <f>IF(G317="","",VLOOKUP(G317,プルダウン用リスト!$K$1:$M$16,2,FALSE))</f>
        <v/>
      </c>
      <c r="G317" s="67"/>
      <c r="H317" s="55"/>
      <c r="I317" s="67"/>
      <c r="J317" s="134"/>
      <c r="K317" s="68"/>
      <c r="L317" s="69"/>
      <c r="M317" s="69"/>
      <c r="N317" s="260" t="str">
        <f t="shared" si="26"/>
        <v/>
      </c>
      <c r="O317" s="256">
        <f t="shared" si="28"/>
        <v>0</v>
      </c>
      <c r="P317" s="257" t="str">
        <f t="shared" si="27"/>
        <v>×</v>
      </c>
      <c r="Q317" s="272" t="str">
        <f t="shared" si="29"/>
        <v/>
      </c>
    </row>
    <row r="318" spans="2:17">
      <c r="B318" s="65"/>
      <c r="C318" s="66"/>
      <c r="D318" s="261" t="str">
        <f t="shared" si="25"/>
        <v/>
      </c>
      <c r="E318" s="262" t="str">
        <f t="shared" si="30"/>
        <v/>
      </c>
      <c r="F318" s="125" t="str">
        <f>IF(G318="","",VLOOKUP(G318,プルダウン用リスト!$K$1:$M$16,2,FALSE))</f>
        <v/>
      </c>
      <c r="G318" s="67"/>
      <c r="H318" s="67"/>
      <c r="I318" s="67"/>
      <c r="J318" s="134"/>
      <c r="K318" s="68"/>
      <c r="L318" s="69"/>
      <c r="M318" s="69"/>
      <c r="N318" s="260" t="str">
        <f t="shared" si="26"/>
        <v/>
      </c>
      <c r="O318" s="256">
        <f t="shared" si="28"/>
        <v>0</v>
      </c>
      <c r="P318" s="257" t="str">
        <f t="shared" si="27"/>
        <v>×</v>
      </c>
      <c r="Q318" s="272" t="str">
        <f t="shared" si="29"/>
        <v/>
      </c>
    </row>
    <row r="319" spans="2:17">
      <c r="B319" s="65"/>
      <c r="C319" s="54"/>
      <c r="D319" s="261" t="str">
        <f t="shared" si="25"/>
        <v/>
      </c>
      <c r="E319" s="262" t="str">
        <f t="shared" si="30"/>
        <v/>
      </c>
      <c r="F319" s="125" t="str">
        <f>IF(G319="","",VLOOKUP(G319,プルダウン用リスト!$K$1:$M$16,2,FALSE))</f>
        <v/>
      </c>
      <c r="G319" s="67"/>
      <c r="H319" s="55"/>
      <c r="I319" s="67"/>
      <c r="J319" s="134"/>
      <c r="K319" s="68"/>
      <c r="L319" s="69"/>
      <c r="M319" s="69"/>
      <c r="N319" s="260" t="str">
        <f t="shared" si="26"/>
        <v/>
      </c>
      <c r="O319" s="256">
        <f t="shared" si="28"/>
        <v>0</v>
      </c>
      <c r="P319" s="257" t="str">
        <f t="shared" si="27"/>
        <v>×</v>
      </c>
      <c r="Q319" s="272" t="str">
        <f t="shared" si="29"/>
        <v/>
      </c>
    </row>
    <row r="320" spans="2:17">
      <c r="B320" s="65"/>
      <c r="C320" s="54"/>
      <c r="D320" s="261" t="str">
        <f t="shared" si="25"/>
        <v/>
      </c>
      <c r="E320" s="262" t="str">
        <f t="shared" si="30"/>
        <v/>
      </c>
      <c r="F320" s="125" t="str">
        <f>IF(G320="","",VLOOKUP(G320,プルダウン用リスト!$K$1:$M$16,2,FALSE))</f>
        <v/>
      </c>
      <c r="G320" s="67"/>
      <c r="H320" s="55"/>
      <c r="I320" s="67"/>
      <c r="J320" s="134"/>
      <c r="K320" s="68"/>
      <c r="L320" s="69"/>
      <c r="M320" s="69"/>
      <c r="N320" s="260" t="str">
        <f t="shared" si="26"/>
        <v/>
      </c>
      <c r="O320" s="256">
        <f t="shared" si="28"/>
        <v>0</v>
      </c>
      <c r="P320" s="257" t="str">
        <f t="shared" si="27"/>
        <v>×</v>
      </c>
      <c r="Q320" s="272" t="str">
        <f t="shared" si="29"/>
        <v/>
      </c>
    </row>
    <row r="321" spans="2:17">
      <c r="B321" s="65"/>
      <c r="C321" s="54"/>
      <c r="D321" s="261" t="str">
        <f t="shared" si="25"/>
        <v/>
      </c>
      <c r="E321" s="262" t="str">
        <f t="shared" si="30"/>
        <v/>
      </c>
      <c r="F321" s="125" t="str">
        <f>IF(G321="","",VLOOKUP(G321,プルダウン用リスト!$K$1:$M$16,2,FALSE))</f>
        <v/>
      </c>
      <c r="G321" s="67"/>
      <c r="H321" s="67"/>
      <c r="I321" s="67"/>
      <c r="J321" s="134"/>
      <c r="K321" s="68"/>
      <c r="L321" s="69"/>
      <c r="M321" s="69"/>
      <c r="N321" s="260" t="str">
        <f t="shared" si="26"/>
        <v/>
      </c>
      <c r="O321" s="256">
        <f t="shared" si="28"/>
        <v>0</v>
      </c>
      <c r="P321" s="257" t="str">
        <f t="shared" si="27"/>
        <v>×</v>
      </c>
      <c r="Q321" s="272" t="str">
        <f t="shared" si="29"/>
        <v/>
      </c>
    </row>
    <row r="322" spans="2:17">
      <c r="B322" s="65"/>
      <c r="C322" s="54"/>
      <c r="D322" s="261" t="str">
        <f t="shared" si="25"/>
        <v/>
      </c>
      <c r="E322" s="262" t="str">
        <f t="shared" si="30"/>
        <v/>
      </c>
      <c r="F322" s="125" t="str">
        <f>IF(G322="","",VLOOKUP(G322,プルダウン用リスト!$K$1:$M$16,2,FALSE))</f>
        <v/>
      </c>
      <c r="G322" s="67"/>
      <c r="H322" s="55"/>
      <c r="I322" s="67"/>
      <c r="J322" s="134"/>
      <c r="K322" s="68"/>
      <c r="L322" s="69"/>
      <c r="M322" s="69"/>
      <c r="N322" s="260" t="str">
        <f t="shared" si="26"/>
        <v/>
      </c>
      <c r="O322" s="256">
        <f t="shared" si="28"/>
        <v>0</v>
      </c>
      <c r="P322" s="257" t="str">
        <f t="shared" si="27"/>
        <v>×</v>
      </c>
      <c r="Q322" s="272" t="str">
        <f t="shared" si="29"/>
        <v/>
      </c>
    </row>
    <row r="323" spans="2:17">
      <c r="B323" s="65"/>
      <c r="C323" s="54"/>
      <c r="D323" s="261" t="str">
        <f t="shared" si="25"/>
        <v/>
      </c>
      <c r="E323" s="262" t="str">
        <f t="shared" si="30"/>
        <v/>
      </c>
      <c r="F323" s="125" t="str">
        <f>IF(G323="","",VLOOKUP(G323,プルダウン用リスト!$K$1:$M$16,2,FALSE))</f>
        <v/>
      </c>
      <c r="G323" s="67"/>
      <c r="H323" s="55"/>
      <c r="I323" s="67"/>
      <c r="J323" s="134"/>
      <c r="K323" s="68"/>
      <c r="L323" s="69"/>
      <c r="M323" s="69"/>
      <c r="N323" s="260" t="str">
        <f t="shared" si="26"/>
        <v/>
      </c>
      <c r="O323" s="256">
        <f t="shared" si="28"/>
        <v>0</v>
      </c>
      <c r="P323" s="257" t="str">
        <f t="shared" si="27"/>
        <v>×</v>
      </c>
      <c r="Q323" s="272" t="str">
        <f t="shared" si="29"/>
        <v/>
      </c>
    </row>
    <row r="324" spans="2:17">
      <c r="B324" s="65"/>
      <c r="C324" s="54"/>
      <c r="D324" s="261" t="str">
        <f t="shared" si="25"/>
        <v/>
      </c>
      <c r="E324" s="262" t="str">
        <f t="shared" si="30"/>
        <v/>
      </c>
      <c r="F324" s="125" t="str">
        <f>IF(G324="","",VLOOKUP(G324,プルダウン用リスト!$K$1:$M$16,2,FALSE))</f>
        <v/>
      </c>
      <c r="G324" s="67"/>
      <c r="H324" s="67"/>
      <c r="I324" s="67"/>
      <c r="J324" s="134"/>
      <c r="K324" s="68"/>
      <c r="L324" s="69"/>
      <c r="M324" s="69"/>
      <c r="N324" s="260" t="str">
        <f t="shared" si="26"/>
        <v/>
      </c>
      <c r="O324" s="256">
        <f t="shared" si="28"/>
        <v>0</v>
      </c>
      <c r="P324" s="257" t="str">
        <f t="shared" si="27"/>
        <v>×</v>
      </c>
      <c r="Q324" s="272" t="str">
        <f t="shared" si="29"/>
        <v/>
      </c>
    </row>
    <row r="325" spans="2:17">
      <c r="B325" s="65"/>
      <c r="C325" s="54"/>
      <c r="D325" s="261" t="str">
        <f t="shared" si="25"/>
        <v/>
      </c>
      <c r="E325" s="262" t="str">
        <f t="shared" si="30"/>
        <v/>
      </c>
      <c r="F325" s="125" t="str">
        <f>IF(G325="","",VLOOKUP(G325,プルダウン用リスト!$K$1:$M$16,2,FALSE))</f>
        <v/>
      </c>
      <c r="G325" s="67"/>
      <c r="H325" s="55"/>
      <c r="I325" s="67"/>
      <c r="J325" s="134"/>
      <c r="K325" s="68"/>
      <c r="L325" s="69"/>
      <c r="M325" s="69"/>
      <c r="N325" s="260" t="str">
        <f t="shared" si="26"/>
        <v/>
      </c>
      <c r="O325" s="256">
        <f t="shared" si="28"/>
        <v>0</v>
      </c>
      <c r="P325" s="257" t="str">
        <f t="shared" si="27"/>
        <v>×</v>
      </c>
      <c r="Q325" s="272" t="str">
        <f t="shared" si="29"/>
        <v/>
      </c>
    </row>
    <row r="326" spans="2:17">
      <c r="B326" s="65"/>
      <c r="C326" s="54"/>
      <c r="D326" s="261" t="str">
        <f t="shared" si="25"/>
        <v/>
      </c>
      <c r="E326" s="262" t="str">
        <f t="shared" si="30"/>
        <v/>
      </c>
      <c r="F326" s="125" t="str">
        <f>IF(G326="","",VLOOKUP(G326,プルダウン用リスト!$K$1:$M$16,2,FALSE))</f>
        <v/>
      </c>
      <c r="G326" s="67"/>
      <c r="H326" s="55"/>
      <c r="I326" s="67"/>
      <c r="J326" s="134"/>
      <c r="K326" s="68"/>
      <c r="L326" s="69"/>
      <c r="M326" s="69"/>
      <c r="N326" s="260" t="str">
        <f t="shared" si="26"/>
        <v/>
      </c>
      <c r="O326" s="256">
        <f t="shared" si="28"/>
        <v>0</v>
      </c>
      <c r="P326" s="257" t="str">
        <f t="shared" si="27"/>
        <v>×</v>
      </c>
      <c r="Q326" s="272" t="str">
        <f t="shared" si="29"/>
        <v/>
      </c>
    </row>
    <row r="327" spans="2:17">
      <c r="B327" s="65"/>
      <c r="C327" s="54"/>
      <c r="D327" s="261" t="str">
        <f t="shared" ref="D327:D390" si="31">IF(E327="","",IF(E327="謝金","01.",IF(E327="旅費","02.",IF(E327="その他","04.","03."))))</f>
        <v/>
      </c>
      <c r="E327" s="262" t="str">
        <f t="shared" si="30"/>
        <v/>
      </c>
      <c r="F327" s="125" t="str">
        <f>IF(G327="","",VLOOKUP(G327,プルダウン用リスト!$K$1:$M$16,2,FALSE))</f>
        <v/>
      </c>
      <c r="G327" s="67"/>
      <c r="H327" s="67"/>
      <c r="I327" s="67"/>
      <c r="J327" s="134"/>
      <c r="K327" s="68"/>
      <c r="L327" s="69"/>
      <c r="M327" s="69"/>
      <c r="N327" s="260" t="str">
        <f t="shared" ref="N327:N390" si="32">IF(G327="16.対象外経費",L327,IF(M327="","",L327-M327))</f>
        <v/>
      </c>
      <c r="O327" s="256">
        <f t="shared" si="28"/>
        <v>0</v>
      </c>
      <c r="P327" s="257" t="str">
        <f t="shared" ref="P327:P390" si="33">IF(G327="2.旅費","〇","×")</f>
        <v>×</v>
      </c>
      <c r="Q327" s="272" t="str">
        <f t="shared" si="29"/>
        <v/>
      </c>
    </row>
    <row r="328" spans="2:17">
      <c r="B328" s="65"/>
      <c r="C328" s="54"/>
      <c r="D328" s="261" t="str">
        <f t="shared" si="31"/>
        <v/>
      </c>
      <c r="E328" s="262" t="str">
        <f t="shared" si="30"/>
        <v/>
      </c>
      <c r="F328" s="125" t="str">
        <f>IF(G328="","",VLOOKUP(G328,プルダウン用リスト!$K$1:$M$16,2,FALSE))</f>
        <v/>
      </c>
      <c r="G328" s="67"/>
      <c r="H328" s="55"/>
      <c r="I328" s="67"/>
      <c r="J328" s="134"/>
      <c r="K328" s="68"/>
      <c r="L328" s="69"/>
      <c r="M328" s="69"/>
      <c r="N328" s="260" t="str">
        <f t="shared" si="32"/>
        <v/>
      </c>
      <c r="O328" s="256">
        <f t="shared" ref="O328:O391" si="34">IF(L328&gt;0,COUNTA(B328,C328,G328,H328,I328,K328,,L328,J328),0)</f>
        <v>0</v>
      </c>
      <c r="P328" s="257" t="str">
        <f t="shared" si="33"/>
        <v>×</v>
      </c>
      <c r="Q328" s="272" t="str">
        <f t="shared" ref="Q328:Q391" si="35">_xlfn.IFS(O328=0,"",AND(G328="16.対象外経費",O328=7),"OK",O328&lt;=7,"ピンク色のセルを全て入力してください",O328=9,"OK",P328="〇","旅行区間および宿泊地を入力してください",O328=8,"OK")</f>
        <v/>
      </c>
    </row>
    <row r="329" spans="2:17">
      <c r="B329" s="65"/>
      <c r="C329" s="54"/>
      <c r="D329" s="261" t="str">
        <f t="shared" si="31"/>
        <v/>
      </c>
      <c r="E329" s="262" t="str">
        <f t="shared" si="30"/>
        <v/>
      </c>
      <c r="F329" s="125" t="str">
        <f>IF(G329="","",VLOOKUP(G329,プルダウン用リスト!$K$1:$M$16,2,FALSE))</f>
        <v/>
      </c>
      <c r="G329" s="67"/>
      <c r="H329" s="55"/>
      <c r="I329" s="67"/>
      <c r="J329" s="134"/>
      <c r="K329" s="68"/>
      <c r="L329" s="69"/>
      <c r="M329" s="69"/>
      <c r="N329" s="260" t="str">
        <f t="shared" si="32"/>
        <v/>
      </c>
      <c r="O329" s="256">
        <f t="shared" si="34"/>
        <v>0</v>
      </c>
      <c r="P329" s="257" t="str">
        <f t="shared" si="33"/>
        <v>×</v>
      </c>
      <c r="Q329" s="272" t="str">
        <f t="shared" si="35"/>
        <v/>
      </c>
    </row>
    <row r="330" spans="2:17">
      <c r="B330" s="65"/>
      <c r="C330" s="66"/>
      <c r="D330" s="261" t="str">
        <f t="shared" si="31"/>
        <v/>
      </c>
      <c r="E330" s="262" t="str">
        <f t="shared" si="30"/>
        <v/>
      </c>
      <c r="F330" s="125" t="str">
        <f>IF(G330="","",VLOOKUP(G330,プルダウン用リスト!$K$1:$M$16,2,FALSE))</f>
        <v/>
      </c>
      <c r="G330" s="67"/>
      <c r="H330" s="67"/>
      <c r="I330" s="67"/>
      <c r="J330" s="134"/>
      <c r="K330" s="68"/>
      <c r="L330" s="69"/>
      <c r="M330" s="69"/>
      <c r="N330" s="260" t="str">
        <f t="shared" si="32"/>
        <v/>
      </c>
      <c r="O330" s="256">
        <f t="shared" si="34"/>
        <v>0</v>
      </c>
      <c r="P330" s="257" t="str">
        <f t="shared" si="33"/>
        <v>×</v>
      </c>
      <c r="Q330" s="272" t="str">
        <f t="shared" si="35"/>
        <v/>
      </c>
    </row>
    <row r="331" spans="2:17">
      <c r="B331" s="65"/>
      <c r="C331" s="54"/>
      <c r="D331" s="261" t="str">
        <f t="shared" si="31"/>
        <v/>
      </c>
      <c r="E331" s="262" t="str">
        <f t="shared" si="30"/>
        <v/>
      </c>
      <c r="F331" s="125" t="str">
        <f>IF(G331="","",VLOOKUP(G331,プルダウン用リスト!$K$1:$M$16,2,FALSE))</f>
        <v/>
      </c>
      <c r="G331" s="67"/>
      <c r="H331" s="55"/>
      <c r="I331" s="67"/>
      <c r="J331" s="134"/>
      <c r="K331" s="68"/>
      <c r="L331" s="69"/>
      <c r="M331" s="69"/>
      <c r="N331" s="260" t="str">
        <f t="shared" si="32"/>
        <v/>
      </c>
      <c r="O331" s="256">
        <f t="shared" si="34"/>
        <v>0</v>
      </c>
      <c r="P331" s="257" t="str">
        <f t="shared" si="33"/>
        <v>×</v>
      </c>
      <c r="Q331" s="272" t="str">
        <f t="shared" si="35"/>
        <v/>
      </c>
    </row>
    <row r="332" spans="2:17">
      <c r="B332" s="65"/>
      <c r="C332" s="54"/>
      <c r="D332" s="261" t="str">
        <f t="shared" si="31"/>
        <v/>
      </c>
      <c r="E332" s="262" t="str">
        <f t="shared" si="30"/>
        <v/>
      </c>
      <c r="F332" s="125" t="str">
        <f>IF(G332="","",VLOOKUP(G332,プルダウン用リスト!$K$1:$M$16,2,FALSE))</f>
        <v/>
      </c>
      <c r="G332" s="67"/>
      <c r="H332" s="55"/>
      <c r="I332" s="67"/>
      <c r="J332" s="134"/>
      <c r="K332" s="68"/>
      <c r="L332" s="69"/>
      <c r="M332" s="69"/>
      <c r="N332" s="260" t="str">
        <f t="shared" si="32"/>
        <v/>
      </c>
      <c r="O332" s="256">
        <f t="shared" si="34"/>
        <v>0</v>
      </c>
      <c r="P332" s="257" t="str">
        <f t="shared" si="33"/>
        <v>×</v>
      </c>
      <c r="Q332" s="272" t="str">
        <f t="shared" si="35"/>
        <v/>
      </c>
    </row>
    <row r="333" spans="2:17">
      <c r="B333" s="65"/>
      <c r="C333" s="54"/>
      <c r="D333" s="261" t="str">
        <f t="shared" si="31"/>
        <v/>
      </c>
      <c r="E333" s="262" t="str">
        <f t="shared" si="30"/>
        <v/>
      </c>
      <c r="F333" s="125" t="str">
        <f>IF(G333="","",VLOOKUP(G333,プルダウン用リスト!$K$1:$M$16,2,FALSE))</f>
        <v/>
      </c>
      <c r="G333" s="67"/>
      <c r="H333" s="67"/>
      <c r="I333" s="67"/>
      <c r="J333" s="134"/>
      <c r="K333" s="68"/>
      <c r="L333" s="69"/>
      <c r="M333" s="69"/>
      <c r="N333" s="260" t="str">
        <f t="shared" si="32"/>
        <v/>
      </c>
      <c r="O333" s="256">
        <f t="shared" si="34"/>
        <v>0</v>
      </c>
      <c r="P333" s="257" t="str">
        <f t="shared" si="33"/>
        <v>×</v>
      </c>
      <c r="Q333" s="272" t="str">
        <f t="shared" si="35"/>
        <v/>
      </c>
    </row>
    <row r="334" spans="2:17">
      <c r="B334" s="65"/>
      <c r="C334" s="54"/>
      <c r="D334" s="261" t="str">
        <f t="shared" si="31"/>
        <v/>
      </c>
      <c r="E334" s="262" t="str">
        <f t="shared" si="30"/>
        <v/>
      </c>
      <c r="F334" s="125" t="str">
        <f>IF(G334="","",VLOOKUP(G334,プルダウン用リスト!$K$1:$M$16,2,FALSE))</f>
        <v/>
      </c>
      <c r="G334" s="67"/>
      <c r="H334" s="55"/>
      <c r="I334" s="67"/>
      <c r="J334" s="134"/>
      <c r="K334" s="68"/>
      <c r="L334" s="69"/>
      <c r="M334" s="69"/>
      <c r="N334" s="260" t="str">
        <f t="shared" si="32"/>
        <v/>
      </c>
      <c r="O334" s="256">
        <f t="shared" si="34"/>
        <v>0</v>
      </c>
      <c r="P334" s="257" t="str">
        <f t="shared" si="33"/>
        <v>×</v>
      </c>
      <c r="Q334" s="272" t="str">
        <f t="shared" si="35"/>
        <v/>
      </c>
    </row>
    <row r="335" spans="2:17">
      <c r="B335" s="65"/>
      <c r="C335" s="54"/>
      <c r="D335" s="261" t="str">
        <f t="shared" si="31"/>
        <v/>
      </c>
      <c r="E335" s="262" t="str">
        <f t="shared" si="30"/>
        <v/>
      </c>
      <c r="F335" s="125" t="str">
        <f>IF(G335="","",VLOOKUP(G335,プルダウン用リスト!$K$1:$M$16,2,FALSE))</f>
        <v/>
      </c>
      <c r="G335" s="67"/>
      <c r="H335" s="55"/>
      <c r="I335" s="67"/>
      <c r="J335" s="134"/>
      <c r="K335" s="68"/>
      <c r="L335" s="69"/>
      <c r="M335" s="69"/>
      <c r="N335" s="260" t="str">
        <f t="shared" si="32"/>
        <v/>
      </c>
      <c r="O335" s="256">
        <f t="shared" si="34"/>
        <v>0</v>
      </c>
      <c r="P335" s="257" t="str">
        <f t="shared" si="33"/>
        <v>×</v>
      </c>
      <c r="Q335" s="272" t="str">
        <f t="shared" si="35"/>
        <v/>
      </c>
    </row>
    <row r="336" spans="2:17">
      <c r="B336" s="65"/>
      <c r="C336" s="54"/>
      <c r="D336" s="261" t="str">
        <f t="shared" si="31"/>
        <v/>
      </c>
      <c r="E336" s="262" t="str">
        <f t="shared" si="30"/>
        <v/>
      </c>
      <c r="F336" s="125" t="str">
        <f>IF(G336="","",VLOOKUP(G336,プルダウン用リスト!$K$1:$M$16,2,FALSE))</f>
        <v/>
      </c>
      <c r="G336" s="67"/>
      <c r="H336" s="67"/>
      <c r="I336" s="67"/>
      <c r="J336" s="134"/>
      <c r="K336" s="68"/>
      <c r="L336" s="69"/>
      <c r="M336" s="69"/>
      <c r="N336" s="260" t="str">
        <f t="shared" si="32"/>
        <v/>
      </c>
      <c r="O336" s="256">
        <f t="shared" si="34"/>
        <v>0</v>
      </c>
      <c r="P336" s="257" t="str">
        <f t="shared" si="33"/>
        <v>×</v>
      </c>
      <c r="Q336" s="272" t="str">
        <f t="shared" si="35"/>
        <v/>
      </c>
    </row>
    <row r="337" spans="2:17">
      <c r="B337" s="65"/>
      <c r="C337" s="54"/>
      <c r="D337" s="261" t="str">
        <f t="shared" si="31"/>
        <v/>
      </c>
      <c r="E337" s="262" t="str">
        <f t="shared" si="30"/>
        <v/>
      </c>
      <c r="F337" s="125" t="str">
        <f>IF(G337="","",VLOOKUP(G337,プルダウン用リスト!$K$1:$M$16,2,FALSE))</f>
        <v/>
      </c>
      <c r="G337" s="67"/>
      <c r="H337" s="55"/>
      <c r="I337" s="67"/>
      <c r="J337" s="134"/>
      <c r="K337" s="68"/>
      <c r="L337" s="69"/>
      <c r="M337" s="69"/>
      <c r="N337" s="260" t="str">
        <f t="shared" si="32"/>
        <v/>
      </c>
      <c r="O337" s="256">
        <f t="shared" si="34"/>
        <v>0</v>
      </c>
      <c r="P337" s="257" t="str">
        <f t="shared" si="33"/>
        <v>×</v>
      </c>
      <c r="Q337" s="272" t="str">
        <f t="shared" si="35"/>
        <v/>
      </c>
    </row>
    <row r="338" spans="2:17">
      <c r="B338" s="65"/>
      <c r="C338" s="54"/>
      <c r="D338" s="261" t="str">
        <f t="shared" si="31"/>
        <v/>
      </c>
      <c r="E338" s="262" t="str">
        <f t="shared" si="30"/>
        <v/>
      </c>
      <c r="F338" s="125" t="str">
        <f>IF(G338="","",VLOOKUP(G338,プルダウン用リスト!$K$1:$M$16,2,FALSE))</f>
        <v/>
      </c>
      <c r="G338" s="67"/>
      <c r="H338" s="55"/>
      <c r="I338" s="67"/>
      <c r="J338" s="134"/>
      <c r="K338" s="68"/>
      <c r="L338" s="69"/>
      <c r="M338" s="69"/>
      <c r="N338" s="260" t="str">
        <f t="shared" si="32"/>
        <v/>
      </c>
      <c r="O338" s="256">
        <f t="shared" si="34"/>
        <v>0</v>
      </c>
      <c r="P338" s="257" t="str">
        <f t="shared" si="33"/>
        <v>×</v>
      </c>
      <c r="Q338" s="272" t="str">
        <f t="shared" si="35"/>
        <v/>
      </c>
    </row>
    <row r="339" spans="2:17">
      <c r="B339" s="65"/>
      <c r="C339" s="54"/>
      <c r="D339" s="261" t="str">
        <f t="shared" si="31"/>
        <v/>
      </c>
      <c r="E339" s="262" t="str">
        <f t="shared" si="30"/>
        <v/>
      </c>
      <c r="F339" s="125" t="str">
        <f>IF(G339="","",VLOOKUP(G339,プルダウン用リスト!$K$1:$M$16,2,FALSE))</f>
        <v/>
      </c>
      <c r="G339" s="67"/>
      <c r="H339" s="67"/>
      <c r="I339" s="67"/>
      <c r="J339" s="134"/>
      <c r="K339" s="68"/>
      <c r="L339" s="69"/>
      <c r="M339" s="69"/>
      <c r="N339" s="260" t="str">
        <f t="shared" si="32"/>
        <v/>
      </c>
      <c r="O339" s="256">
        <f t="shared" si="34"/>
        <v>0</v>
      </c>
      <c r="P339" s="257" t="str">
        <f t="shared" si="33"/>
        <v>×</v>
      </c>
      <c r="Q339" s="272" t="str">
        <f t="shared" si="35"/>
        <v/>
      </c>
    </row>
    <row r="340" spans="2:17">
      <c r="B340" s="65"/>
      <c r="C340" s="54"/>
      <c r="D340" s="261" t="str">
        <f t="shared" si="31"/>
        <v/>
      </c>
      <c r="E340" s="262" t="str">
        <f t="shared" si="30"/>
        <v/>
      </c>
      <c r="F340" s="125" t="str">
        <f>IF(G340="","",VLOOKUP(G340,プルダウン用リスト!$K$1:$M$16,2,FALSE))</f>
        <v/>
      </c>
      <c r="G340" s="67"/>
      <c r="H340" s="55"/>
      <c r="I340" s="67"/>
      <c r="J340" s="134"/>
      <c r="K340" s="68"/>
      <c r="L340" s="69"/>
      <c r="M340" s="69"/>
      <c r="N340" s="260" t="str">
        <f t="shared" si="32"/>
        <v/>
      </c>
      <c r="O340" s="256">
        <f t="shared" si="34"/>
        <v>0</v>
      </c>
      <c r="P340" s="257" t="str">
        <f t="shared" si="33"/>
        <v>×</v>
      </c>
      <c r="Q340" s="272" t="str">
        <f t="shared" si="35"/>
        <v/>
      </c>
    </row>
    <row r="341" spans="2:17">
      <c r="B341" s="65"/>
      <c r="C341" s="54"/>
      <c r="D341" s="261" t="str">
        <f t="shared" si="31"/>
        <v/>
      </c>
      <c r="E341" s="262" t="str">
        <f t="shared" si="30"/>
        <v/>
      </c>
      <c r="F341" s="125" t="str">
        <f>IF(G341="","",VLOOKUP(G341,プルダウン用リスト!$K$1:$M$16,2,FALSE))</f>
        <v/>
      </c>
      <c r="G341" s="67"/>
      <c r="H341" s="55"/>
      <c r="I341" s="67"/>
      <c r="J341" s="134"/>
      <c r="K341" s="68"/>
      <c r="L341" s="69"/>
      <c r="M341" s="69"/>
      <c r="N341" s="260" t="str">
        <f t="shared" si="32"/>
        <v/>
      </c>
      <c r="O341" s="256">
        <f t="shared" si="34"/>
        <v>0</v>
      </c>
      <c r="P341" s="257" t="str">
        <f t="shared" si="33"/>
        <v>×</v>
      </c>
      <c r="Q341" s="272" t="str">
        <f t="shared" si="35"/>
        <v/>
      </c>
    </row>
    <row r="342" spans="2:17">
      <c r="B342" s="65"/>
      <c r="C342" s="66"/>
      <c r="D342" s="261" t="str">
        <f t="shared" si="31"/>
        <v/>
      </c>
      <c r="E342" s="262" t="str">
        <f t="shared" si="30"/>
        <v/>
      </c>
      <c r="F342" s="125" t="str">
        <f>IF(G342="","",VLOOKUP(G342,プルダウン用リスト!$K$1:$M$16,2,FALSE))</f>
        <v/>
      </c>
      <c r="G342" s="67"/>
      <c r="H342" s="67"/>
      <c r="I342" s="67"/>
      <c r="J342" s="134"/>
      <c r="K342" s="68"/>
      <c r="L342" s="69"/>
      <c r="M342" s="69"/>
      <c r="N342" s="260" t="str">
        <f t="shared" si="32"/>
        <v/>
      </c>
      <c r="O342" s="256">
        <f t="shared" si="34"/>
        <v>0</v>
      </c>
      <c r="P342" s="257" t="str">
        <f t="shared" si="33"/>
        <v>×</v>
      </c>
      <c r="Q342" s="272" t="str">
        <f t="shared" si="35"/>
        <v/>
      </c>
    </row>
    <row r="343" spans="2:17">
      <c r="B343" s="65"/>
      <c r="C343" s="54"/>
      <c r="D343" s="261" t="str">
        <f t="shared" si="31"/>
        <v/>
      </c>
      <c r="E343" s="262" t="str">
        <f t="shared" ref="E343:E406" si="36">IF(G343="","",IF(OR(G343="1.謝金（内部）",G343="1.謝金（外部）"),"謝金",IF(G343="2.旅費","旅費",IF(G343="16.対象外経費","その他","所費"))))</f>
        <v/>
      </c>
      <c r="F343" s="125" t="str">
        <f>IF(G343="","",VLOOKUP(G343,プルダウン用リスト!$K$1:$M$16,2,FALSE))</f>
        <v/>
      </c>
      <c r="G343" s="67"/>
      <c r="H343" s="55"/>
      <c r="I343" s="67"/>
      <c r="J343" s="134"/>
      <c r="K343" s="68"/>
      <c r="L343" s="69"/>
      <c r="M343" s="69"/>
      <c r="N343" s="260" t="str">
        <f t="shared" si="32"/>
        <v/>
      </c>
      <c r="O343" s="256">
        <f t="shared" si="34"/>
        <v>0</v>
      </c>
      <c r="P343" s="257" t="str">
        <f t="shared" si="33"/>
        <v>×</v>
      </c>
      <c r="Q343" s="272" t="str">
        <f t="shared" si="35"/>
        <v/>
      </c>
    </row>
    <row r="344" spans="2:17">
      <c r="B344" s="65"/>
      <c r="C344" s="54"/>
      <c r="D344" s="261" t="str">
        <f t="shared" si="31"/>
        <v/>
      </c>
      <c r="E344" s="262" t="str">
        <f t="shared" si="36"/>
        <v/>
      </c>
      <c r="F344" s="125" t="str">
        <f>IF(G344="","",VLOOKUP(G344,プルダウン用リスト!$K$1:$M$16,2,FALSE))</f>
        <v/>
      </c>
      <c r="G344" s="67"/>
      <c r="H344" s="55"/>
      <c r="I344" s="67"/>
      <c r="J344" s="134"/>
      <c r="K344" s="68"/>
      <c r="L344" s="69"/>
      <c r="M344" s="69"/>
      <c r="N344" s="260" t="str">
        <f t="shared" si="32"/>
        <v/>
      </c>
      <c r="O344" s="256">
        <f t="shared" si="34"/>
        <v>0</v>
      </c>
      <c r="P344" s="257" t="str">
        <f t="shared" si="33"/>
        <v>×</v>
      </c>
      <c r="Q344" s="272" t="str">
        <f t="shared" si="35"/>
        <v/>
      </c>
    </row>
    <row r="345" spans="2:17">
      <c r="B345" s="65"/>
      <c r="C345" s="54"/>
      <c r="D345" s="261" t="str">
        <f t="shared" si="31"/>
        <v/>
      </c>
      <c r="E345" s="262" t="str">
        <f t="shared" si="36"/>
        <v/>
      </c>
      <c r="F345" s="125" t="str">
        <f>IF(G345="","",VLOOKUP(G345,プルダウン用リスト!$K$1:$M$16,2,FALSE))</f>
        <v/>
      </c>
      <c r="G345" s="67"/>
      <c r="H345" s="67"/>
      <c r="I345" s="67"/>
      <c r="J345" s="134"/>
      <c r="K345" s="68"/>
      <c r="L345" s="69"/>
      <c r="M345" s="69"/>
      <c r="N345" s="260" t="str">
        <f t="shared" si="32"/>
        <v/>
      </c>
      <c r="O345" s="256">
        <f t="shared" si="34"/>
        <v>0</v>
      </c>
      <c r="P345" s="257" t="str">
        <f t="shared" si="33"/>
        <v>×</v>
      </c>
      <c r="Q345" s="272" t="str">
        <f t="shared" si="35"/>
        <v/>
      </c>
    </row>
    <row r="346" spans="2:17">
      <c r="B346" s="65"/>
      <c r="C346" s="54"/>
      <c r="D346" s="261" t="str">
        <f t="shared" si="31"/>
        <v/>
      </c>
      <c r="E346" s="262" t="str">
        <f t="shared" si="36"/>
        <v/>
      </c>
      <c r="F346" s="125" t="str">
        <f>IF(G346="","",VLOOKUP(G346,プルダウン用リスト!$K$1:$M$16,2,FALSE))</f>
        <v/>
      </c>
      <c r="G346" s="67"/>
      <c r="H346" s="55"/>
      <c r="I346" s="67"/>
      <c r="J346" s="134"/>
      <c r="K346" s="68"/>
      <c r="L346" s="69"/>
      <c r="M346" s="69"/>
      <c r="N346" s="260" t="str">
        <f t="shared" si="32"/>
        <v/>
      </c>
      <c r="O346" s="256">
        <f t="shared" si="34"/>
        <v>0</v>
      </c>
      <c r="P346" s="257" t="str">
        <f t="shared" si="33"/>
        <v>×</v>
      </c>
      <c r="Q346" s="272" t="str">
        <f t="shared" si="35"/>
        <v/>
      </c>
    </row>
    <row r="347" spans="2:17">
      <c r="B347" s="65"/>
      <c r="C347" s="54"/>
      <c r="D347" s="261" t="str">
        <f t="shared" si="31"/>
        <v/>
      </c>
      <c r="E347" s="262" t="str">
        <f t="shared" si="36"/>
        <v/>
      </c>
      <c r="F347" s="125" t="str">
        <f>IF(G347="","",VLOOKUP(G347,プルダウン用リスト!$K$1:$M$16,2,FALSE))</f>
        <v/>
      </c>
      <c r="G347" s="67"/>
      <c r="H347" s="55"/>
      <c r="I347" s="67"/>
      <c r="J347" s="134"/>
      <c r="K347" s="68"/>
      <c r="L347" s="69"/>
      <c r="M347" s="69"/>
      <c r="N347" s="260" t="str">
        <f t="shared" si="32"/>
        <v/>
      </c>
      <c r="O347" s="256">
        <f t="shared" si="34"/>
        <v>0</v>
      </c>
      <c r="P347" s="257" t="str">
        <f t="shared" si="33"/>
        <v>×</v>
      </c>
      <c r="Q347" s="272" t="str">
        <f t="shared" si="35"/>
        <v/>
      </c>
    </row>
    <row r="348" spans="2:17">
      <c r="B348" s="65"/>
      <c r="C348" s="54"/>
      <c r="D348" s="261" t="str">
        <f t="shared" si="31"/>
        <v/>
      </c>
      <c r="E348" s="262" t="str">
        <f t="shared" si="36"/>
        <v/>
      </c>
      <c r="F348" s="125" t="str">
        <f>IF(G348="","",VLOOKUP(G348,プルダウン用リスト!$K$1:$M$16,2,FALSE))</f>
        <v/>
      </c>
      <c r="G348" s="67"/>
      <c r="H348" s="67"/>
      <c r="I348" s="67"/>
      <c r="J348" s="134"/>
      <c r="K348" s="68"/>
      <c r="L348" s="69"/>
      <c r="M348" s="69"/>
      <c r="N348" s="260" t="str">
        <f t="shared" si="32"/>
        <v/>
      </c>
      <c r="O348" s="256">
        <f t="shared" si="34"/>
        <v>0</v>
      </c>
      <c r="P348" s="257" t="str">
        <f t="shared" si="33"/>
        <v>×</v>
      </c>
      <c r="Q348" s="272" t="str">
        <f t="shared" si="35"/>
        <v/>
      </c>
    </row>
    <row r="349" spans="2:17">
      <c r="B349" s="65"/>
      <c r="C349" s="54"/>
      <c r="D349" s="261" t="str">
        <f t="shared" si="31"/>
        <v/>
      </c>
      <c r="E349" s="262" t="str">
        <f t="shared" si="36"/>
        <v/>
      </c>
      <c r="F349" s="125" t="str">
        <f>IF(G349="","",VLOOKUP(G349,プルダウン用リスト!$K$1:$M$16,2,FALSE))</f>
        <v/>
      </c>
      <c r="G349" s="67"/>
      <c r="H349" s="55"/>
      <c r="I349" s="67"/>
      <c r="J349" s="134"/>
      <c r="K349" s="68"/>
      <c r="L349" s="69"/>
      <c r="M349" s="69"/>
      <c r="N349" s="260" t="str">
        <f t="shared" si="32"/>
        <v/>
      </c>
      <c r="O349" s="256">
        <f t="shared" si="34"/>
        <v>0</v>
      </c>
      <c r="P349" s="257" t="str">
        <f t="shared" si="33"/>
        <v>×</v>
      </c>
      <c r="Q349" s="272" t="str">
        <f t="shared" si="35"/>
        <v/>
      </c>
    </row>
    <row r="350" spans="2:17">
      <c r="B350" s="65"/>
      <c r="C350" s="54"/>
      <c r="D350" s="261" t="str">
        <f t="shared" si="31"/>
        <v/>
      </c>
      <c r="E350" s="262" t="str">
        <f t="shared" si="36"/>
        <v/>
      </c>
      <c r="F350" s="125" t="str">
        <f>IF(G350="","",VLOOKUP(G350,プルダウン用リスト!$K$1:$M$16,2,FALSE))</f>
        <v/>
      </c>
      <c r="G350" s="67"/>
      <c r="H350" s="55"/>
      <c r="I350" s="67"/>
      <c r="J350" s="134"/>
      <c r="K350" s="68"/>
      <c r="L350" s="69"/>
      <c r="M350" s="69"/>
      <c r="N350" s="260" t="str">
        <f t="shared" si="32"/>
        <v/>
      </c>
      <c r="O350" s="256">
        <f t="shared" si="34"/>
        <v>0</v>
      </c>
      <c r="P350" s="257" t="str">
        <f t="shared" si="33"/>
        <v>×</v>
      </c>
      <c r="Q350" s="272" t="str">
        <f t="shared" si="35"/>
        <v/>
      </c>
    </row>
    <row r="351" spans="2:17">
      <c r="B351" s="65"/>
      <c r="C351" s="54"/>
      <c r="D351" s="261" t="str">
        <f t="shared" si="31"/>
        <v/>
      </c>
      <c r="E351" s="262" t="str">
        <f t="shared" si="36"/>
        <v/>
      </c>
      <c r="F351" s="125" t="str">
        <f>IF(G351="","",VLOOKUP(G351,プルダウン用リスト!$K$1:$M$16,2,FALSE))</f>
        <v/>
      </c>
      <c r="G351" s="67"/>
      <c r="H351" s="67"/>
      <c r="I351" s="67"/>
      <c r="J351" s="134"/>
      <c r="K351" s="68"/>
      <c r="L351" s="69"/>
      <c r="M351" s="69"/>
      <c r="N351" s="260" t="str">
        <f t="shared" si="32"/>
        <v/>
      </c>
      <c r="O351" s="256">
        <f t="shared" si="34"/>
        <v>0</v>
      </c>
      <c r="P351" s="257" t="str">
        <f t="shared" si="33"/>
        <v>×</v>
      </c>
      <c r="Q351" s="272" t="str">
        <f t="shared" si="35"/>
        <v/>
      </c>
    </row>
    <row r="352" spans="2:17">
      <c r="B352" s="65"/>
      <c r="C352" s="54"/>
      <c r="D352" s="261" t="str">
        <f t="shared" si="31"/>
        <v/>
      </c>
      <c r="E352" s="262" t="str">
        <f t="shared" si="36"/>
        <v/>
      </c>
      <c r="F352" s="125" t="str">
        <f>IF(G352="","",VLOOKUP(G352,プルダウン用リスト!$K$1:$M$16,2,FALSE))</f>
        <v/>
      </c>
      <c r="G352" s="67"/>
      <c r="H352" s="55"/>
      <c r="I352" s="67"/>
      <c r="J352" s="134"/>
      <c r="K352" s="68"/>
      <c r="L352" s="69"/>
      <c r="M352" s="69"/>
      <c r="N352" s="260" t="str">
        <f t="shared" si="32"/>
        <v/>
      </c>
      <c r="O352" s="256">
        <f t="shared" si="34"/>
        <v>0</v>
      </c>
      <c r="P352" s="257" t="str">
        <f t="shared" si="33"/>
        <v>×</v>
      </c>
      <c r="Q352" s="272" t="str">
        <f t="shared" si="35"/>
        <v/>
      </c>
    </row>
    <row r="353" spans="2:17">
      <c r="B353" s="65"/>
      <c r="C353" s="54"/>
      <c r="D353" s="261" t="str">
        <f t="shared" si="31"/>
        <v/>
      </c>
      <c r="E353" s="262" t="str">
        <f t="shared" si="36"/>
        <v/>
      </c>
      <c r="F353" s="125" t="str">
        <f>IF(G353="","",VLOOKUP(G353,プルダウン用リスト!$K$1:$M$16,2,FALSE))</f>
        <v/>
      </c>
      <c r="G353" s="67"/>
      <c r="H353" s="55"/>
      <c r="I353" s="67"/>
      <c r="J353" s="134"/>
      <c r="K353" s="68"/>
      <c r="L353" s="69"/>
      <c r="M353" s="69"/>
      <c r="N353" s="260" t="str">
        <f t="shared" si="32"/>
        <v/>
      </c>
      <c r="O353" s="256">
        <f t="shared" si="34"/>
        <v>0</v>
      </c>
      <c r="P353" s="257" t="str">
        <f t="shared" si="33"/>
        <v>×</v>
      </c>
      <c r="Q353" s="272" t="str">
        <f t="shared" si="35"/>
        <v/>
      </c>
    </row>
    <row r="354" spans="2:17">
      <c r="B354" s="65"/>
      <c r="C354" s="66"/>
      <c r="D354" s="261" t="str">
        <f t="shared" si="31"/>
        <v/>
      </c>
      <c r="E354" s="262" t="str">
        <f t="shared" si="36"/>
        <v/>
      </c>
      <c r="F354" s="125" t="str">
        <f>IF(G354="","",VLOOKUP(G354,プルダウン用リスト!$K$1:$M$16,2,FALSE))</f>
        <v/>
      </c>
      <c r="G354" s="67"/>
      <c r="H354" s="67"/>
      <c r="I354" s="67"/>
      <c r="J354" s="134"/>
      <c r="K354" s="68"/>
      <c r="L354" s="69"/>
      <c r="M354" s="69"/>
      <c r="N354" s="260" t="str">
        <f t="shared" si="32"/>
        <v/>
      </c>
      <c r="O354" s="256">
        <f t="shared" si="34"/>
        <v>0</v>
      </c>
      <c r="P354" s="257" t="str">
        <f t="shared" si="33"/>
        <v>×</v>
      </c>
      <c r="Q354" s="272" t="str">
        <f t="shared" si="35"/>
        <v/>
      </c>
    </row>
    <row r="355" spans="2:17">
      <c r="B355" s="65"/>
      <c r="C355" s="54"/>
      <c r="D355" s="261" t="str">
        <f t="shared" si="31"/>
        <v/>
      </c>
      <c r="E355" s="262" t="str">
        <f t="shared" si="36"/>
        <v/>
      </c>
      <c r="F355" s="125" t="str">
        <f>IF(G355="","",VLOOKUP(G355,プルダウン用リスト!$K$1:$M$16,2,FALSE))</f>
        <v/>
      </c>
      <c r="G355" s="67"/>
      <c r="H355" s="55"/>
      <c r="I355" s="67"/>
      <c r="J355" s="134"/>
      <c r="K355" s="68"/>
      <c r="L355" s="69"/>
      <c r="M355" s="69"/>
      <c r="N355" s="260" t="str">
        <f t="shared" si="32"/>
        <v/>
      </c>
      <c r="O355" s="256">
        <f t="shared" si="34"/>
        <v>0</v>
      </c>
      <c r="P355" s="257" t="str">
        <f t="shared" si="33"/>
        <v>×</v>
      </c>
      <c r="Q355" s="272" t="str">
        <f t="shared" si="35"/>
        <v/>
      </c>
    </row>
    <row r="356" spans="2:17">
      <c r="B356" s="65"/>
      <c r="C356" s="54"/>
      <c r="D356" s="261" t="str">
        <f t="shared" si="31"/>
        <v/>
      </c>
      <c r="E356" s="262" t="str">
        <f t="shared" si="36"/>
        <v/>
      </c>
      <c r="F356" s="125" t="str">
        <f>IF(G356="","",VLOOKUP(G356,プルダウン用リスト!$K$1:$M$16,2,FALSE))</f>
        <v/>
      </c>
      <c r="G356" s="67"/>
      <c r="H356" s="55"/>
      <c r="I356" s="67"/>
      <c r="J356" s="134"/>
      <c r="K356" s="68"/>
      <c r="L356" s="69"/>
      <c r="M356" s="69"/>
      <c r="N356" s="260" t="str">
        <f t="shared" si="32"/>
        <v/>
      </c>
      <c r="O356" s="256">
        <f t="shared" si="34"/>
        <v>0</v>
      </c>
      <c r="P356" s="257" t="str">
        <f t="shared" si="33"/>
        <v>×</v>
      </c>
      <c r="Q356" s="272" t="str">
        <f t="shared" si="35"/>
        <v/>
      </c>
    </row>
    <row r="357" spans="2:17">
      <c r="B357" s="65"/>
      <c r="C357" s="54"/>
      <c r="D357" s="261" t="str">
        <f t="shared" si="31"/>
        <v/>
      </c>
      <c r="E357" s="262" t="str">
        <f t="shared" si="36"/>
        <v/>
      </c>
      <c r="F357" s="125" t="str">
        <f>IF(G357="","",VLOOKUP(G357,プルダウン用リスト!$K$1:$M$16,2,FALSE))</f>
        <v/>
      </c>
      <c r="G357" s="67"/>
      <c r="H357" s="67"/>
      <c r="I357" s="67"/>
      <c r="J357" s="134"/>
      <c r="K357" s="68"/>
      <c r="L357" s="69"/>
      <c r="M357" s="69"/>
      <c r="N357" s="260" t="str">
        <f t="shared" si="32"/>
        <v/>
      </c>
      <c r="O357" s="256">
        <f t="shared" si="34"/>
        <v>0</v>
      </c>
      <c r="P357" s="257" t="str">
        <f t="shared" si="33"/>
        <v>×</v>
      </c>
      <c r="Q357" s="272" t="str">
        <f t="shared" si="35"/>
        <v/>
      </c>
    </row>
    <row r="358" spans="2:17">
      <c r="B358" s="65"/>
      <c r="C358" s="54"/>
      <c r="D358" s="261" t="str">
        <f t="shared" si="31"/>
        <v/>
      </c>
      <c r="E358" s="262" t="str">
        <f t="shared" si="36"/>
        <v/>
      </c>
      <c r="F358" s="125" t="str">
        <f>IF(G358="","",VLOOKUP(G358,プルダウン用リスト!$K$1:$M$16,2,FALSE))</f>
        <v/>
      </c>
      <c r="G358" s="67"/>
      <c r="H358" s="55"/>
      <c r="I358" s="67"/>
      <c r="J358" s="134"/>
      <c r="K358" s="68"/>
      <c r="L358" s="69"/>
      <c r="M358" s="69"/>
      <c r="N358" s="260" t="str">
        <f t="shared" si="32"/>
        <v/>
      </c>
      <c r="O358" s="256">
        <f t="shared" si="34"/>
        <v>0</v>
      </c>
      <c r="P358" s="257" t="str">
        <f t="shared" si="33"/>
        <v>×</v>
      </c>
      <c r="Q358" s="272" t="str">
        <f t="shared" si="35"/>
        <v/>
      </c>
    </row>
    <row r="359" spans="2:17">
      <c r="B359" s="65"/>
      <c r="C359" s="54"/>
      <c r="D359" s="261" t="str">
        <f t="shared" si="31"/>
        <v/>
      </c>
      <c r="E359" s="262" t="str">
        <f t="shared" si="36"/>
        <v/>
      </c>
      <c r="F359" s="125" t="str">
        <f>IF(G359="","",VLOOKUP(G359,プルダウン用リスト!$K$1:$M$16,2,FALSE))</f>
        <v/>
      </c>
      <c r="G359" s="67"/>
      <c r="H359" s="55"/>
      <c r="I359" s="67"/>
      <c r="J359" s="134"/>
      <c r="K359" s="68"/>
      <c r="L359" s="69"/>
      <c r="M359" s="69"/>
      <c r="N359" s="260" t="str">
        <f t="shared" si="32"/>
        <v/>
      </c>
      <c r="O359" s="256">
        <f t="shared" si="34"/>
        <v>0</v>
      </c>
      <c r="P359" s="257" t="str">
        <f t="shared" si="33"/>
        <v>×</v>
      </c>
      <c r="Q359" s="272" t="str">
        <f t="shared" si="35"/>
        <v/>
      </c>
    </row>
    <row r="360" spans="2:17">
      <c r="B360" s="65"/>
      <c r="C360" s="54"/>
      <c r="D360" s="261" t="str">
        <f t="shared" si="31"/>
        <v/>
      </c>
      <c r="E360" s="262" t="str">
        <f t="shared" si="36"/>
        <v/>
      </c>
      <c r="F360" s="125" t="str">
        <f>IF(G360="","",VLOOKUP(G360,プルダウン用リスト!$K$1:$M$16,2,FALSE))</f>
        <v/>
      </c>
      <c r="G360" s="67"/>
      <c r="H360" s="67"/>
      <c r="I360" s="67"/>
      <c r="J360" s="134"/>
      <c r="K360" s="68"/>
      <c r="L360" s="69"/>
      <c r="M360" s="69"/>
      <c r="N360" s="260" t="str">
        <f t="shared" si="32"/>
        <v/>
      </c>
      <c r="O360" s="256">
        <f t="shared" si="34"/>
        <v>0</v>
      </c>
      <c r="P360" s="257" t="str">
        <f t="shared" si="33"/>
        <v>×</v>
      </c>
      <c r="Q360" s="272" t="str">
        <f t="shared" si="35"/>
        <v/>
      </c>
    </row>
    <row r="361" spans="2:17">
      <c r="B361" s="65"/>
      <c r="C361" s="54"/>
      <c r="D361" s="261" t="str">
        <f t="shared" si="31"/>
        <v/>
      </c>
      <c r="E361" s="262" t="str">
        <f t="shared" si="36"/>
        <v/>
      </c>
      <c r="F361" s="125" t="str">
        <f>IF(G361="","",VLOOKUP(G361,プルダウン用リスト!$K$1:$M$16,2,FALSE))</f>
        <v/>
      </c>
      <c r="G361" s="67"/>
      <c r="H361" s="55"/>
      <c r="I361" s="67"/>
      <c r="J361" s="134"/>
      <c r="K361" s="68"/>
      <c r="L361" s="69"/>
      <c r="M361" s="69"/>
      <c r="N361" s="260" t="str">
        <f t="shared" si="32"/>
        <v/>
      </c>
      <c r="O361" s="256">
        <f t="shared" si="34"/>
        <v>0</v>
      </c>
      <c r="P361" s="257" t="str">
        <f t="shared" si="33"/>
        <v>×</v>
      </c>
      <c r="Q361" s="272" t="str">
        <f t="shared" si="35"/>
        <v/>
      </c>
    </row>
    <row r="362" spans="2:17">
      <c r="B362" s="65"/>
      <c r="C362" s="54"/>
      <c r="D362" s="261" t="str">
        <f t="shared" si="31"/>
        <v/>
      </c>
      <c r="E362" s="262" t="str">
        <f t="shared" si="36"/>
        <v/>
      </c>
      <c r="F362" s="125" t="str">
        <f>IF(G362="","",VLOOKUP(G362,プルダウン用リスト!$K$1:$M$16,2,FALSE))</f>
        <v/>
      </c>
      <c r="G362" s="67"/>
      <c r="H362" s="55"/>
      <c r="I362" s="67"/>
      <c r="J362" s="134"/>
      <c r="K362" s="68"/>
      <c r="L362" s="69"/>
      <c r="M362" s="69"/>
      <c r="N362" s="260" t="str">
        <f t="shared" si="32"/>
        <v/>
      </c>
      <c r="O362" s="256">
        <f t="shared" si="34"/>
        <v>0</v>
      </c>
      <c r="P362" s="257" t="str">
        <f t="shared" si="33"/>
        <v>×</v>
      </c>
      <c r="Q362" s="272" t="str">
        <f t="shared" si="35"/>
        <v/>
      </c>
    </row>
    <row r="363" spans="2:17">
      <c r="B363" s="65"/>
      <c r="C363" s="54"/>
      <c r="D363" s="261" t="str">
        <f t="shared" si="31"/>
        <v/>
      </c>
      <c r="E363" s="262" t="str">
        <f t="shared" si="36"/>
        <v/>
      </c>
      <c r="F363" s="125" t="str">
        <f>IF(G363="","",VLOOKUP(G363,プルダウン用リスト!$K$1:$M$16,2,FALSE))</f>
        <v/>
      </c>
      <c r="G363" s="67"/>
      <c r="H363" s="67"/>
      <c r="I363" s="67"/>
      <c r="J363" s="134"/>
      <c r="K363" s="68"/>
      <c r="L363" s="69"/>
      <c r="M363" s="69"/>
      <c r="N363" s="260" t="str">
        <f t="shared" si="32"/>
        <v/>
      </c>
      <c r="O363" s="256">
        <f t="shared" si="34"/>
        <v>0</v>
      </c>
      <c r="P363" s="257" t="str">
        <f t="shared" si="33"/>
        <v>×</v>
      </c>
      <c r="Q363" s="272" t="str">
        <f t="shared" si="35"/>
        <v/>
      </c>
    </row>
    <row r="364" spans="2:17">
      <c r="B364" s="65"/>
      <c r="C364" s="54"/>
      <c r="D364" s="261" t="str">
        <f t="shared" si="31"/>
        <v/>
      </c>
      <c r="E364" s="262" t="str">
        <f t="shared" si="36"/>
        <v/>
      </c>
      <c r="F364" s="125" t="str">
        <f>IF(G364="","",VLOOKUP(G364,プルダウン用リスト!$K$1:$M$16,2,FALSE))</f>
        <v/>
      </c>
      <c r="G364" s="67"/>
      <c r="H364" s="55"/>
      <c r="I364" s="67"/>
      <c r="J364" s="134"/>
      <c r="K364" s="68"/>
      <c r="L364" s="69"/>
      <c r="M364" s="69"/>
      <c r="N364" s="260" t="str">
        <f t="shared" si="32"/>
        <v/>
      </c>
      <c r="O364" s="256">
        <f t="shared" si="34"/>
        <v>0</v>
      </c>
      <c r="P364" s="257" t="str">
        <f t="shared" si="33"/>
        <v>×</v>
      </c>
      <c r="Q364" s="272" t="str">
        <f t="shared" si="35"/>
        <v/>
      </c>
    </row>
    <row r="365" spans="2:17">
      <c r="B365" s="65"/>
      <c r="C365" s="54"/>
      <c r="D365" s="261" t="str">
        <f t="shared" si="31"/>
        <v/>
      </c>
      <c r="E365" s="262" t="str">
        <f t="shared" si="36"/>
        <v/>
      </c>
      <c r="F365" s="125" t="str">
        <f>IF(G365="","",VLOOKUP(G365,プルダウン用リスト!$K$1:$M$16,2,FALSE))</f>
        <v/>
      </c>
      <c r="G365" s="67"/>
      <c r="H365" s="55"/>
      <c r="I365" s="67"/>
      <c r="J365" s="134"/>
      <c r="K365" s="68"/>
      <c r="L365" s="69"/>
      <c r="M365" s="69"/>
      <c r="N365" s="260" t="str">
        <f t="shared" si="32"/>
        <v/>
      </c>
      <c r="O365" s="256">
        <f t="shared" si="34"/>
        <v>0</v>
      </c>
      <c r="P365" s="257" t="str">
        <f t="shared" si="33"/>
        <v>×</v>
      </c>
      <c r="Q365" s="272" t="str">
        <f t="shared" si="35"/>
        <v/>
      </c>
    </row>
    <row r="366" spans="2:17">
      <c r="B366" s="65"/>
      <c r="C366" s="66"/>
      <c r="D366" s="261" t="str">
        <f t="shared" si="31"/>
        <v/>
      </c>
      <c r="E366" s="262" t="str">
        <f t="shared" si="36"/>
        <v/>
      </c>
      <c r="F366" s="125" t="str">
        <f>IF(G366="","",VLOOKUP(G366,プルダウン用リスト!$K$1:$M$16,2,FALSE))</f>
        <v/>
      </c>
      <c r="G366" s="67"/>
      <c r="H366" s="67"/>
      <c r="I366" s="67"/>
      <c r="J366" s="134"/>
      <c r="K366" s="68"/>
      <c r="L366" s="69"/>
      <c r="M366" s="69"/>
      <c r="N366" s="260" t="str">
        <f t="shared" si="32"/>
        <v/>
      </c>
      <c r="O366" s="256">
        <f t="shared" si="34"/>
        <v>0</v>
      </c>
      <c r="P366" s="257" t="str">
        <f t="shared" si="33"/>
        <v>×</v>
      </c>
      <c r="Q366" s="272" t="str">
        <f t="shared" si="35"/>
        <v/>
      </c>
    </row>
    <row r="367" spans="2:17">
      <c r="B367" s="65"/>
      <c r="C367" s="54"/>
      <c r="D367" s="261" t="str">
        <f t="shared" si="31"/>
        <v/>
      </c>
      <c r="E367" s="262" t="str">
        <f t="shared" si="36"/>
        <v/>
      </c>
      <c r="F367" s="125" t="str">
        <f>IF(G367="","",VLOOKUP(G367,プルダウン用リスト!$K$1:$M$16,2,FALSE))</f>
        <v/>
      </c>
      <c r="G367" s="67"/>
      <c r="H367" s="55"/>
      <c r="I367" s="67"/>
      <c r="J367" s="134"/>
      <c r="K367" s="68"/>
      <c r="L367" s="69"/>
      <c r="M367" s="69"/>
      <c r="N367" s="260" t="str">
        <f t="shared" si="32"/>
        <v/>
      </c>
      <c r="O367" s="256">
        <f t="shared" si="34"/>
        <v>0</v>
      </c>
      <c r="P367" s="257" t="str">
        <f t="shared" si="33"/>
        <v>×</v>
      </c>
      <c r="Q367" s="272" t="str">
        <f t="shared" si="35"/>
        <v/>
      </c>
    </row>
    <row r="368" spans="2:17">
      <c r="B368" s="65"/>
      <c r="C368" s="54"/>
      <c r="D368" s="261" t="str">
        <f t="shared" si="31"/>
        <v/>
      </c>
      <c r="E368" s="262" t="str">
        <f t="shared" si="36"/>
        <v/>
      </c>
      <c r="F368" s="125" t="str">
        <f>IF(G368="","",VLOOKUP(G368,プルダウン用リスト!$K$1:$M$16,2,FALSE))</f>
        <v/>
      </c>
      <c r="G368" s="67"/>
      <c r="H368" s="55"/>
      <c r="I368" s="67"/>
      <c r="J368" s="134"/>
      <c r="K368" s="68"/>
      <c r="L368" s="69"/>
      <c r="M368" s="69"/>
      <c r="N368" s="260" t="str">
        <f t="shared" si="32"/>
        <v/>
      </c>
      <c r="O368" s="256">
        <f t="shared" si="34"/>
        <v>0</v>
      </c>
      <c r="P368" s="257" t="str">
        <f t="shared" si="33"/>
        <v>×</v>
      </c>
      <c r="Q368" s="272" t="str">
        <f t="shared" si="35"/>
        <v/>
      </c>
    </row>
    <row r="369" spans="2:17">
      <c r="B369" s="65"/>
      <c r="C369" s="54"/>
      <c r="D369" s="261" t="str">
        <f t="shared" si="31"/>
        <v/>
      </c>
      <c r="E369" s="262" t="str">
        <f t="shared" si="36"/>
        <v/>
      </c>
      <c r="F369" s="125" t="str">
        <f>IF(G369="","",VLOOKUP(G369,プルダウン用リスト!$K$1:$M$16,2,FALSE))</f>
        <v/>
      </c>
      <c r="G369" s="67"/>
      <c r="H369" s="67"/>
      <c r="I369" s="67"/>
      <c r="J369" s="134"/>
      <c r="K369" s="68"/>
      <c r="L369" s="69"/>
      <c r="M369" s="69"/>
      <c r="N369" s="260" t="str">
        <f t="shared" si="32"/>
        <v/>
      </c>
      <c r="O369" s="256">
        <f t="shared" si="34"/>
        <v>0</v>
      </c>
      <c r="P369" s="257" t="str">
        <f t="shared" si="33"/>
        <v>×</v>
      </c>
      <c r="Q369" s="272" t="str">
        <f t="shared" si="35"/>
        <v/>
      </c>
    </row>
    <row r="370" spans="2:17">
      <c r="B370" s="65"/>
      <c r="C370" s="54"/>
      <c r="D370" s="261" t="str">
        <f t="shared" si="31"/>
        <v/>
      </c>
      <c r="E370" s="262" t="str">
        <f t="shared" si="36"/>
        <v/>
      </c>
      <c r="F370" s="125" t="str">
        <f>IF(G370="","",VLOOKUP(G370,プルダウン用リスト!$K$1:$M$16,2,FALSE))</f>
        <v/>
      </c>
      <c r="G370" s="67"/>
      <c r="H370" s="55"/>
      <c r="I370" s="67"/>
      <c r="J370" s="134"/>
      <c r="K370" s="68"/>
      <c r="L370" s="69"/>
      <c r="M370" s="69"/>
      <c r="N370" s="260" t="str">
        <f t="shared" si="32"/>
        <v/>
      </c>
      <c r="O370" s="256">
        <f t="shared" si="34"/>
        <v>0</v>
      </c>
      <c r="P370" s="257" t="str">
        <f t="shared" si="33"/>
        <v>×</v>
      </c>
      <c r="Q370" s="272" t="str">
        <f t="shared" si="35"/>
        <v/>
      </c>
    </row>
    <row r="371" spans="2:17">
      <c r="B371" s="65"/>
      <c r="C371" s="54"/>
      <c r="D371" s="261" t="str">
        <f t="shared" si="31"/>
        <v/>
      </c>
      <c r="E371" s="262" t="str">
        <f t="shared" si="36"/>
        <v/>
      </c>
      <c r="F371" s="125" t="str">
        <f>IF(G371="","",VLOOKUP(G371,プルダウン用リスト!$K$1:$M$16,2,FALSE))</f>
        <v/>
      </c>
      <c r="G371" s="67"/>
      <c r="H371" s="55"/>
      <c r="I371" s="67"/>
      <c r="J371" s="134"/>
      <c r="K371" s="68"/>
      <c r="L371" s="69"/>
      <c r="M371" s="69"/>
      <c r="N371" s="260" t="str">
        <f t="shared" si="32"/>
        <v/>
      </c>
      <c r="O371" s="256">
        <f t="shared" si="34"/>
        <v>0</v>
      </c>
      <c r="P371" s="257" t="str">
        <f t="shared" si="33"/>
        <v>×</v>
      </c>
      <c r="Q371" s="272" t="str">
        <f t="shared" si="35"/>
        <v/>
      </c>
    </row>
    <row r="372" spans="2:17">
      <c r="B372" s="65"/>
      <c r="C372" s="54"/>
      <c r="D372" s="261" t="str">
        <f t="shared" si="31"/>
        <v/>
      </c>
      <c r="E372" s="262" t="str">
        <f t="shared" si="36"/>
        <v/>
      </c>
      <c r="F372" s="125" t="str">
        <f>IF(G372="","",VLOOKUP(G372,プルダウン用リスト!$K$1:$M$16,2,FALSE))</f>
        <v/>
      </c>
      <c r="G372" s="67"/>
      <c r="H372" s="67"/>
      <c r="I372" s="67"/>
      <c r="J372" s="134"/>
      <c r="K372" s="68"/>
      <c r="L372" s="69"/>
      <c r="M372" s="69"/>
      <c r="N372" s="260" t="str">
        <f t="shared" si="32"/>
        <v/>
      </c>
      <c r="O372" s="256">
        <f t="shared" si="34"/>
        <v>0</v>
      </c>
      <c r="P372" s="257" t="str">
        <f t="shared" si="33"/>
        <v>×</v>
      </c>
      <c r="Q372" s="272" t="str">
        <f t="shared" si="35"/>
        <v/>
      </c>
    </row>
    <row r="373" spans="2:17">
      <c r="B373" s="65"/>
      <c r="C373" s="54"/>
      <c r="D373" s="261" t="str">
        <f t="shared" si="31"/>
        <v/>
      </c>
      <c r="E373" s="262" t="str">
        <f t="shared" si="36"/>
        <v/>
      </c>
      <c r="F373" s="125" t="str">
        <f>IF(G373="","",VLOOKUP(G373,プルダウン用リスト!$K$1:$M$16,2,FALSE))</f>
        <v/>
      </c>
      <c r="G373" s="67"/>
      <c r="H373" s="55"/>
      <c r="I373" s="67"/>
      <c r="J373" s="134"/>
      <c r="K373" s="68"/>
      <c r="L373" s="69"/>
      <c r="M373" s="69"/>
      <c r="N373" s="260" t="str">
        <f t="shared" si="32"/>
        <v/>
      </c>
      <c r="O373" s="256">
        <f t="shared" si="34"/>
        <v>0</v>
      </c>
      <c r="P373" s="257" t="str">
        <f t="shared" si="33"/>
        <v>×</v>
      </c>
      <c r="Q373" s="272" t="str">
        <f t="shared" si="35"/>
        <v/>
      </c>
    </row>
    <row r="374" spans="2:17">
      <c r="B374" s="65"/>
      <c r="C374" s="54"/>
      <c r="D374" s="261" t="str">
        <f t="shared" si="31"/>
        <v/>
      </c>
      <c r="E374" s="262" t="str">
        <f t="shared" si="36"/>
        <v/>
      </c>
      <c r="F374" s="125" t="str">
        <f>IF(G374="","",VLOOKUP(G374,プルダウン用リスト!$K$1:$M$16,2,FALSE))</f>
        <v/>
      </c>
      <c r="G374" s="67"/>
      <c r="H374" s="55"/>
      <c r="I374" s="67"/>
      <c r="J374" s="134"/>
      <c r="K374" s="68"/>
      <c r="L374" s="69"/>
      <c r="M374" s="69"/>
      <c r="N374" s="260" t="str">
        <f t="shared" si="32"/>
        <v/>
      </c>
      <c r="O374" s="256">
        <f t="shared" si="34"/>
        <v>0</v>
      </c>
      <c r="P374" s="257" t="str">
        <f t="shared" si="33"/>
        <v>×</v>
      </c>
      <c r="Q374" s="272" t="str">
        <f t="shared" si="35"/>
        <v/>
      </c>
    </row>
    <row r="375" spans="2:17">
      <c r="B375" s="65"/>
      <c r="C375" s="54"/>
      <c r="D375" s="261" t="str">
        <f t="shared" si="31"/>
        <v/>
      </c>
      <c r="E375" s="262" t="str">
        <f t="shared" si="36"/>
        <v/>
      </c>
      <c r="F375" s="125" t="str">
        <f>IF(G375="","",VLOOKUP(G375,プルダウン用リスト!$K$1:$M$16,2,FALSE))</f>
        <v/>
      </c>
      <c r="G375" s="67"/>
      <c r="H375" s="67"/>
      <c r="I375" s="67"/>
      <c r="J375" s="134"/>
      <c r="K375" s="68"/>
      <c r="L375" s="69"/>
      <c r="M375" s="69"/>
      <c r="N375" s="260" t="str">
        <f t="shared" si="32"/>
        <v/>
      </c>
      <c r="O375" s="256">
        <f t="shared" si="34"/>
        <v>0</v>
      </c>
      <c r="P375" s="257" t="str">
        <f t="shared" si="33"/>
        <v>×</v>
      </c>
      <c r="Q375" s="272" t="str">
        <f t="shared" si="35"/>
        <v/>
      </c>
    </row>
    <row r="376" spans="2:17">
      <c r="B376" s="65"/>
      <c r="C376" s="54"/>
      <c r="D376" s="261" t="str">
        <f t="shared" si="31"/>
        <v/>
      </c>
      <c r="E376" s="262" t="str">
        <f t="shared" si="36"/>
        <v/>
      </c>
      <c r="F376" s="125" t="str">
        <f>IF(G376="","",VLOOKUP(G376,プルダウン用リスト!$K$1:$M$16,2,FALSE))</f>
        <v/>
      </c>
      <c r="G376" s="67"/>
      <c r="H376" s="55"/>
      <c r="I376" s="67"/>
      <c r="J376" s="134"/>
      <c r="K376" s="68"/>
      <c r="L376" s="69"/>
      <c r="M376" s="69"/>
      <c r="N376" s="260" t="str">
        <f t="shared" si="32"/>
        <v/>
      </c>
      <c r="O376" s="256">
        <f t="shared" si="34"/>
        <v>0</v>
      </c>
      <c r="P376" s="257" t="str">
        <f t="shared" si="33"/>
        <v>×</v>
      </c>
      <c r="Q376" s="272" t="str">
        <f t="shared" si="35"/>
        <v/>
      </c>
    </row>
    <row r="377" spans="2:17">
      <c r="B377" s="65"/>
      <c r="C377" s="54"/>
      <c r="D377" s="261" t="str">
        <f t="shared" si="31"/>
        <v/>
      </c>
      <c r="E377" s="262" t="str">
        <f t="shared" si="36"/>
        <v/>
      </c>
      <c r="F377" s="125" t="str">
        <f>IF(G377="","",VLOOKUP(G377,プルダウン用リスト!$K$1:$M$16,2,FALSE))</f>
        <v/>
      </c>
      <c r="G377" s="67"/>
      <c r="H377" s="55"/>
      <c r="I377" s="67"/>
      <c r="J377" s="134"/>
      <c r="K377" s="68"/>
      <c r="L377" s="69"/>
      <c r="M377" s="69"/>
      <c r="N377" s="260" t="str">
        <f t="shared" si="32"/>
        <v/>
      </c>
      <c r="O377" s="256">
        <f t="shared" si="34"/>
        <v>0</v>
      </c>
      <c r="P377" s="257" t="str">
        <f t="shared" si="33"/>
        <v>×</v>
      </c>
      <c r="Q377" s="272" t="str">
        <f t="shared" si="35"/>
        <v/>
      </c>
    </row>
    <row r="378" spans="2:17">
      <c r="B378" s="65"/>
      <c r="C378" s="66"/>
      <c r="D378" s="261" t="str">
        <f t="shared" si="31"/>
        <v/>
      </c>
      <c r="E378" s="262" t="str">
        <f t="shared" si="36"/>
        <v/>
      </c>
      <c r="F378" s="125" t="str">
        <f>IF(G378="","",VLOOKUP(G378,プルダウン用リスト!$K$1:$M$16,2,FALSE))</f>
        <v/>
      </c>
      <c r="G378" s="67"/>
      <c r="H378" s="67"/>
      <c r="I378" s="67"/>
      <c r="J378" s="134"/>
      <c r="K378" s="68"/>
      <c r="L378" s="69"/>
      <c r="M378" s="69"/>
      <c r="N378" s="260" t="str">
        <f t="shared" si="32"/>
        <v/>
      </c>
      <c r="O378" s="256">
        <f t="shared" si="34"/>
        <v>0</v>
      </c>
      <c r="P378" s="257" t="str">
        <f t="shared" si="33"/>
        <v>×</v>
      </c>
      <c r="Q378" s="272" t="str">
        <f t="shared" si="35"/>
        <v/>
      </c>
    </row>
    <row r="379" spans="2:17">
      <c r="B379" s="65"/>
      <c r="C379" s="54"/>
      <c r="D379" s="261" t="str">
        <f t="shared" si="31"/>
        <v/>
      </c>
      <c r="E379" s="262" t="str">
        <f t="shared" si="36"/>
        <v/>
      </c>
      <c r="F379" s="125" t="str">
        <f>IF(G379="","",VLOOKUP(G379,プルダウン用リスト!$K$1:$M$16,2,FALSE))</f>
        <v/>
      </c>
      <c r="G379" s="67"/>
      <c r="H379" s="55"/>
      <c r="I379" s="67"/>
      <c r="J379" s="134"/>
      <c r="K379" s="68"/>
      <c r="L379" s="69"/>
      <c r="M379" s="69"/>
      <c r="N379" s="260" t="str">
        <f t="shared" si="32"/>
        <v/>
      </c>
      <c r="O379" s="256">
        <f t="shared" si="34"/>
        <v>0</v>
      </c>
      <c r="P379" s="257" t="str">
        <f t="shared" si="33"/>
        <v>×</v>
      </c>
      <c r="Q379" s="272" t="str">
        <f t="shared" si="35"/>
        <v/>
      </c>
    </row>
    <row r="380" spans="2:17">
      <c r="B380" s="65"/>
      <c r="C380" s="54"/>
      <c r="D380" s="261" t="str">
        <f t="shared" si="31"/>
        <v/>
      </c>
      <c r="E380" s="262" t="str">
        <f t="shared" si="36"/>
        <v/>
      </c>
      <c r="F380" s="125" t="str">
        <f>IF(G380="","",VLOOKUP(G380,プルダウン用リスト!$K$1:$M$16,2,FALSE))</f>
        <v/>
      </c>
      <c r="G380" s="67"/>
      <c r="H380" s="55"/>
      <c r="I380" s="67"/>
      <c r="J380" s="134"/>
      <c r="K380" s="68"/>
      <c r="L380" s="69"/>
      <c r="M380" s="69"/>
      <c r="N380" s="260" t="str">
        <f t="shared" si="32"/>
        <v/>
      </c>
      <c r="O380" s="256">
        <f t="shared" si="34"/>
        <v>0</v>
      </c>
      <c r="P380" s="257" t="str">
        <f t="shared" si="33"/>
        <v>×</v>
      </c>
      <c r="Q380" s="272" t="str">
        <f t="shared" si="35"/>
        <v/>
      </c>
    </row>
    <row r="381" spans="2:17">
      <c r="B381" s="65"/>
      <c r="C381" s="54"/>
      <c r="D381" s="261" t="str">
        <f t="shared" si="31"/>
        <v/>
      </c>
      <c r="E381" s="262" t="str">
        <f t="shared" si="36"/>
        <v/>
      </c>
      <c r="F381" s="125" t="str">
        <f>IF(G381="","",VLOOKUP(G381,プルダウン用リスト!$K$1:$M$16,2,FALSE))</f>
        <v/>
      </c>
      <c r="G381" s="67"/>
      <c r="H381" s="67"/>
      <c r="I381" s="67"/>
      <c r="J381" s="134"/>
      <c r="K381" s="68"/>
      <c r="L381" s="69"/>
      <c r="M381" s="69"/>
      <c r="N381" s="260" t="str">
        <f t="shared" si="32"/>
        <v/>
      </c>
      <c r="O381" s="256">
        <f t="shared" si="34"/>
        <v>0</v>
      </c>
      <c r="P381" s="257" t="str">
        <f t="shared" si="33"/>
        <v>×</v>
      </c>
      <c r="Q381" s="272" t="str">
        <f t="shared" si="35"/>
        <v/>
      </c>
    </row>
    <row r="382" spans="2:17">
      <c r="B382" s="65"/>
      <c r="C382" s="54"/>
      <c r="D382" s="261" t="str">
        <f t="shared" si="31"/>
        <v/>
      </c>
      <c r="E382" s="262" t="str">
        <f t="shared" si="36"/>
        <v/>
      </c>
      <c r="F382" s="125" t="str">
        <f>IF(G382="","",VLOOKUP(G382,プルダウン用リスト!$K$1:$M$16,2,FALSE))</f>
        <v/>
      </c>
      <c r="G382" s="67"/>
      <c r="H382" s="55"/>
      <c r="I382" s="67"/>
      <c r="J382" s="134"/>
      <c r="K382" s="68"/>
      <c r="L382" s="69"/>
      <c r="M382" s="69"/>
      <c r="N382" s="260" t="str">
        <f t="shared" si="32"/>
        <v/>
      </c>
      <c r="O382" s="256">
        <f t="shared" si="34"/>
        <v>0</v>
      </c>
      <c r="P382" s="257" t="str">
        <f t="shared" si="33"/>
        <v>×</v>
      </c>
      <c r="Q382" s="272" t="str">
        <f t="shared" si="35"/>
        <v/>
      </c>
    </row>
    <row r="383" spans="2:17">
      <c r="B383" s="65"/>
      <c r="C383" s="54"/>
      <c r="D383" s="261" t="str">
        <f t="shared" si="31"/>
        <v/>
      </c>
      <c r="E383" s="262" t="str">
        <f t="shared" si="36"/>
        <v/>
      </c>
      <c r="F383" s="125" t="str">
        <f>IF(G383="","",VLOOKUP(G383,プルダウン用リスト!$K$1:$M$16,2,FALSE))</f>
        <v/>
      </c>
      <c r="G383" s="67"/>
      <c r="H383" s="55"/>
      <c r="I383" s="67"/>
      <c r="J383" s="134"/>
      <c r="K383" s="68"/>
      <c r="L383" s="69"/>
      <c r="M383" s="69"/>
      <c r="N383" s="260" t="str">
        <f t="shared" si="32"/>
        <v/>
      </c>
      <c r="O383" s="256">
        <f t="shared" si="34"/>
        <v>0</v>
      </c>
      <c r="P383" s="257" t="str">
        <f t="shared" si="33"/>
        <v>×</v>
      </c>
      <c r="Q383" s="272" t="str">
        <f t="shared" si="35"/>
        <v/>
      </c>
    </row>
    <row r="384" spans="2:17">
      <c r="B384" s="65"/>
      <c r="C384" s="54"/>
      <c r="D384" s="261" t="str">
        <f t="shared" si="31"/>
        <v/>
      </c>
      <c r="E384" s="262" t="str">
        <f t="shared" si="36"/>
        <v/>
      </c>
      <c r="F384" s="125" t="str">
        <f>IF(G384="","",VLOOKUP(G384,プルダウン用リスト!$K$1:$M$16,2,FALSE))</f>
        <v/>
      </c>
      <c r="G384" s="67"/>
      <c r="H384" s="67"/>
      <c r="I384" s="67"/>
      <c r="J384" s="134"/>
      <c r="K384" s="68"/>
      <c r="L384" s="69"/>
      <c r="M384" s="69"/>
      <c r="N384" s="260" t="str">
        <f t="shared" si="32"/>
        <v/>
      </c>
      <c r="O384" s="256">
        <f t="shared" si="34"/>
        <v>0</v>
      </c>
      <c r="P384" s="257" t="str">
        <f t="shared" si="33"/>
        <v>×</v>
      </c>
      <c r="Q384" s="272" t="str">
        <f t="shared" si="35"/>
        <v/>
      </c>
    </row>
    <row r="385" spans="2:17">
      <c r="B385" s="65"/>
      <c r="C385" s="54"/>
      <c r="D385" s="261" t="str">
        <f t="shared" si="31"/>
        <v/>
      </c>
      <c r="E385" s="262" t="str">
        <f t="shared" si="36"/>
        <v/>
      </c>
      <c r="F385" s="125" t="str">
        <f>IF(G385="","",VLOOKUP(G385,プルダウン用リスト!$K$1:$M$16,2,FALSE))</f>
        <v/>
      </c>
      <c r="G385" s="67"/>
      <c r="H385" s="55"/>
      <c r="I385" s="67"/>
      <c r="J385" s="134"/>
      <c r="K385" s="68"/>
      <c r="L385" s="69"/>
      <c r="M385" s="69"/>
      <c r="N385" s="260" t="str">
        <f t="shared" si="32"/>
        <v/>
      </c>
      <c r="O385" s="256">
        <f t="shared" si="34"/>
        <v>0</v>
      </c>
      <c r="P385" s="257" t="str">
        <f t="shared" si="33"/>
        <v>×</v>
      </c>
      <c r="Q385" s="272" t="str">
        <f t="shared" si="35"/>
        <v/>
      </c>
    </row>
    <row r="386" spans="2:17">
      <c r="B386" s="65"/>
      <c r="C386" s="54"/>
      <c r="D386" s="261" t="str">
        <f t="shared" si="31"/>
        <v/>
      </c>
      <c r="E386" s="262" t="str">
        <f t="shared" si="36"/>
        <v/>
      </c>
      <c r="F386" s="125" t="str">
        <f>IF(G386="","",VLOOKUP(G386,プルダウン用リスト!$K$1:$M$16,2,FALSE))</f>
        <v/>
      </c>
      <c r="G386" s="67"/>
      <c r="H386" s="55"/>
      <c r="I386" s="67"/>
      <c r="J386" s="134"/>
      <c r="K386" s="68"/>
      <c r="L386" s="69"/>
      <c r="M386" s="69"/>
      <c r="N386" s="260" t="str">
        <f t="shared" si="32"/>
        <v/>
      </c>
      <c r="O386" s="256">
        <f t="shared" si="34"/>
        <v>0</v>
      </c>
      <c r="P386" s="257" t="str">
        <f t="shared" si="33"/>
        <v>×</v>
      </c>
      <c r="Q386" s="272" t="str">
        <f t="shared" si="35"/>
        <v/>
      </c>
    </row>
    <row r="387" spans="2:17">
      <c r="B387" s="65"/>
      <c r="C387" s="54"/>
      <c r="D387" s="261" t="str">
        <f t="shared" si="31"/>
        <v/>
      </c>
      <c r="E387" s="262" t="str">
        <f t="shared" si="36"/>
        <v/>
      </c>
      <c r="F387" s="125" t="str">
        <f>IF(G387="","",VLOOKUP(G387,プルダウン用リスト!$K$1:$M$16,2,FALSE))</f>
        <v/>
      </c>
      <c r="G387" s="67"/>
      <c r="H387" s="67"/>
      <c r="I387" s="67"/>
      <c r="J387" s="134"/>
      <c r="K387" s="68"/>
      <c r="L387" s="69"/>
      <c r="M387" s="69"/>
      <c r="N387" s="260" t="str">
        <f t="shared" si="32"/>
        <v/>
      </c>
      <c r="O387" s="256">
        <f t="shared" si="34"/>
        <v>0</v>
      </c>
      <c r="P387" s="257" t="str">
        <f t="shared" si="33"/>
        <v>×</v>
      </c>
      <c r="Q387" s="272" t="str">
        <f t="shared" si="35"/>
        <v/>
      </c>
    </row>
    <row r="388" spans="2:17">
      <c r="B388" s="65"/>
      <c r="C388" s="54"/>
      <c r="D388" s="261" t="str">
        <f t="shared" si="31"/>
        <v/>
      </c>
      <c r="E388" s="262" t="str">
        <f t="shared" si="36"/>
        <v/>
      </c>
      <c r="F388" s="125" t="str">
        <f>IF(G388="","",VLOOKUP(G388,プルダウン用リスト!$K$1:$M$16,2,FALSE))</f>
        <v/>
      </c>
      <c r="G388" s="67"/>
      <c r="H388" s="55"/>
      <c r="I388" s="67"/>
      <c r="J388" s="134"/>
      <c r="K388" s="68"/>
      <c r="L388" s="69"/>
      <c r="M388" s="69"/>
      <c r="N388" s="260" t="str">
        <f t="shared" si="32"/>
        <v/>
      </c>
      <c r="O388" s="256">
        <f t="shared" si="34"/>
        <v>0</v>
      </c>
      <c r="P388" s="257" t="str">
        <f t="shared" si="33"/>
        <v>×</v>
      </c>
      <c r="Q388" s="272" t="str">
        <f t="shared" si="35"/>
        <v/>
      </c>
    </row>
    <row r="389" spans="2:17">
      <c r="B389" s="65"/>
      <c r="C389" s="54"/>
      <c r="D389" s="261" t="str">
        <f t="shared" si="31"/>
        <v/>
      </c>
      <c r="E389" s="262" t="str">
        <f t="shared" si="36"/>
        <v/>
      </c>
      <c r="F389" s="125" t="str">
        <f>IF(G389="","",VLOOKUP(G389,プルダウン用リスト!$K$1:$M$16,2,FALSE))</f>
        <v/>
      </c>
      <c r="G389" s="67"/>
      <c r="H389" s="55"/>
      <c r="I389" s="67"/>
      <c r="J389" s="134"/>
      <c r="K389" s="68"/>
      <c r="L389" s="69"/>
      <c r="M389" s="69"/>
      <c r="N389" s="260" t="str">
        <f t="shared" si="32"/>
        <v/>
      </c>
      <c r="O389" s="256">
        <f t="shared" si="34"/>
        <v>0</v>
      </c>
      <c r="P389" s="257" t="str">
        <f t="shared" si="33"/>
        <v>×</v>
      </c>
      <c r="Q389" s="272" t="str">
        <f t="shared" si="35"/>
        <v/>
      </c>
    </row>
    <row r="390" spans="2:17">
      <c r="B390" s="65"/>
      <c r="C390" s="66"/>
      <c r="D390" s="261" t="str">
        <f t="shared" si="31"/>
        <v/>
      </c>
      <c r="E390" s="262" t="str">
        <f t="shared" si="36"/>
        <v/>
      </c>
      <c r="F390" s="125" t="str">
        <f>IF(G390="","",VLOOKUP(G390,プルダウン用リスト!$K$1:$M$16,2,FALSE))</f>
        <v/>
      </c>
      <c r="G390" s="67"/>
      <c r="H390" s="67"/>
      <c r="I390" s="67"/>
      <c r="J390" s="134"/>
      <c r="K390" s="68"/>
      <c r="L390" s="69"/>
      <c r="M390" s="69"/>
      <c r="N390" s="260" t="str">
        <f t="shared" si="32"/>
        <v/>
      </c>
      <c r="O390" s="256">
        <f t="shared" si="34"/>
        <v>0</v>
      </c>
      <c r="P390" s="257" t="str">
        <f t="shared" si="33"/>
        <v>×</v>
      </c>
      <c r="Q390" s="272" t="str">
        <f t="shared" si="35"/>
        <v/>
      </c>
    </row>
    <row r="391" spans="2:17">
      <c r="B391" s="65"/>
      <c r="C391" s="54"/>
      <c r="D391" s="261" t="str">
        <f t="shared" ref="D391:D454" si="37">IF(E391="","",IF(E391="謝金","01.",IF(E391="旅費","02.",IF(E391="その他","04.","03."))))</f>
        <v/>
      </c>
      <c r="E391" s="262" t="str">
        <f t="shared" si="36"/>
        <v/>
      </c>
      <c r="F391" s="125" t="str">
        <f>IF(G391="","",VLOOKUP(G391,プルダウン用リスト!$K$1:$M$16,2,FALSE))</f>
        <v/>
      </c>
      <c r="G391" s="67"/>
      <c r="H391" s="55"/>
      <c r="I391" s="67"/>
      <c r="J391" s="134"/>
      <c r="K391" s="68"/>
      <c r="L391" s="69"/>
      <c r="M391" s="69"/>
      <c r="N391" s="260" t="str">
        <f t="shared" ref="N391:N454" si="38">IF(G391="16.対象外経費",L391,IF(M391="","",L391-M391))</f>
        <v/>
      </c>
      <c r="O391" s="256">
        <f t="shared" si="34"/>
        <v>0</v>
      </c>
      <c r="P391" s="257" t="str">
        <f t="shared" ref="P391:P454" si="39">IF(G391="2.旅費","〇","×")</f>
        <v>×</v>
      </c>
      <c r="Q391" s="272" t="str">
        <f t="shared" si="35"/>
        <v/>
      </c>
    </row>
    <row r="392" spans="2:17">
      <c r="B392" s="65"/>
      <c r="C392" s="54"/>
      <c r="D392" s="261" t="str">
        <f t="shared" si="37"/>
        <v/>
      </c>
      <c r="E392" s="262" t="str">
        <f t="shared" si="36"/>
        <v/>
      </c>
      <c r="F392" s="125" t="str">
        <f>IF(G392="","",VLOOKUP(G392,プルダウン用リスト!$K$1:$M$16,2,FALSE))</f>
        <v/>
      </c>
      <c r="G392" s="67"/>
      <c r="H392" s="55"/>
      <c r="I392" s="67"/>
      <c r="J392" s="134"/>
      <c r="K392" s="68"/>
      <c r="L392" s="69"/>
      <c r="M392" s="69"/>
      <c r="N392" s="260" t="str">
        <f t="shared" si="38"/>
        <v/>
      </c>
      <c r="O392" s="256">
        <f t="shared" ref="O392:O455" si="40">IF(L392&gt;0,COUNTA(B392,C392,G392,H392,I392,K392,,L392,J392),0)</f>
        <v>0</v>
      </c>
      <c r="P392" s="257" t="str">
        <f t="shared" si="39"/>
        <v>×</v>
      </c>
      <c r="Q392" s="272" t="str">
        <f t="shared" ref="Q392:Q455" si="41">_xlfn.IFS(O392=0,"",AND(G392="16.対象外経費",O392=7),"OK",O392&lt;=7,"ピンク色のセルを全て入力してください",O392=9,"OK",P392="〇","旅行区間および宿泊地を入力してください",O392=8,"OK")</f>
        <v/>
      </c>
    </row>
    <row r="393" spans="2:17">
      <c r="B393" s="65"/>
      <c r="C393" s="54"/>
      <c r="D393" s="261" t="str">
        <f t="shared" si="37"/>
        <v/>
      </c>
      <c r="E393" s="262" t="str">
        <f t="shared" si="36"/>
        <v/>
      </c>
      <c r="F393" s="125" t="str">
        <f>IF(G393="","",VLOOKUP(G393,プルダウン用リスト!$K$1:$M$16,2,FALSE))</f>
        <v/>
      </c>
      <c r="G393" s="67"/>
      <c r="H393" s="67"/>
      <c r="I393" s="67"/>
      <c r="J393" s="134"/>
      <c r="K393" s="68"/>
      <c r="L393" s="69"/>
      <c r="M393" s="69"/>
      <c r="N393" s="260" t="str">
        <f t="shared" si="38"/>
        <v/>
      </c>
      <c r="O393" s="256">
        <f t="shared" si="40"/>
        <v>0</v>
      </c>
      <c r="P393" s="257" t="str">
        <f t="shared" si="39"/>
        <v>×</v>
      </c>
      <c r="Q393" s="272" t="str">
        <f t="shared" si="41"/>
        <v/>
      </c>
    </row>
    <row r="394" spans="2:17">
      <c r="B394" s="65"/>
      <c r="C394" s="54"/>
      <c r="D394" s="261" t="str">
        <f t="shared" si="37"/>
        <v/>
      </c>
      <c r="E394" s="262" t="str">
        <f t="shared" si="36"/>
        <v/>
      </c>
      <c r="F394" s="125" t="str">
        <f>IF(G394="","",VLOOKUP(G394,プルダウン用リスト!$K$1:$M$16,2,FALSE))</f>
        <v/>
      </c>
      <c r="G394" s="67"/>
      <c r="H394" s="55"/>
      <c r="I394" s="67"/>
      <c r="J394" s="134"/>
      <c r="K394" s="68"/>
      <c r="L394" s="69"/>
      <c r="M394" s="69"/>
      <c r="N394" s="260" t="str">
        <f t="shared" si="38"/>
        <v/>
      </c>
      <c r="O394" s="256">
        <f t="shared" si="40"/>
        <v>0</v>
      </c>
      <c r="P394" s="257" t="str">
        <f t="shared" si="39"/>
        <v>×</v>
      </c>
      <c r="Q394" s="272" t="str">
        <f t="shared" si="41"/>
        <v/>
      </c>
    </row>
    <row r="395" spans="2:17">
      <c r="B395" s="65"/>
      <c r="C395" s="54"/>
      <c r="D395" s="261" t="str">
        <f t="shared" si="37"/>
        <v/>
      </c>
      <c r="E395" s="262" t="str">
        <f t="shared" si="36"/>
        <v/>
      </c>
      <c r="F395" s="125" t="str">
        <f>IF(G395="","",VLOOKUP(G395,プルダウン用リスト!$K$1:$M$16,2,FALSE))</f>
        <v/>
      </c>
      <c r="G395" s="67"/>
      <c r="H395" s="55"/>
      <c r="I395" s="67"/>
      <c r="J395" s="134"/>
      <c r="K395" s="68"/>
      <c r="L395" s="69"/>
      <c r="M395" s="69"/>
      <c r="N395" s="260" t="str">
        <f t="shared" si="38"/>
        <v/>
      </c>
      <c r="O395" s="256">
        <f t="shared" si="40"/>
        <v>0</v>
      </c>
      <c r="P395" s="257" t="str">
        <f t="shared" si="39"/>
        <v>×</v>
      </c>
      <c r="Q395" s="272" t="str">
        <f t="shared" si="41"/>
        <v/>
      </c>
    </row>
    <row r="396" spans="2:17">
      <c r="B396" s="65"/>
      <c r="C396" s="54"/>
      <c r="D396" s="261" t="str">
        <f t="shared" si="37"/>
        <v/>
      </c>
      <c r="E396" s="262" t="str">
        <f t="shared" si="36"/>
        <v/>
      </c>
      <c r="F396" s="125" t="str">
        <f>IF(G396="","",VLOOKUP(G396,プルダウン用リスト!$K$1:$M$16,2,FALSE))</f>
        <v/>
      </c>
      <c r="G396" s="67"/>
      <c r="H396" s="67"/>
      <c r="I396" s="67"/>
      <c r="J396" s="134"/>
      <c r="K396" s="68"/>
      <c r="L396" s="69"/>
      <c r="M396" s="69"/>
      <c r="N396" s="260" t="str">
        <f t="shared" si="38"/>
        <v/>
      </c>
      <c r="O396" s="256">
        <f t="shared" si="40"/>
        <v>0</v>
      </c>
      <c r="P396" s="257" t="str">
        <f t="shared" si="39"/>
        <v>×</v>
      </c>
      <c r="Q396" s="272" t="str">
        <f t="shared" si="41"/>
        <v/>
      </c>
    </row>
    <row r="397" spans="2:17">
      <c r="B397" s="65"/>
      <c r="C397" s="54"/>
      <c r="D397" s="261" t="str">
        <f t="shared" si="37"/>
        <v/>
      </c>
      <c r="E397" s="262" t="str">
        <f t="shared" si="36"/>
        <v/>
      </c>
      <c r="F397" s="125" t="str">
        <f>IF(G397="","",VLOOKUP(G397,プルダウン用リスト!$K$1:$M$16,2,FALSE))</f>
        <v/>
      </c>
      <c r="G397" s="67"/>
      <c r="H397" s="55"/>
      <c r="I397" s="67"/>
      <c r="J397" s="134"/>
      <c r="K397" s="68"/>
      <c r="L397" s="69"/>
      <c r="M397" s="69"/>
      <c r="N397" s="260" t="str">
        <f t="shared" si="38"/>
        <v/>
      </c>
      <c r="O397" s="256">
        <f t="shared" si="40"/>
        <v>0</v>
      </c>
      <c r="P397" s="257" t="str">
        <f t="shared" si="39"/>
        <v>×</v>
      </c>
      <c r="Q397" s="272" t="str">
        <f t="shared" si="41"/>
        <v/>
      </c>
    </row>
    <row r="398" spans="2:17">
      <c r="B398" s="65"/>
      <c r="C398" s="54"/>
      <c r="D398" s="261" t="str">
        <f t="shared" si="37"/>
        <v/>
      </c>
      <c r="E398" s="262" t="str">
        <f t="shared" si="36"/>
        <v/>
      </c>
      <c r="F398" s="125" t="str">
        <f>IF(G398="","",VLOOKUP(G398,プルダウン用リスト!$K$1:$M$16,2,FALSE))</f>
        <v/>
      </c>
      <c r="G398" s="67"/>
      <c r="H398" s="55"/>
      <c r="I398" s="67"/>
      <c r="J398" s="134"/>
      <c r="K398" s="68"/>
      <c r="L398" s="69"/>
      <c r="M398" s="69"/>
      <c r="N398" s="260" t="str">
        <f t="shared" si="38"/>
        <v/>
      </c>
      <c r="O398" s="256">
        <f t="shared" si="40"/>
        <v>0</v>
      </c>
      <c r="P398" s="257" t="str">
        <f t="shared" si="39"/>
        <v>×</v>
      </c>
      <c r="Q398" s="272" t="str">
        <f t="shared" si="41"/>
        <v/>
      </c>
    </row>
    <row r="399" spans="2:17">
      <c r="B399" s="65"/>
      <c r="C399" s="54"/>
      <c r="D399" s="261" t="str">
        <f t="shared" si="37"/>
        <v/>
      </c>
      <c r="E399" s="262" t="str">
        <f t="shared" si="36"/>
        <v/>
      </c>
      <c r="F399" s="125" t="str">
        <f>IF(G399="","",VLOOKUP(G399,プルダウン用リスト!$K$1:$M$16,2,FALSE))</f>
        <v/>
      </c>
      <c r="G399" s="67"/>
      <c r="H399" s="67"/>
      <c r="I399" s="67"/>
      <c r="J399" s="134"/>
      <c r="K399" s="68"/>
      <c r="L399" s="69"/>
      <c r="M399" s="69"/>
      <c r="N399" s="260" t="str">
        <f t="shared" si="38"/>
        <v/>
      </c>
      <c r="O399" s="256">
        <f t="shared" si="40"/>
        <v>0</v>
      </c>
      <c r="P399" s="257" t="str">
        <f t="shared" si="39"/>
        <v>×</v>
      </c>
      <c r="Q399" s="272" t="str">
        <f t="shared" si="41"/>
        <v/>
      </c>
    </row>
    <row r="400" spans="2:17">
      <c r="B400" s="65"/>
      <c r="C400" s="54"/>
      <c r="D400" s="261" t="str">
        <f t="shared" si="37"/>
        <v/>
      </c>
      <c r="E400" s="262" t="str">
        <f t="shared" si="36"/>
        <v/>
      </c>
      <c r="F400" s="125" t="str">
        <f>IF(G400="","",VLOOKUP(G400,プルダウン用リスト!$K$1:$M$16,2,FALSE))</f>
        <v/>
      </c>
      <c r="G400" s="67"/>
      <c r="H400" s="55"/>
      <c r="I400" s="67"/>
      <c r="J400" s="134"/>
      <c r="K400" s="68"/>
      <c r="L400" s="69"/>
      <c r="M400" s="69"/>
      <c r="N400" s="260" t="str">
        <f t="shared" si="38"/>
        <v/>
      </c>
      <c r="O400" s="256">
        <f t="shared" si="40"/>
        <v>0</v>
      </c>
      <c r="P400" s="257" t="str">
        <f t="shared" si="39"/>
        <v>×</v>
      </c>
      <c r="Q400" s="272" t="str">
        <f t="shared" si="41"/>
        <v/>
      </c>
    </row>
    <row r="401" spans="2:17">
      <c r="B401" s="65"/>
      <c r="C401" s="54"/>
      <c r="D401" s="261" t="str">
        <f t="shared" si="37"/>
        <v/>
      </c>
      <c r="E401" s="262" t="str">
        <f t="shared" si="36"/>
        <v/>
      </c>
      <c r="F401" s="125" t="str">
        <f>IF(G401="","",VLOOKUP(G401,プルダウン用リスト!$K$1:$M$16,2,FALSE))</f>
        <v/>
      </c>
      <c r="G401" s="67"/>
      <c r="H401" s="55"/>
      <c r="I401" s="67"/>
      <c r="J401" s="134"/>
      <c r="K401" s="68"/>
      <c r="L401" s="69"/>
      <c r="M401" s="69"/>
      <c r="N401" s="260" t="str">
        <f t="shared" si="38"/>
        <v/>
      </c>
      <c r="O401" s="256">
        <f t="shared" si="40"/>
        <v>0</v>
      </c>
      <c r="P401" s="257" t="str">
        <f t="shared" si="39"/>
        <v>×</v>
      </c>
      <c r="Q401" s="272" t="str">
        <f t="shared" si="41"/>
        <v/>
      </c>
    </row>
    <row r="402" spans="2:17">
      <c r="B402" s="65"/>
      <c r="C402" s="66"/>
      <c r="D402" s="261" t="str">
        <f t="shared" si="37"/>
        <v/>
      </c>
      <c r="E402" s="262" t="str">
        <f t="shared" si="36"/>
        <v/>
      </c>
      <c r="F402" s="125" t="str">
        <f>IF(G402="","",VLOOKUP(G402,プルダウン用リスト!$K$1:$M$16,2,FALSE))</f>
        <v/>
      </c>
      <c r="G402" s="67"/>
      <c r="H402" s="67"/>
      <c r="I402" s="67"/>
      <c r="J402" s="134"/>
      <c r="K402" s="68"/>
      <c r="L402" s="69"/>
      <c r="M402" s="69"/>
      <c r="N402" s="260" t="str">
        <f t="shared" si="38"/>
        <v/>
      </c>
      <c r="O402" s="256">
        <f t="shared" si="40"/>
        <v>0</v>
      </c>
      <c r="P402" s="257" t="str">
        <f t="shared" si="39"/>
        <v>×</v>
      </c>
      <c r="Q402" s="272" t="str">
        <f t="shared" si="41"/>
        <v/>
      </c>
    </row>
    <row r="403" spans="2:17">
      <c r="B403" s="65"/>
      <c r="C403" s="54"/>
      <c r="D403" s="261" t="str">
        <f t="shared" si="37"/>
        <v/>
      </c>
      <c r="E403" s="262" t="str">
        <f t="shared" si="36"/>
        <v/>
      </c>
      <c r="F403" s="125" t="str">
        <f>IF(G403="","",VLOOKUP(G403,プルダウン用リスト!$K$1:$M$16,2,FALSE))</f>
        <v/>
      </c>
      <c r="G403" s="67"/>
      <c r="H403" s="55"/>
      <c r="I403" s="67"/>
      <c r="J403" s="134"/>
      <c r="K403" s="68"/>
      <c r="L403" s="69"/>
      <c r="M403" s="69"/>
      <c r="N403" s="260" t="str">
        <f t="shared" si="38"/>
        <v/>
      </c>
      <c r="O403" s="256">
        <f t="shared" si="40"/>
        <v>0</v>
      </c>
      <c r="P403" s="257" t="str">
        <f t="shared" si="39"/>
        <v>×</v>
      </c>
      <c r="Q403" s="272" t="str">
        <f t="shared" si="41"/>
        <v/>
      </c>
    </row>
    <row r="404" spans="2:17">
      <c r="B404" s="65"/>
      <c r="C404" s="54"/>
      <c r="D404" s="261" t="str">
        <f t="shared" si="37"/>
        <v/>
      </c>
      <c r="E404" s="262" t="str">
        <f t="shared" si="36"/>
        <v/>
      </c>
      <c r="F404" s="125" t="str">
        <f>IF(G404="","",VLOOKUP(G404,プルダウン用リスト!$K$1:$M$16,2,FALSE))</f>
        <v/>
      </c>
      <c r="G404" s="67"/>
      <c r="H404" s="55"/>
      <c r="I404" s="67"/>
      <c r="J404" s="134"/>
      <c r="K404" s="68"/>
      <c r="L404" s="69"/>
      <c r="M404" s="69"/>
      <c r="N404" s="260" t="str">
        <f t="shared" si="38"/>
        <v/>
      </c>
      <c r="O404" s="256">
        <f t="shared" si="40"/>
        <v>0</v>
      </c>
      <c r="P404" s="257" t="str">
        <f t="shared" si="39"/>
        <v>×</v>
      </c>
      <c r="Q404" s="272" t="str">
        <f t="shared" si="41"/>
        <v/>
      </c>
    </row>
    <row r="405" spans="2:17">
      <c r="B405" s="65"/>
      <c r="C405" s="54"/>
      <c r="D405" s="261" t="str">
        <f t="shared" si="37"/>
        <v/>
      </c>
      <c r="E405" s="262" t="str">
        <f t="shared" si="36"/>
        <v/>
      </c>
      <c r="F405" s="125" t="str">
        <f>IF(G405="","",VLOOKUP(G405,プルダウン用リスト!$K$1:$M$16,2,FALSE))</f>
        <v/>
      </c>
      <c r="G405" s="67"/>
      <c r="H405" s="67"/>
      <c r="I405" s="67"/>
      <c r="J405" s="134"/>
      <c r="K405" s="68"/>
      <c r="L405" s="69"/>
      <c r="M405" s="69"/>
      <c r="N405" s="260" t="str">
        <f t="shared" si="38"/>
        <v/>
      </c>
      <c r="O405" s="256">
        <f t="shared" si="40"/>
        <v>0</v>
      </c>
      <c r="P405" s="257" t="str">
        <f t="shared" si="39"/>
        <v>×</v>
      </c>
      <c r="Q405" s="272" t="str">
        <f t="shared" si="41"/>
        <v/>
      </c>
    </row>
    <row r="406" spans="2:17">
      <c r="B406" s="65"/>
      <c r="C406" s="54"/>
      <c r="D406" s="261" t="str">
        <f t="shared" si="37"/>
        <v/>
      </c>
      <c r="E406" s="262" t="str">
        <f t="shared" si="36"/>
        <v/>
      </c>
      <c r="F406" s="125" t="str">
        <f>IF(G406="","",VLOOKUP(G406,プルダウン用リスト!$K$1:$M$16,2,FALSE))</f>
        <v/>
      </c>
      <c r="G406" s="67"/>
      <c r="H406" s="55"/>
      <c r="I406" s="67"/>
      <c r="J406" s="134"/>
      <c r="K406" s="68"/>
      <c r="L406" s="69"/>
      <c r="M406" s="69"/>
      <c r="N406" s="260" t="str">
        <f t="shared" si="38"/>
        <v/>
      </c>
      <c r="O406" s="256">
        <f t="shared" si="40"/>
        <v>0</v>
      </c>
      <c r="P406" s="257" t="str">
        <f t="shared" si="39"/>
        <v>×</v>
      </c>
      <c r="Q406" s="272" t="str">
        <f t="shared" si="41"/>
        <v/>
      </c>
    </row>
    <row r="407" spans="2:17">
      <c r="B407" s="65"/>
      <c r="C407" s="54"/>
      <c r="D407" s="261" t="str">
        <f t="shared" si="37"/>
        <v/>
      </c>
      <c r="E407" s="262" t="str">
        <f t="shared" ref="E407:E470" si="42">IF(G407="","",IF(OR(G407="1.謝金（内部）",G407="1.謝金（外部）"),"謝金",IF(G407="2.旅費","旅費",IF(G407="16.対象外経費","その他","所費"))))</f>
        <v/>
      </c>
      <c r="F407" s="125" t="str">
        <f>IF(G407="","",VLOOKUP(G407,プルダウン用リスト!$K$1:$M$16,2,FALSE))</f>
        <v/>
      </c>
      <c r="G407" s="67"/>
      <c r="H407" s="55"/>
      <c r="I407" s="67"/>
      <c r="J407" s="134"/>
      <c r="K407" s="68"/>
      <c r="L407" s="69"/>
      <c r="M407" s="69"/>
      <c r="N407" s="260" t="str">
        <f t="shared" si="38"/>
        <v/>
      </c>
      <c r="O407" s="256">
        <f t="shared" si="40"/>
        <v>0</v>
      </c>
      <c r="P407" s="257" t="str">
        <f t="shared" si="39"/>
        <v>×</v>
      </c>
      <c r="Q407" s="272" t="str">
        <f t="shared" si="41"/>
        <v/>
      </c>
    </row>
    <row r="408" spans="2:17">
      <c r="B408" s="65"/>
      <c r="C408" s="54"/>
      <c r="D408" s="261" t="str">
        <f t="shared" si="37"/>
        <v/>
      </c>
      <c r="E408" s="262" t="str">
        <f t="shared" si="42"/>
        <v/>
      </c>
      <c r="F408" s="125" t="str">
        <f>IF(G408="","",VLOOKUP(G408,プルダウン用リスト!$K$1:$M$16,2,FALSE))</f>
        <v/>
      </c>
      <c r="G408" s="67"/>
      <c r="H408" s="67"/>
      <c r="I408" s="67"/>
      <c r="J408" s="134"/>
      <c r="K408" s="68"/>
      <c r="L408" s="69"/>
      <c r="M408" s="69"/>
      <c r="N408" s="260" t="str">
        <f t="shared" si="38"/>
        <v/>
      </c>
      <c r="O408" s="256">
        <f t="shared" si="40"/>
        <v>0</v>
      </c>
      <c r="P408" s="257" t="str">
        <f t="shared" si="39"/>
        <v>×</v>
      </c>
      <c r="Q408" s="272" t="str">
        <f t="shared" si="41"/>
        <v/>
      </c>
    </row>
    <row r="409" spans="2:17">
      <c r="B409" s="65"/>
      <c r="C409" s="54"/>
      <c r="D409" s="261" t="str">
        <f t="shared" si="37"/>
        <v/>
      </c>
      <c r="E409" s="262" t="str">
        <f t="shared" si="42"/>
        <v/>
      </c>
      <c r="F409" s="125" t="str">
        <f>IF(G409="","",VLOOKUP(G409,プルダウン用リスト!$K$1:$M$16,2,FALSE))</f>
        <v/>
      </c>
      <c r="G409" s="67"/>
      <c r="H409" s="55"/>
      <c r="I409" s="67"/>
      <c r="J409" s="134"/>
      <c r="K409" s="68"/>
      <c r="L409" s="69"/>
      <c r="M409" s="69"/>
      <c r="N409" s="260" t="str">
        <f t="shared" si="38"/>
        <v/>
      </c>
      <c r="O409" s="256">
        <f t="shared" si="40"/>
        <v>0</v>
      </c>
      <c r="P409" s="257" t="str">
        <f t="shared" si="39"/>
        <v>×</v>
      </c>
      <c r="Q409" s="272" t="str">
        <f t="shared" si="41"/>
        <v/>
      </c>
    </row>
    <row r="410" spans="2:17">
      <c r="B410" s="65"/>
      <c r="C410" s="54"/>
      <c r="D410" s="261" t="str">
        <f t="shared" si="37"/>
        <v/>
      </c>
      <c r="E410" s="262" t="str">
        <f t="shared" si="42"/>
        <v/>
      </c>
      <c r="F410" s="125" t="str">
        <f>IF(G410="","",VLOOKUP(G410,プルダウン用リスト!$K$1:$M$16,2,FALSE))</f>
        <v/>
      </c>
      <c r="G410" s="67"/>
      <c r="H410" s="55"/>
      <c r="I410" s="67"/>
      <c r="J410" s="134"/>
      <c r="K410" s="68"/>
      <c r="L410" s="69"/>
      <c r="M410" s="69"/>
      <c r="N410" s="260" t="str">
        <f t="shared" si="38"/>
        <v/>
      </c>
      <c r="O410" s="256">
        <f t="shared" si="40"/>
        <v>0</v>
      </c>
      <c r="P410" s="257" t="str">
        <f t="shared" si="39"/>
        <v>×</v>
      </c>
      <c r="Q410" s="272" t="str">
        <f t="shared" si="41"/>
        <v/>
      </c>
    </row>
    <row r="411" spans="2:17">
      <c r="B411" s="65"/>
      <c r="C411" s="54"/>
      <c r="D411" s="261" t="str">
        <f t="shared" si="37"/>
        <v/>
      </c>
      <c r="E411" s="262" t="str">
        <f t="shared" si="42"/>
        <v/>
      </c>
      <c r="F411" s="125" t="str">
        <f>IF(G411="","",VLOOKUP(G411,プルダウン用リスト!$K$1:$M$16,2,FALSE))</f>
        <v/>
      </c>
      <c r="G411" s="67"/>
      <c r="H411" s="67"/>
      <c r="I411" s="67"/>
      <c r="J411" s="134"/>
      <c r="K411" s="68"/>
      <c r="L411" s="69"/>
      <c r="M411" s="69"/>
      <c r="N411" s="260" t="str">
        <f t="shared" si="38"/>
        <v/>
      </c>
      <c r="O411" s="256">
        <f t="shared" si="40"/>
        <v>0</v>
      </c>
      <c r="P411" s="257" t="str">
        <f t="shared" si="39"/>
        <v>×</v>
      </c>
      <c r="Q411" s="272" t="str">
        <f t="shared" si="41"/>
        <v/>
      </c>
    </row>
    <row r="412" spans="2:17">
      <c r="B412" s="65"/>
      <c r="C412" s="54"/>
      <c r="D412" s="261" t="str">
        <f t="shared" si="37"/>
        <v/>
      </c>
      <c r="E412" s="262" t="str">
        <f t="shared" si="42"/>
        <v/>
      </c>
      <c r="F412" s="125" t="str">
        <f>IF(G412="","",VLOOKUP(G412,プルダウン用リスト!$K$1:$M$16,2,FALSE))</f>
        <v/>
      </c>
      <c r="G412" s="67"/>
      <c r="H412" s="55"/>
      <c r="I412" s="67"/>
      <c r="J412" s="134"/>
      <c r="K412" s="68"/>
      <c r="L412" s="69"/>
      <c r="M412" s="69"/>
      <c r="N412" s="260" t="str">
        <f t="shared" si="38"/>
        <v/>
      </c>
      <c r="O412" s="256">
        <f t="shared" si="40"/>
        <v>0</v>
      </c>
      <c r="P412" s="257" t="str">
        <f t="shared" si="39"/>
        <v>×</v>
      </c>
      <c r="Q412" s="272" t="str">
        <f t="shared" si="41"/>
        <v/>
      </c>
    </row>
    <row r="413" spans="2:17">
      <c r="B413" s="65"/>
      <c r="C413" s="54"/>
      <c r="D413" s="261" t="str">
        <f t="shared" si="37"/>
        <v/>
      </c>
      <c r="E413" s="262" t="str">
        <f t="shared" si="42"/>
        <v/>
      </c>
      <c r="F413" s="125" t="str">
        <f>IF(G413="","",VLOOKUP(G413,プルダウン用リスト!$K$1:$M$16,2,FALSE))</f>
        <v/>
      </c>
      <c r="G413" s="67"/>
      <c r="H413" s="55"/>
      <c r="I413" s="67"/>
      <c r="J413" s="134"/>
      <c r="K413" s="68"/>
      <c r="L413" s="69"/>
      <c r="M413" s="69"/>
      <c r="N413" s="260" t="str">
        <f t="shared" si="38"/>
        <v/>
      </c>
      <c r="O413" s="256">
        <f t="shared" si="40"/>
        <v>0</v>
      </c>
      <c r="P413" s="257" t="str">
        <f t="shared" si="39"/>
        <v>×</v>
      </c>
      <c r="Q413" s="272" t="str">
        <f t="shared" si="41"/>
        <v/>
      </c>
    </row>
    <row r="414" spans="2:17">
      <c r="B414" s="65"/>
      <c r="C414" s="66"/>
      <c r="D414" s="261" t="str">
        <f t="shared" si="37"/>
        <v/>
      </c>
      <c r="E414" s="262" t="str">
        <f t="shared" si="42"/>
        <v/>
      </c>
      <c r="F414" s="125" t="str">
        <f>IF(G414="","",VLOOKUP(G414,プルダウン用リスト!$K$1:$M$16,2,FALSE))</f>
        <v/>
      </c>
      <c r="G414" s="67"/>
      <c r="H414" s="67"/>
      <c r="I414" s="67"/>
      <c r="J414" s="134"/>
      <c r="K414" s="68"/>
      <c r="L414" s="69"/>
      <c r="M414" s="69"/>
      <c r="N414" s="260" t="str">
        <f t="shared" si="38"/>
        <v/>
      </c>
      <c r="O414" s="256">
        <f t="shared" si="40"/>
        <v>0</v>
      </c>
      <c r="P414" s="257" t="str">
        <f t="shared" si="39"/>
        <v>×</v>
      </c>
      <c r="Q414" s="272" t="str">
        <f t="shared" si="41"/>
        <v/>
      </c>
    </row>
    <row r="415" spans="2:17">
      <c r="B415" s="65"/>
      <c r="C415" s="54"/>
      <c r="D415" s="261" t="str">
        <f t="shared" si="37"/>
        <v/>
      </c>
      <c r="E415" s="262" t="str">
        <f t="shared" si="42"/>
        <v/>
      </c>
      <c r="F415" s="125" t="str">
        <f>IF(G415="","",VLOOKUP(G415,プルダウン用リスト!$K$1:$M$16,2,FALSE))</f>
        <v/>
      </c>
      <c r="G415" s="67"/>
      <c r="H415" s="55"/>
      <c r="I415" s="67"/>
      <c r="J415" s="134"/>
      <c r="K415" s="68"/>
      <c r="L415" s="69"/>
      <c r="M415" s="69"/>
      <c r="N415" s="260" t="str">
        <f t="shared" si="38"/>
        <v/>
      </c>
      <c r="O415" s="256">
        <f t="shared" si="40"/>
        <v>0</v>
      </c>
      <c r="P415" s="257" t="str">
        <f t="shared" si="39"/>
        <v>×</v>
      </c>
      <c r="Q415" s="272" t="str">
        <f t="shared" si="41"/>
        <v/>
      </c>
    </row>
    <row r="416" spans="2:17">
      <c r="B416" s="65"/>
      <c r="C416" s="54"/>
      <c r="D416" s="261" t="str">
        <f t="shared" si="37"/>
        <v/>
      </c>
      <c r="E416" s="262" t="str">
        <f t="shared" si="42"/>
        <v/>
      </c>
      <c r="F416" s="125" t="str">
        <f>IF(G416="","",VLOOKUP(G416,プルダウン用リスト!$K$1:$M$16,2,FALSE))</f>
        <v/>
      </c>
      <c r="G416" s="67"/>
      <c r="H416" s="55"/>
      <c r="I416" s="67"/>
      <c r="J416" s="134"/>
      <c r="K416" s="68"/>
      <c r="L416" s="69"/>
      <c r="M416" s="69"/>
      <c r="N416" s="260" t="str">
        <f t="shared" si="38"/>
        <v/>
      </c>
      <c r="O416" s="256">
        <f t="shared" si="40"/>
        <v>0</v>
      </c>
      <c r="P416" s="257" t="str">
        <f t="shared" si="39"/>
        <v>×</v>
      </c>
      <c r="Q416" s="272" t="str">
        <f t="shared" si="41"/>
        <v/>
      </c>
    </row>
    <row r="417" spans="2:17">
      <c r="B417" s="65"/>
      <c r="C417" s="54"/>
      <c r="D417" s="261" t="str">
        <f t="shared" si="37"/>
        <v/>
      </c>
      <c r="E417" s="262" t="str">
        <f t="shared" si="42"/>
        <v/>
      </c>
      <c r="F417" s="125" t="str">
        <f>IF(G417="","",VLOOKUP(G417,プルダウン用リスト!$K$1:$M$16,2,FALSE))</f>
        <v/>
      </c>
      <c r="G417" s="67"/>
      <c r="H417" s="67"/>
      <c r="I417" s="67"/>
      <c r="J417" s="134"/>
      <c r="K417" s="68"/>
      <c r="L417" s="69"/>
      <c r="M417" s="69"/>
      <c r="N417" s="260" t="str">
        <f t="shared" si="38"/>
        <v/>
      </c>
      <c r="O417" s="256">
        <f t="shared" si="40"/>
        <v>0</v>
      </c>
      <c r="P417" s="257" t="str">
        <f t="shared" si="39"/>
        <v>×</v>
      </c>
      <c r="Q417" s="272" t="str">
        <f t="shared" si="41"/>
        <v/>
      </c>
    </row>
    <row r="418" spans="2:17">
      <c r="B418" s="65"/>
      <c r="C418" s="54"/>
      <c r="D418" s="261" t="str">
        <f t="shared" si="37"/>
        <v/>
      </c>
      <c r="E418" s="262" t="str">
        <f t="shared" si="42"/>
        <v/>
      </c>
      <c r="F418" s="125" t="str">
        <f>IF(G418="","",VLOOKUP(G418,プルダウン用リスト!$K$1:$M$16,2,FALSE))</f>
        <v/>
      </c>
      <c r="G418" s="67"/>
      <c r="H418" s="55"/>
      <c r="I418" s="67"/>
      <c r="J418" s="134"/>
      <c r="K418" s="68"/>
      <c r="L418" s="69"/>
      <c r="M418" s="69"/>
      <c r="N418" s="260" t="str">
        <f t="shared" si="38"/>
        <v/>
      </c>
      <c r="O418" s="256">
        <f t="shared" si="40"/>
        <v>0</v>
      </c>
      <c r="P418" s="257" t="str">
        <f t="shared" si="39"/>
        <v>×</v>
      </c>
      <c r="Q418" s="272" t="str">
        <f t="shared" si="41"/>
        <v/>
      </c>
    </row>
    <row r="419" spans="2:17">
      <c r="B419" s="65"/>
      <c r="C419" s="54"/>
      <c r="D419" s="261" t="str">
        <f t="shared" si="37"/>
        <v/>
      </c>
      <c r="E419" s="262" t="str">
        <f t="shared" si="42"/>
        <v/>
      </c>
      <c r="F419" s="125" t="str">
        <f>IF(G419="","",VLOOKUP(G419,プルダウン用リスト!$K$1:$M$16,2,FALSE))</f>
        <v/>
      </c>
      <c r="G419" s="67"/>
      <c r="H419" s="55"/>
      <c r="I419" s="67"/>
      <c r="J419" s="134"/>
      <c r="K419" s="68"/>
      <c r="L419" s="69"/>
      <c r="M419" s="69"/>
      <c r="N419" s="260" t="str">
        <f t="shared" si="38"/>
        <v/>
      </c>
      <c r="O419" s="256">
        <f t="shared" si="40"/>
        <v>0</v>
      </c>
      <c r="P419" s="257" t="str">
        <f t="shared" si="39"/>
        <v>×</v>
      </c>
      <c r="Q419" s="272" t="str">
        <f t="shared" si="41"/>
        <v/>
      </c>
    </row>
    <row r="420" spans="2:17">
      <c r="B420" s="65"/>
      <c r="C420" s="54"/>
      <c r="D420" s="261" t="str">
        <f t="shared" si="37"/>
        <v/>
      </c>
      <c r="E420" s="262" t="str">
        <f t="shared" si="42"/>
        <v/>
      </c>
      <c r="F420" s="125" t="str">
        <f>IF(G420="","",VLOOKUP(G420,プルダウン用リスト!$K$1:$M$16,2,FALSE))</f>
        <v/>
      </c>
      <c r="G420" s="67"/>
      <c r="H420" s="67"/>
      <c r="I420" s="67"/>
      <c r="J420" s="134"/>
      <c r="K420" s="68"/>
      <c r="L420" s="69"/>
      <c r="M420" s="69"/>
      <c r="N420" s="260" t="str">
        <f t="shared" si="38"/>
        <v/>
      </c>
      <c r="O420" s="256">
        <f t="shared" si="40"/>
        <v>0</v>
      </c>
      <c r="P420" s="257" t="str">
        <f t="shared" si="39"/>
        <v>×</v>
      </c>
      <c r="Q420" s="272" t="str">
        <f t="shared" si="41"/>
        <v/>
      </c>
    </row>
    <row r="421" spans="2:17">
      <c r="B421" s="65"/>
      <c r="C421" s="54"/>
      <c r="D421" s="261" t="str">
        <f t="shared" si="37"/>
        <v/>
      </c>
      <c r="E421" s="262" t="str">
        <f t="shared" si="42"/>
        <v/>
      </c>
      <c r="F421" s="125" t="str">
        <f>IF(G421="","",VLOOKUP(G421,プルダウン用リスト!$K$1:$M$16,2,FALSE))</f>
        <v/>
      </c>
      <c r="G421" s="67"/>
      <c r="H421" s="55"/>
      <c r="I421" s="67"/>
      <c r="J421" s="134"/>
      <c r="K421" s="68"/>
      <c r="L421" s="69"/>
      <c r="M421" s="69"/>
      <c r="N421" s="260" t="str">
        <f t="shared" si="38"/>
        <v/>
      </c>
      <c r="O421" s="256">
        <f t="shared" si="40"/>
        <v>0</v>
      </c>
      <c r="P421" s="257" t="str">
        <f t="shared" si="39"/>
        <v>×</v>
      </c>
      <c r="Q421" s="272" t="str">
        <f t="shared" si="41"/>
        <v/>
      </c>
    </row>
    <row r="422" spans="2:17">
      <c r="B422" s="65"/>
      <c r="C422" s="54"/>
      <c r="D422" s="261" t="str">
        <f t="shared" si="37"/>
        <v/>
      </c>
      <c r="E422" s="262" t="str">
        <f t="shared" si="42"/>
        <v/>
      </c>
      <c r="F422" s="125" t="str">
        <f>IF(G422="","",VLOOKUP(G422,プルダウン用リスト!$K$1:$M$16,2,FALSE))</f>
        <v/>
      </c>
      <c r="G422" s="67"/>
      <c r="H422" s="55"/>
      <c r="I422" s="67"/>
      <c r="J422" s="134"/>
      <c r="K422" s="68"/>
      <c r="L422" s="69"/>
      <c r="M422" s="69"/>
      <c r="N422" s="260" t="str">
        <f t="shared" si="38"/>
        <v/>
      </c>
      <c r="O422" s="256">
        <f t="shared" si="40"/>
        <v>0</v>
      </c>
      <c r="P422" s="257" t="str">
        <f t="shared" si="39"/>
        <v>×</v>
      </c>
      <c r="Q422" s="272" t="str">
        <f t="shared" si="41"/>
        <v/>
      </c>
    </row>
    <row r="423" spans="2:17">
      <c r="B423" s="65"/>
      <c r="C423" s="54"/>
      <c r="D423" s="261" t="str">
        <f t="shared" si="37"/>
        <v/>
      </c>
      <c r="E423" s="262" t="str">
        <f t="shared" si="42"/>
        <v/>
      </c>
      <c r="F423" s="125" t="str">
        <f>IF(G423="","",VLOOKUP(G423,プルダウン用リスト!$K$1:$M$16,2,FALSE))</f>
        <v/>
      </c>
      <c r="G423" s="67"/>
      <c r="H423" s="67"/>
      <c r="I423" s="67"/>
      <c r="J423" s="134"/>
      <c r="K423" s="68"/>
      <c r="L423" s="69"/>
      <c r="M423" s="69"/>
      <c r="N423" s="260" t="str">
        <f t="shared" si="38"/>
        <v/>
      </c>
      <c r="O423" s="256">
        <f t="shared" si="40"/>
        <v>0</v>
      </c>
      <c r="P423" s="257" t="str">
        <f t="shared" si="39"/>
        <v>×</v>
      </c>
      <c r="Q423" s="272" t="str">
        <f t="shared" si="41"/>
        <v/>
      </c>
    </row>
    <row r="424" spans="2:17">
      <c r="B424" s="65"/>
      <c r="C424" s="54"/>
      <c r="D424" s="261" t="str">
        <f t="shared" si="37"/>
        <v/>
      </c>
      <c r="E424" s="262" t="str">
        <f t="shared" si="42"/>
        <v/>
      </c>
      <c r="F424" s="125" t="str">
        <f>IF(G424="","",VLOOKUP(G424,プルダウン用リスト!$K$1:$M$16,2,FALSE))</f>
        <v/>
      </c>
      <c r="G424" s="67"/>
      <c r="H424" s="55"/>
      <c r="I424" s="67"/>
      <c r="J424" s="134"/>
      <c r="K424" s="68"/>
      <c r="L424" s="69"/>
      <c r="M424" s="69"/>
      <c r="N424" s="260" t="str">
        <f t="shared" si="38"/>
        <v/>
      </c>
      <c r="O424" s="256">
        <f t="shared" si="40"/>
        <v>0</v>
      </c>
      <c r="P424" s="257" t="str">
        <f t="shared" si="39"/>
        <v>×</v>
      </c>
      <c r="Q424" s="272" t="str">
        <f t="shared" si="41"/>
        <v/>
      </c>
    </row>
    <row r="425" spans="2:17">
      <c r="B425" s="65"/>
      <c r="C425" s="54"/>
      <c r="D425" s="261" t="str">
        <f t="shared" si="37"/>
        <v/>
      </c>
      <c r="E425" s="262" t="str">
        <f t="shared" si="42"/>
        <v/>
      </c>
      <c r="F425" s="125" t="str">
        <f>IF(G425="","",VLOOKUP(G425,プルダウン用リスト!$K$1:$M$16,2,FALSE))</f>
        <v/>
      </c>
      <c r="G425" s="67"/>
      <c r="H425" s="55"/>
      <c r="I425" s="67"/>
      <c r="J425" s="134"/>
      <c r="K425" s="68"/>
      <c r="L425" s="69"/>
      <c r="M425" s="69"/>
      <c r="N425" s="260" t="str">
        <f t="shared" si="38"/>
        <v/>
      </c>
      <c r="O425" s="256">
        <f t="shared" si="40"/>
        <v>0</v>
      </c>
      <c r="P425" s="257" t="str">
        <f t="shared" si="39"/>
        <v>×</v>
      </c>
      <c r="Q425" s="272" t="str">
        <f t="shared" si="41"/>
        <v/>
      </c>
    </row>
    <row r="426" spans="2:17">
      <c r="B426" s="65"/>
      <c r="C426" s="66"/>
      <c r="D426" s="261" t="str">
        <f t="shared" si="37"/>
        <v/>
      </c>
      <c r="E426" s="262" t="str">
        <f t="shared" si="42"/>
        <v/>
      </c>
      <c r="F426" s="125" t="str">
        <f>IF(G426="","",VLOOKUP(G426,プルダウン用リスト!$K$1:$M$16,2,FALSE))</f>
        <v/>
      </c>
      <c r="G426" s="67"/>
      <c r="H426" s="67"/>
      <c r="I426" s="67"/>
      <c r="J426" s="134"/>
      <c r="K426" s="68"/>
      <c r="L426" s="69"/>
      <c r="M426" s="69"/>
      <c r="N426" s="260" t="str">
        <f t="shared" si="38"/>
        <v/>
      </c>
      <c r="O426" s="256">
        <f t="shared" si="40"/>
        <v>0</v>
      </c>
      <c r="P426" s="257" t="str">
        <f t="shared" si="39"/>
        <v>×</v>
      </c>
      <c r="Q426" s="272" t="str">
        <f t="shared" si="41"/>
        <v/>
      </c>
    </row>
    <row r="427" spans="2:17">
      <c r="B427" s="65"/>
      <c r="C427" s="54"/>
      <c r="D427" s="261" t="str">
        <f t="shared" si="37"/>
        <v/>
      </c>
      <c r="E427" s="262" t="str">
        <f t="shared" si="42"/>
        <v/>
      </c>
      <c r="F427" s="125" t="str">
        <f>IF(G427="","",VLOOKUP(G427,プルダウン用リスト!$K$1:$M$16,2,FALSE))</f>
        <v/>
      </c>
      <c r="G427" s="67"/>
      <c r="H427" s="55"/>
      <c r="I427" s="67"/>
      <c r="J427" s="134"/>
      <c r="K427" s="68"/>
      <c r="L427" s="69"/>
      <c r="M427" s="69"/>
      <c r="N427" s="260" t="str">
        <f t="shared" si="38"/>
        <v/>
      </c>
      <c r="O427" s="256">
        <f t="shared" si="40"/>
        <v>0</v>
      </c>
      <c r="P427" s="257" t="str">
        <f t="shared" si="39"/>
        <v>×</v>
      </c>
      <c r="Q427" s="272" t="str">
        <f t="shared" si="41"/>
        <v/>
      </c>
    </row>
    <row r="428" spans="2:17">
      <c r="B428" s="65"/>
      <c r="C428" s="54"/>
      <c r="D428" s="261" t="str">
        <f t="shared" si="37"/>
        <v/>
      </c>
      <c r="E428" s="262" t="str">
        <f t="shared" si="42"/>
        <v/>
      </c>
      <c r="F428" s="125" t="str">
        <f>IF(G428="","",VLOOKUP(G428,プルダウン用リスト!$K$1:$M$16,2,FALSE))</f>
        <v/>
      </c>
      <c r="G428" s="67"/>
      <c r="H428" s="55"/>
      <c r="I428" s="67"/>
      <c r="J428" s="134"/>
      <c r="K428" s="68"/>
      <c r="L428" s="69"/>
      <c r="M428" s="69"/>
      <c r="N428" s="260" t="str">
        <f t="shared" si="38"/>
        <v/>
      </c>
      <c r="O428" s="256">
        <f t="shared" si="40"/>
        <v>0</v>
      </c>
      <c r="P428" s="257" t="str">
        <f t="shared" si="39"/>
        <v>×</v>
      </c>
      <c r="Q428" s="272" t="str">
        <f t="shared" si="41"/>
        <v/>
      </c>
    </row>
    <row r="429" spans="2:17">
      <c r="B429" s="65"/>
      <c r="C429" s="54"/>
      <c r="D429" s="261" t="str">
        <f t="shared" si="37"/>
        <v/>
      </c>
      <c r="E429" s="262" t="str">
        <f t="shared" si="42"/>
        <v/>
      </c>
      <c r="F429" s="125" t="str">
        <f>IF(G429="","",VLOOKUP(G429,プルダウン用リスト!$K$1:$M$16,2,FALSE))</f>
        <v/>
      </c>
      <c r="G429" s="67"/>
      <c r="H429" s="67"/>
      <c r="I429" s="67"/>
      <c r="J429" s="134"/>
      <c r="K429" s="68"/>
      <c r="L429" s="69"/>
      <c r="M429" s="69"/>
      <c r="N429" s="260" t="str">
        <f t="shared" si="38"/>
        <v/>
      </c>
      <c r="O429" s="256">
        <f t="shared" si="40"/>
        <v>0</v>
      </c>
      <c r="P429" s="257" t="str">
        <f t="shared" si="39"/>
        <v>×</v>
      </c>
      <c r="Q429" s="272" t="str">
        <f t="shared" si="41"/>
        <v/>
      </c>
    </row>
    <row r="430" spans="2:17">
      <c r="B430" s="65"/>
      <c r="C430" s="54"/>
      <c r="D430" s="261" t="str">
        <f t="shared" si="37"/>
        <v/>
      </c>
      <c r="E430" s="262" t="str">
        <f t="shared" si="42"/>
        <v/>
      </c>
      <c r="F430" s="125" t="str">
        <f>IF(G430="","",VLOOKUP(G430,プルダウン用リスト!$K$1:$M$16,2,FALSE))</f>
        <v/>
      </c>
      <c r="G430" s="67"/>
      <c r="H430" s="55"/>
      <c r="I430" s="67"/>
      <c r="J430" s="134"/>
      <c r="K430" s="68"/>
      <c r="L430" s="69"/>
      <c r="M430" s="69"/>
      <c r="N430" s="260" t="str">
        <f t="shared" si="38"/>
        <v/>
      </c>
      <c r="O430" s="256">
        <f t="shared" si="40"/>
        <v>0</v>
      </c>
      <c r="P430" s="257" t="str">
        <f t="shared" si="39"/>
        <v>×</v>
      </c>
      <c r="Q430" s="272" t="str">
        <f t="shared" si="41"/>
        <v/>
      </c>
    </row>
    <row r="431" spans="2:17">
      <c r="B431" s="65"/>
      <c r="C431" s="54"/>
      <c r="D431" s="261" t="str">
        <f t="shared" si="37"/>
        <v/>
      </c>
      <c r="E431" s="262" t="str">
        <f t="shared" si="42"/>
        <v/>
      </c>
      <c r="F431" s="125" t="str">
        <f>IF(G431="","",VLOOKUP(G431,プルダウン用リスト!$K$1:$M$16,2,FALSE))</f>
        <v/>
      </c>
      <c r="G431" s="67"/>
      <c r="H431" s="55"/>
      <c r="I431" s="67"/>
      <c r="J431" s="134"/>
      <c r="K431" s="68"/>
      <c r="L431" s="69"/>
      <c r="M431" s="69"/>
      <c r="N431" s="260" t="str">
        <f t="shared" si="38"/>
        <v/>
      </c>
      <c r="O431" s="256">
        <f t="shared" si="40"/>
        <v>0</v>
      </c>
      <c r="P431" s="257" t="str">
        <f t="shared" si="39"/>
        <v>×</v>
      </c>
      <c r="Q431" s="272" t="str">
        <f t="shared" si="41"/>
        <v/>
      </c>
    </row>
    <row r="432" spans="2:17">
      <c r="B432" s="65"/>
      <c r="C432" s="54"/>
      <c r="D432" s="261" t="str">
        <f t="shared" si="37"/>
        <v/>
      </c>
      <c r="E432" s="262" t="str">
        <f t="shared" si="42"/>
        <v/>
      </c>
      <c r="F432" s="125" t="str">
        <f>IF(G432="","",VLOOKUP(G432,プルダウン用リスト!$K$1:$M$16,2,FALSE))</f>
        <v/>
      </c>
      <c r="G432" s="67"/>
      <c r="H432" s="67"/>
      <c r="I432" s="67"/>
      <c r="J432" s="134"/>
      <c r="K432" s="68"/>
      <c r="L432" s="69"/>
      <c r="M432" s="69"/>
      <c r="N432" s="260" t="str">
        <f t="shared" si="38"/>
        <v/>
      </c>
      <c r="O432" s="256">
        <f t="shared" si="40"/>
        <v>0</v>
      </c>
      <c r="P432" s="257" t="str">
        <f t="shared" si="39"/>
        <v>×</v>
      </c>
      <c r="Q432" s="272" t="str">
        <f t="shared" si="41"/>
        <v/>
      </c>
    </row>
    <row r="433" spans="2:17">
      <c r="B433" s="65"/>
      <c r="C433" s="54"/>
      <c r="D433" s="261" t="str">
        <f t="shared" si="37"/>
        <v/>
      </c>
      <c r="E433" s="262" t="str">
        <f t="shared" si="42"/>
        <v/>
      </c>
      <c r="F433" s="125" t="str">
        <f>IF(G433="","",VLOOKUP(G433,プルダウン用リスト!$K$1:$M$16,2,FALSE))</f>
        <v/>
      </c>
      <c r="G433" s="67"/>
      <c r="H433" s="55"/>
      <c r="I433" s="67"/>
      <c r="J433" s="134"/>
      <c r="K433" s="68"/>
      <c r="L433" s="69"/>
      <c r="M433" s="69"/>
      <c r="N433" s="260" t="str">
        <f t="shared" si="38"/>
        <v/>
      </c>
      <c r="O433" s="256">
        <f t="shared" si="40"/>
        <v>0</v>
      </c>
      <c r="P433" s="257" t="str">
        <f t="shared" si="39"/>
        <v>×</v>
      </c>
      <c r="Q433" s="272" t="str">
        <f t="shared" si="41"/>
        <v/>
      </c>
    </row>
    <row r="434" spans="2:17">
      <c r="B434" s="65"/>
      <c r="C434" s="54"/>
      <c r="D434" s="261" t="str">
        <f t="shared" si="37"/>
        <v/>
      </c>
      <c r="E434" s="262" t="str">
        <f t="shared" si="42"/>
        <v/>
      </c>
      <c r="F434" s="125" t="str">
        <f>IF(G434="","",VLOOKUP(G434,プルダウン用リスト!$K$1:$M$16,2,FALSE))</f>
        <v/>
      </c>
      <c r="G434" s="67"/>
      <c r="H434" s="55"/>
      <c r="I434" s="67"/>
      <c r="J434" s="134"/>
      <c r="K434" s="68"/>
      <c r="L434" s="69"/>
      <c r="M434" s="69"/>
      <c r="N434" s="260" t="str">
        <f t="shared" si="38"/>
        <v/>
      </c>
      <c r="O434" s="256">
        <f t="shared" si="40"/>
        <v>0</v>
      </c>
      <c r="P434" s="257" t="str">
        <f t="shared" si="39"/>
        <v>×</v>
      </c>
      <c r="Q434" s="272" t="str">
        <f t="shared" si="41"/>
        <v/>
      </c>
    </row>
    <row r="435" spans="2:17">
      <c r="B435" s="65"/>
      <c r="C435" s="54"/>
      <c r="D435" s="261" t="str">
        <f t="shared" si="37"/>
        <v/>
      </c>
      <c r="E435" s="262" t="str">
        <f t="shared" si="42"/>
        <v/>
      </c>
      <c r="F435" s="125" t="str">
        <f>IF(G435="","",VLOOKUP(G435,プルダウン用リスト!$K$1:$M$16,2,FALSE))</f>
        <v/>
      </c>
      <c r="G435" s="67"/>
      <c r="H435" s="67"/>
      <c r="I435" s="67"/>
      <c r="J435" s="134"/>
      <c r="K435" s="68"/>
      <c r="L435" s="69"/>
      <c r="M435" s="69"/>
      <c r="N435" s="260" t="str">
        <f t="shared" si="38"/>
        <v/>
      </c>
      <c r="O435" s="256">
        <f t="shared" si="40"/>
        <v>0</v>
      </c>
      <c r="P435" s="257" t="str">
        <f t="shared" si="39"/>
        <v>×</v>
      </c>
      <c r="Q435" s="272" t="str">
        <f t="shared" si="41"/>
        <v/>
      </c>
    </row>
    <row r="436" spans="2:17">
      <c r="B436" s="65"/>
      <c r="C436" s="54"/>
      <c r="D436" s="261" t="str">
        <f t="shared" si="37"/>
        <v/>
      </c>
      <c r="E436" s="262" t="str">
        <f t="shared" si="42"/>
        <v/>
      </c>
      <c r="F436" s="125" t="str">
        <f>IF(G436="","",VLOOKUP(G436,プルダウン用リスト!$K$1:$M$16,2,FALSE))</f>
        <v/>
      </c>
      <c r="G436" s="67"/>
      <c r="H436" s="55"/>
      <c r="I436" s="67"/>
      <c r="J436" s="134"/>
      <c r="K436" s="68"/>
      <c r="L436" s="69"/>
      <c r="M436" s="69"/>
      <c r="N436" s="260" t="str">
        <f t="shared" si="38"/>
        <v/>
      </c>
      <c r="O436" s="256">
        <f t="shared" si="40"/>
        <v>0</v>
      </c>
      <c r="P436" s="257" t="str">
        <f t="shared" si="39"/>
        <v>×</v>
      </c>
      <c r="Q436" s="272" t="str">
        <f t="shared" si="41"/>
        <v/>
      </c>
    </row>
    <row r="437" spans="2:17">
      <c r="B437" s="65"/>
      <c r="C437" s="54"/>
      <c r="D437" s="261" t="str">
        <f t="shared" si="37"/>
        <v/>
      </c>
      <c r="E437" s="262" t="str">
        <f t="shared" si="42"/>
        <v/>
      </c>
      <c r="F437" s="125" t="str">
        <f>IF(G437="","",VLOOKUP(G437,プルダウン用リスト!$K$1:$M$16,2,FALSE))</f>
        <v/>
      </c>
      <c r="G437" s="67"/>
      <c r="H437" s="55"/>
      <c r="I437" s="67"/>
      <c r="J437" s="134"/>
      <c r="K437" s="68"/>
      <c r="L437" s="69"/>
      <c r="M437" s="69"/>
      <c r="N437" s="260" t="str">
        <f t="shared" si="38"/>
        <v/>
      </c>
      <c r="O437" s="256">
        <f t="shared" si="40"/>
        <v>0</v>
      </c>
      <c r="P437" s="257" t="str">
        <f t="shared" si="39"/>
        <v>×</v>
      </c>
      <c r="Q437" s="272" t="str">
        <f t="shared" si="41"/>
        <v/>
      </c>
    </row>
    <row r="438" spans="2:17">
      <c r="B438" s="65"/>
      <c r="C438" s="66"/>
      <c r="D438" s="261" t="str">
        <f t="shared" si="37"/>
        <v/>
      </c>
      <c r="E438" s="262" t="str">
        <f t="shared" si="42"/>
        <v/>
      </c>
      <c r="F438" s="125" t="str">
        <f>IF(G438="","",VLOOKUP(G438,プルダウン用リスト!$K$1:$M$16,2,FALSE))</f>
        <v/>
      </c>
      <c r="G438" s="67"/>
      <c r="H438" s="67"/>
      <c r="I438" s="67"/>
      <c r="J438" s="134"/>
      <c r="K438" s="68"/>
      <c r="L438" s="69"/>
      <c r="M438" s="69"/>
      <c r="N438" s="260" t="str">
        <f t="shared" si="38"/>
        <v/>
      </c>
      <c r="O438" s="256">
        <f t="shared" si="40"/>
        <v>0</v>
      </c>
      <c r="P438" s="257" t="str">
        <f t="shared" si="39"/>
        <v>×</v>
      </c>
      <c r="Q438" s="272" t="str">
        <f t="shared" si="41"/>
        <v/>
      </c>
    </row>
    <row r="439" spans="2:17">
      <c r="B439" s="65"/>
      <c r="C439" s="54"/>
      <c r="D439" s="261" t="str">
        <f t="shared" si="37"/>
        <v/>
      </c>
      <c r="E439" s="262" t="str">
        <f t="shared" si="42"/>
        <v/>
      </c>
      <c r="F439" s="125" t="str">
        <f>IF(G439="","",VLOOKUP(G439,プルダウン用リスト!$K$1:$M$16,2,FALSE))</f>
        <v/>
      </c>
      <c r="G439" s="67"/>
      <c r="H439" s="55"/>
      <c r="I439" s="67"/>
      <c r="J439" s="134"/>
      <c r="K439" s="68"/>
      <c r="L439" s="69"/>
      <c r="M439" s="69"/>
      <c r="N439" s="260" t="str">
        <f t="shared" si="38"/>
        <v/>
      </c>
      <c r="O439" s="256">
        <f t="shared" si="40"/>
        <v>0</v>
      </c>
      <c r="P439" s="257" t="str">
        <f t="shared" si="39"/>
        <v>×</v>
      </c>
      <c r="Q439" s="272" t="str">
        <f t="shared" si="41"/>
        <v/>
      </c>
    </row>
    <row r="440" spans="2:17">
      <c r="B440" s="65"/>
      <c r="C440" s="54"/>
      <c r="D440" s="261" t="str">
        <f t="shared" si="37"/>
        <v/>
      </c>
      <c r="E440" s="262" t="str">
        <f t="shared" si="42"/>
        <v/>
      </c>
      <c r="F440" s="125" t="str">
        <f>IF(G440="","",VLOOKUP(G440,プルダウン用リスト!$K$1:$M$16,2,FALSE))</f>
        <v/>
      </c>
      <c r="G440" s="67"/>
      <c r="H440" s="55"/>
      <c r="I440" s="67"/>
      <c r="J440" s="134"/>
      <c r="K440" s="68"/>
      <c r="L440" s="69"/>
      <c r="M440" s="69"/>
      <c r="N440" s="260" t="str">
        <f t="shared" si="38"/>
        <v/>
      </c>
      <c r="O440" s="256">
        <f t="shared" si="40"/>
        <v>0</v>
      </c>
      <c r="P440" s="257" t="str">
        <f t="shared" si="39"/>
        <v>×</v>
      </c>
      <c r="Q440" s="272" t="str">
        <f t="shared" si="41"/>
        <v/>
      </c>
    </row>
    <row r="441" spans="2:17">
      <c r="B441" s="65"/>
      <c r="C441" s="54"/>
      <c r="D441" s="261" t="str">
        <f t="shared" si="37"/>
        <v/>
      </c>
      <c r="E441" s="262" t="str">
        <f t="shared" si="42"/>
        <v/>
      </c>
      <c r="F441" s="125" t="str">
        <f>IF(G441="","",VLOOKUP(G441,プルダウン用リスト!$K$1:$M$16,2,FALSE))</f>
        <v/>
      </c>
      <c r="G441" s="67"/>
      <c r="H441" s="67"/>
      <c r="I441" s="67"/>
      <c r="J441" s="134"/>
      <c r="K441" s="68"/>
      <c r="L441" s="69"/>
      <c r="M441" s="69"/>
      <c r="N441" s="260" t="str">
        <f t="shared" si="38"/>
        <v/>
      </c>
      <c r="O441" s="256">
        <f t="shared" si="40"/>
        <v>0</v>
      </c>
      <c r="P441" s="257" t="str">
        <f t="shared" si="39"/>
        <v>×</v>
      </c>
      <c r="Q441" s="272" t="str">
        <f t="shared" si="41"/>
        <v/>
      </c>
    </row>
    <row r="442" spans="2:17">
      <c r="B442" s="65"/>
      <c r="C442" s="54"/>
      <c r="D442" s="261" t="str">
        <f t="shared" si="37"/>
        <v/>
      </c>
      <c r="E442" s="262" t="str">
        <f t="shared" si="42"/>
        <v/>
      </c>
      <c r="F442" s="125" t="str">
        <f>IF(G442="","",VLOOKUP(G442,プルダウン用リスト!$K$1:$M$16,2,FALSE))</f>
        <v/>
      </c>
      <c r="G442" s="67"/>
      <c r="H442" s="55"/>
      <c r="I442" s="67"/>
      <c r="J442" s="134"/>
      <c r="K442" s="68"/>
      <c r="L442" s="69"/>
      <c r="M442" s="69"/>
      <c r="N442" s="260" t="str">
        <f t="shared" si="38"/>
        <v/>
      </c>
      <c r="O442" s="256">
        <f t="shared" si="40"/>
        <v>0</v>
      </c>
      <c r="P442" s="257" t="str">
        <f t="shared" si="39"/>
        <v>×</v>
      </c>
      <c r="Q442" s="272" t="str">
        <f t="shared" si="41"/>
        <v/>
      </c>
    </row>
    <row r="443" spans="2:17">
      <c r="B443" s="65"/>
      <c r="C443" s="54"/>
      <c r="D443" s="261" t="str">
        <f t="shared" si="37"/>
        <v/>
      </c>
      <c r="E443" s="262" t="str">
        <f t="shared" si="42"/>
        <v/>
      </c>
      <c r="F443" s="125" t="str">
        <f>IF(G443="","",VLOOKUP(G443,プルダウン用リスト!$K$1:$M$16,2,FALSE))</f>
        <v/>
      </c>
      <c r="G443" s="67"/>
      <c r="H443" s="55"/>
      <c r="I443" s="67"/>
      <c r="J443" s="134"/>
      <c r="K443" s="68"/>
      <c r="L443" s="69"/>
      <c r="M443" s="69"/>
      <c r="N443" s="260" t="str">
        <f t="shared" si="38"/>
        <v/>
      </c>
      <c r="O443" s="256">
        <f t="shared" si="40"/>
        <v>0</v>
      </c>
      <c r="P443" s="257" t="str">
        <f t="shared" si="39"/>
        <v>×</v>
      </c>
      <c r="Q443" s="272" t="str">
        <f t="shared" si="41"/>
        <v/>
      </c>
    </row>
    <row r="444" spans="2:17">
      <c r="B444" s="65"/>
      <c r="C444" s="54"/>
      <c r="D444" s="261" t="str">
        <f t="shared" si="37"/>
        <v/>
      </c>
      <c r="E444" s="262" t="str">
        <f t="shared" si="42"/>
        <v/>
      </c>
      <c r="F444" s="125" t="str">
        <f>IF(G444="","",VLOOKUP(G444,プルダウン用リスト!$K$1:$M$16,2,FALSE))</f>
        <v/>
      </c>
      <c r="G444" s="67"/>
      <c r="H444" s="67"/>
      <c r="I444" s="67"/>
      <c r="J444" s="134"/>
      <c r="K444" s="68"/>
      <c r="L444" s="69"/>
      <c r="M444" s="69"/>
      <c r="N444" s="260" t="str">
        <f t="shared" si="38"/>
        <v/>
      </c>
      <c r="O444" s="256">
        <f t="shared" si="40"/>
        <v>0</v>
      </c>
      <c r="P444" s="257" t="str">
        <f t="shared" si="39"/>
        <v>×</v>
      </c>
      <c r="Q444" s="272" t="str">
        <f t="shared" si="41"/>
        <v/>
      </c>
    </row>
    <row r="445" spans="2:17">
      <c r="B445" s="65"/>
      <c r="C445" s="54"/>
      <c r="D445" s="261" t="str">
        <f t="shared" si="37"/>
        <v/>
      </c>
      <c r="E445" s="262" t="str">
        <f t="shared" si="42"/>
        <v/>
      </c>
      <c r="F445" s="125" t="str">
        <f>IF(G445="","",VLOOKUP(G445,プルダウン用リスト!$K$1:$M$16,2,FALSE))</f>
        <v/>
      </c>
      <c r="G445" s="67"/>
      <c r="H445" s="55"/>
      <c r="I445" s="67"/>
      <c r="J445" s="134"/>
      <c r="K445" s="68"/>
      <c r="L445" s="69"/>
      <c r="M445" s="69"/>
      <c r="N445" s="260" t="str">
        <f t="shared" si="38"/>
        <v/>
      </c>
      <c r="O445" s="256">
        <f t="shared" si="40"/>
        <v>0</v>
      </c>
      <c r="P445" s="257" t="str">
        <f t="shared" si="39"/>
        <v>×</v>
      </c>
      <c r="Q445" s="272" t="str">
        <f t="shared" si="41"/>
        <v/>
      </c>
    </row>
    <row r="446" spans="2:17">
      <c r="B446" s="65"/>
      <c r="C446" s="54"/>
      <c r="D446" s="261" t="str">
        <f t="shared" si="37"/>
        <v/>
      </c>
      <c r="E446" s="262" t="str">
        <f t="shared" si="42"/>
        <v/>
      </c>
      <c r="F446" s="125" t="str">
        <f>IF(G446="","",VLOOKUP(G446,プルダウン用リスト!$K$1:$M$16,2,FALSE))</f>
        <v/>
      </c>
      <c r="G446" s="67"/>
      <c r="H446" s="55"/>
      <c r="I446" s="67"/>
      <c r="J446" s="134"/>
      <c r="K446" s="68"/>
      <c r="L446" s="69"/>
      <c r="M446" s="69"/>
      <c r="N446" s="260" t="str">
        <f t="shared" si="38"/>
        <v/>
      </c>
      <c r="O446" s="256">
        <f t="shared" si="40"/>
        <v>0</v>
      </c>
      <c r="P446" s="257" t="str">
        <f t="shared" si="39"/>
        <v>×</v>
      </c>
      <c r="Q446" s="272" t="str">
        <f t="shared" si="41"/>
        <v/>
      </c>
    </row>
    <row r="447" spans="2:17">
      <c r="B447" s="65"/>
      <c r="C447" s="54"/>
      <c r="D447" s="261" t="str">
        <f t="shared" si="37"/>
        <v/>
      </c>
      <c r="E447" s="262" t="str">
        <f t="shared" si="42"/>
        <v/>
      </c>
      <c r="F447" s="125" t="str">
        <f>IF(G447="","",VLOOKUP(G447,プルダウン用リスト!$K$1:$M$16,2,FALSE))</f>
        <v/>
      </c>
      <c r="G447" s="67"/>
      <c r="H447" s="67"/>
      <c r="I447" s="67"/>
      <c r="J447" s="134"/>
      <c r="K447" s="68"/>
      <c r="L447" s="69"/>
      <c r="M447" s="69"/>
      <c r="N447" s="260" t="str">
        <f t="shared" si="38"/>
        <v/>
      </c>
      <c r="O447" s="256">
        <f t="shared" si="40"/>
        <v>0</v>
      </c>
      <c r="P447" s="257" t="str">
        <f t="shared" si="39"/>
        <v>×</v>
      </c>
      <c r="Q447" s="272" t="str">
        <f t="shared" si="41"/>
        <v/>
      </c>
    </row>
    <row r="448" spans="2:17">
      <c r="B448" s="65"/>
      <c r="C448" s="54"/>
      <c r="D448" s="261" t="str">
        <f t="shared" si="37"/>
        <v/>
      </c>
      <c r="E448" s="262" t="str">
        <f t="shared" si="42"/>
        <v/>
      </c>
      <c r="F448" s="125" t="str">
        <f>IF(G448="","",VLOOKUP(G448,プルダウン用リスト!$K$1:$M$16,2,FALSE))</f>
        <v/>
      </c>
      <c r="G448" s="67"/>
      <c r="H448" s="55"/>
      <c r="I448" s="67"/>
      <c r="J448" s="134"/>
      <c r="K448" s="68"/>
      <c r="L448" s="69"/>
      <c r="M448" s="69"/>
      <c r="N448" s="260" t="str">
        <f t="shared" si="38"/>
        <v/>
      </c>
      <c r="O448" s="256">
        <f t="shared" si="40"/>
        <v>0</v>
      </c>
      <c r="P448" s="257" t="str">
        <f t="shared" si="39"/>
        <v>×</v>
      </c>
      <c r="Q448" s="272" t="str">
        <f t="shared" si="41"/>
        <v/>
      </c>
    </row>
    <row r="449" spans="2:17">
      <c r="B449" s="65"/>
      <c r="C449" s="54"/>
      <c r="D449" s="261" t="str">
        <f t="shared" si="37"/>
        <v/>
      </c>
      <c r="E449" s="262" t="str">
        <f t="shared" si="42"/>
        <v/>
      </c>
      <c r="F449" s="125" t="str">
        <f>IF(G449="","",VLOOKUP(G449,プルダウン用リスト!$K$1:$M$16,2,FALSE))</f>
        <v/>
      </c>
      <c r="G449" s="67"/>
      <c r="H449" s="55"/>
      <c r="I449" s="67"/>
      <c r="J449" s="134"/>
      <c r="K449" s="68"/>
      <c r="L449" s="69"/>
      <c r="M449" s="69"/>
      <c r="N449" s="260" t="str">
        <f t="shared" si="38"/>
        <v/>
      </c>
      <c r="O449" s="256">
        <f t="shared" si="40"/>
        <v>0</v>
      </c>
      <c r="P449" s="257" t="str">
        <f t="shared" si="39"/>
        <v>×</v>
      </c>
      <c r="Q449" s="272" t="str">
        <f t="shared" si="41"/>
        <v/>
      </c>
    </row>
    <row r="450" spans="2:17">
      <c r="B450" s="65"/>
      <c r="C450" s="66"/>
      <c r="D450" s="261" t="str">
        <f t="shared" si="37"/>
        <v/>
      </c>
      <c r="E450" s="262" t="str">
        <f t="shared" si="42"/>
        <v/>
      </c>
      <c r="F450" s="125" t="str">
        <f>IF(G450="","",VLOOKUP(G450,プルダウン用リスト!$K$1:$M$16,2,FALSE))</f>
        <v/>
      </c>
      <c r="G450" s="67"/>
      <c r="H450" s="67"/>
      <c r="I450" s="67"/>
      <c r="J450" s="134"/>
      <c r="K450" s="68"/>
      <c r="L450" s="69"/>
      <c r="M450" s="69"/>
      <c r="N450" s="260" t="str">
        <f t="shared" si="38"/>
        <v/>
      </c>
      <c r="O450" s="256">
        <f t="shared" si="40"/>
        <v>0</v>
      </c>
      <c r="P450" s="257" t="str">
        <f t="shared" si="39"/>
        <v>×</v>
      </c>
      <c r="Q450" s="272" t="str">
        <f t="shared" si="41"/>
        <v/>
      </c>
    </row>
    <row r="451" spans="2:17">
      <c r="B451" s="65"/>
      <c r="C451" s="54"/>
      <c r="D451" s="261" t="str">
        <f t="shared" si="37"/>
        <v/>
      </c>
      <c r="E451" s="262" t="str">
        <f t="shared" si="42"/>
        <v/>
      </c>
      <c r="F451" s="125" t="str">
        <f>IF(G451="","",VLOOKUP(G451,プルダウン用リスト!$K$1:$M$16,2,FALSE))</f>
        <v/>
      </c>
      <c r="G451" s="67"/>
      <c r="H451" s="55"/>
      <c r="I451" s="67"/>
      <c r="J451" s="134"/>
      <c r="K451" s="68"/>
      <c r="L451" s="69"/>
      <c r="M451" s="69"/>
      <c r="N451" s="260" t="str">
        <f t="shared" si="38"/>
        <v/>
      </c>
      <c r="O451" s="256">
        <f t="shared" si="40"/>
        <v>0</v>
      </c>
      <c r="P451" s="257" t="str">
        <f t="shared" si="39"/>
        <v>×</v>
      </c>
      <c r="Q451" s="272" t="str">
        <f t="shared" si="41"/>
        <v/>
      </c>
    </row>
    <row r="452" spans="2:17">
      <c r="B452" s="65"/>
      <c r="C452" s="54"/>
      <c r="D452" s="261" t="str">
        <f t="shared" si="37"/>
        <v/>
      </c>
      <c r="E452" s="262" t="str">
        <f t="shared" si="42"/>
        <v/>
      </c>
      <c r="F452" s="125" t="str">
        <f>IF(G452="","",VLOOKUP(G452,プルダウン用リスト!$K$1:$M$16,2,FALSE))</f>
        <v/>
      </c>
      <c r="G452" s="67"/>
      <c r="H452" s="55"/>
      <c r="I452" s="67"/>
      <c r="J452" s="134"/>
      <c r="K452" s="68"/>
      <c r="L452" s="69"/>
      <c r="M452" s="69"/>
      <c r="N452" s="260" t="str">
        <f t="shared" si="38"/>
        <v/>
      </c>
      <c r="O452" s="256">
        <f t="shared" si="40"/>
        <v>0</v>
      </c>
      <c r="P452" s="257" t="str">
        <f t="shared" si="39"/>
        <v>×</v>
      </c>
      <c r="Q452" s="272" t="str">
        <f t="shared" si="41"/>
        <v/>
      </c>
    </row>
    <row r="453" spans="2:17">
      <c r="B453" s="65"/>
      <c r="C453" s="54"/>
      <c r="D453" s="261" t="str">
        <f t="shared" si="37"/>
        <v/>
      </c>
      <c r="E453" s="262" t="str">
        <f t="shared" si="42"/>
        <v/>
      </c>
      <c r="F453" s="125" t="str">
        <f>IF(G453="","",VLOOKUP(G453,プルダウン用リスト!$K$1:$M$16,2,FALSE))</f>
        <v/>
      </c>
      <c r="G453" s="67"/>
      <c r="H453" s="67"/>
      <c r="I453" s="67"/>
      <c r="J453" s="134"/>
      <c r="K453" s="68"/>
      <c r="L453" s="69"/>
      <c r="M453" s="69"/>
      <c r="N453" s="260" t="str">
        <f t="shared" si="38"/>
        <v/>
      </c>
      <c r="O453" s="256">
        <f t="shared" si="40"/>
        <v>0</v>
      </c>
      <c r="P453" s="257" t="str">
        <f t="shared" si="39"/>
        <v>×</v>
      </c>
      <c r="Q453" s="272" t="str">
        <f t="shared" si="41"/>
        <v/>
      </c>
    </row>
    <row r="454" spans="2:17">
      <c r="B454" s="65"/>
      <c r="C454" s="54"/>
      <c r="D454" s="261" t="str">
        <f t="shared" si="37"/>
        <v/>
      </c>
      <c r="E454" s="262" t="str">
        <f t="shared" si="42"/>
        <v/>
      </c>
      <c r="F454" s="125" t="str">
        <f>IF(G454="","",VLOOKUP(G454,プルダウン用リスト!$K$1:$M$16,2,FALSE))</f>
        <v/>
      </c>
      <c r="G454" s="67"/>
      <c r="H454" s="55"/>
      <c r="I454" s="67"/>
      <c r="J454" s="134"/>
      <c r="K454" s="68"/>
      <c r="L454" s="69"/>
      <c r="M454" s="69"/>
      <c r="N454" s="260" t="str">
        <f t="shared" si="38"/>
        <v/>
      </c>
      <c r="O454" s="256">
        <f t="shared" si="40"/>
        <v>0</v>
      </c>
      <c r="P454" s="257" t="str">
        <f t="shared" si="39"/>
        <v>×</v>
      </c>
      <c r="Q454" s="272" t="str">
        <f t="shared" si="41"/>
        <v/>
      </c>
    </row>
    <row r="455" spans="2:17">
      <c r="B455" s="65"/>
      <c r="C455" s="54"/>
      <c r="D455" s="261" t="str">
        <f t="shared" ref="D455:D518" si="43">IF(E455="","",IF(E455="謝金","01.",IF(E455="旅費","02.",IF(E455="その他","04.","03."))))</f>
        <v/>
      </c>
      <c r="E455" s="262" t="str">
        <f t="shared" si="42"/>
        <v/>
      </c>
      <c r="F455" s="125" t="str">
        <f>IF(G455="","",VLOOKUP(G455,プルダウン用リスト!$K$1:$M$16,2,FALSE))</f>
        <v/>
      </c>
      <c r="G455" s="67"/>
      <c r="H455" s="55"/>
      <c r="I455" s="67"/>
      <c r="J455" s="134"/>
      <c r="K455" s="68"/>
      <c r="L455" s="69"/>
      <c r="M455" s="69"/>
      <c r="N455" s="260" t="str">
        <f t="shared" ref="N455:N518" si="44">IF(G455="16.対象外経費",L455,IF(M455="","",L455-M455))</f>
        <v/>
      </c>
      <c r="O455" s="256">
        <f t="shared" si="40"/>
        <v>0</v>
      </c>
      <c r="P455" s="257" t="str">
        <f t="shared" ref="P455:P518" si="45">IF(G455="2.旅費","〇","×")</f>
        <v>×</v>
      </c>
      <c r="Q455" s="272" t="str">
        <f t="shared" si="41"/>
        <v/>
      </c>
    </row>
    <row r="456" spans="2:17">
      <c r="B456" s="65"/>
      <c r="C456" s="54"/>
      <c r="D456" s="261" t="str">
        <f t="shared" si="43"/>
        <v/>
      </c>
      <c r="E456" s="262" t="str">
        <f t="shared" si="42"/>
        <v/>
      </c>
      <c r="F456" s="125" t="str">
        <f>IF(G456="","",VLOOKUP(G456,プルダウン用リスト!$K$1:$M$16,2,FALSE))</f>
        <v/>
      </c>
      <c r="G456" s="67"/>
      <c r="H456" s="67"/>
      <c r="I456" s="67"/>
      <c r="J456" s="134"/>
      <c r="K456" s="68"/>
      <c r="L456" s="69"/>
      <c r="M456" s="69"/>
      <c r="N456" s="260" t="str">
        <f t="shared" si="44"/>
        <v/>
      </c>
      <c r="O456" s="256">
        <f t="shared" ref="O456:O519" si="46">IF(L456&gt;0,COUNTA(B456,C456,G456,H456,I456,K456,,L456,J456),0)</f>
        <v>0</v>
      </c>
      <c r="P456" s="257" t="str">
        <f t="shared" si="45"/>
        <v>×</v>
      </c>
      <c r="Q456" s="272" t="str">
        <f t="shared" ref="Q456:Q519" si="47">_xlfn.IFS(O456=0,"",AND(G456="16.対象外経費",O456=7),"OK",O456&lt;=7,"ピンク色のセルを全て入力してください",O456=9,"OK",P456="〇","旅行区間および宿泊地を入力してください",O456=8,"OK")</f>
        <v/>
      </c>
    </row>
    <row r="457" spans="2:17">
      <c r="B457" s="65"/>
      <c r="C457" s="54"/>
      <c r="D457" s="261" t="str">
        <f t="shared" si="43"/>
        <v/>
      </c>
      <c r="E457" s="262" t="str">
        <f t="shared" si="42"/>
        <v/>
      </c>
      <c r="F457" s="125" t="str">
        <f>IF(G457="","",VLOOKUP(G457,プルダウン用リスト!$K$1:$M$16,2,FALSE))</f>
        <v/>
      </c>
      <c r="G457" s="67"/>
      <c r="H457" s="55"/>
      <c r="I457" s="67"/>
      <c r="J457" s="134"/>
      <c r="K457" s="68"/>
      <c r="L457" s="69"/>
      <c r="M457" s="69"/>
      <c r="N457" s="260" t="str">
        <f t="shared" si="44"/>
        <v/>
      </c>
      <c r="O457" s="256">
        <f t="shared" si="46"/>
        <v>0</v>
      </c>
      <c r="P457" s="257" t="str">
        <f t="shared" si="45"/>
        <v>×</v>
      </c>
      <c r="Q457" s="272" t="str">
        <f t="shared" si="47"/>
        <v/>
      </c>
    </row>
    <row r="458" spans="2:17">
      <c r="B458" s="65"/>
      <c r="C458" s="54"/>
      <c r="D458" s="261" t="str">
        <f t="shared" si="43"/>
        <v/>
      </c>
      <c r="E458" s="262" t="str">
        <f t="shared" si="42"/>
        <v/>
      </c>
      <c r="F458" s="125" t="str">
        <f>IF(G458="","",VLOOKUP(G458,プルダウン用リスト!$K$1:$M$16,2,FALSE))</f>
        <v/>
      </c>
      <c r="G458" s="67"/>
      <c r="H458" s="55"/>
      <c r="I458" s="67"/>
      <c r="J458" s="134"/>
      <c r="K458" s="68"/>
      <c r="L458" s="69"/>
      <c r="M458" s="69"/>
      <c r="N458" s="260" t="str">
        <f t="shared" si="44"/>
        <v/>
      </c>
      <c r="O458" s="256">
        <f t="shared" si="46"/>
        <v>0</v>
      </c>
      <c r="P458" s="257" t="str">
        <f t="shared" si="45"/>
        <v>×</v>
      </c>
      <c r="Q458" s="272" t="str">
        <f t="shared" si="47"/>
        <v/>
      </c>
    </row>
    <row r="459" spans="2:17">
      <c r="B459" s="65"/>
      <c r="C459" s="54"/>
      <c r="D459" s="261" t="str">
        <f t="shared" si="43"/>
        <v/>
      </c>
      <c r="E459" s="262" t="str">
        <f t="shared" si="42"/>
        <v/>
      </c>
      <c r="F459" s="125" t="str">
        <f>IF(G459="","",VLOOKUP(G459,プルダウン用リスト!$K$1:$M$16,2,FALSE))</f>
        <v/>
      </c>
      <c r="G459" s="67"/>
      <c r="H459" s="67"/>
      <c r="I459" s="67"/>
      <c r="J459" s="134"/>
      <c r="K459" s="68"/>
      <c r="L459" s="69"/>
      <c r="M459" s="69"/>
      <c r="N459" s="260" t="str">
        <f t="shared" si="44"/>
        <v/>
      </c>
      <c r="O459" s="256">
        <f t="shared" si="46"/>
        <v>0</v>
      </c>
      <c r="P459" s="257" t="str">
        <f t="shared" si="45"/>
        <v>×</v>
      </c>
      <c r="Q459" s="272" t="str">
        <f t="shared" si="47"/>
        <v/>
      </c>
    </row>
    <row r="460" spans="2:17">
      <c r="B460" s="65"/>
      <c r="C460" s="54"/>
      <c r="D460" s="261" t="str">
        <f t="shared" si="43"/>
        <v/>
      </c>
      <c r="E460" s="262" t="str">
        <f t="shared" si="42"/>
        <v/>
      </c>
      <c r="F460" s="125" t="str">
        <f>IF(G460="","",VLOOKUP(G460,プルダウン用リスト!$K$1:$M$16,2,FALSE))</f>
        <v/>
      </c>
      <c r="G460" s="67"/>
      <c r="H460" s="55"/>
      <c r="I460" s="67"/>
      <c r="J460" s="134"/>
      <c r="K460" s="68"/>
      <c r="L460" s="69"/>
      <c r="M460" s="69"/>
      <c r="N460" s="260" t="str">
        <f t="shared" si="44"/>
        <v/>
      </c>
      <c r="O460" s="256">
        <f t="shared" si="46"/>
        <v>0</v>
      </c>
      <c r="P460" s="257" t="str">
        <f t="shared" si="45"/>
        <v>×</v>
      </c>
      <c r="Q460" s="272" t="str">
        <f t="shared" si="47"/>
        <v/>
      </c>
    </row>
    <row r="461" spans="2:17">
      <c r="B461" s="65"/>
      <c r="C461" s="54"/>
      <c r="D461" s="261" t="str">
        <f t="shared" si="43"/>
        <v/>
      </c>
      <c r="E461" s="262" t="str">
        <f t="shared" si="42"/>
        <v/>
      </c>
      <c r="F461" s="125" t="str">
        <f>IF(G461="","",VLOOKUP(G461,プルダウン用リスト!$K$1:$M$16,2,FALSE))</f>
        <v/>
      </c>
      <c r="G461" s="67"/>
      <c r="H461" s="55"/>
      <c r="I461" s="67"/>
      <c r="J461" s="134"/>
      <c r="K461" s="68"/>
      <c r="L461" s="69"/>
      <c r="M461" s="69"/>
      <c r="N461" s="260" t="str">
        <f t="shared" si="44"/>
        <v/>
      </c>
      <c r="O461" s="256">
        <f t="shared" si="46"/>
        <v>0</v>
      </c>
      <c r="P461" s="257" t="str">
        <f t="shared" si="45"/>
        <v>×</v>
      </c>
      <c r="Q461" s="272" t="str">
        <f t="shared" si="47"/>
        <v/>
      </c>
    </row>
    <row r="462" spans="2:17">
      <c r="B462" s="65"/>
      <c r="C462" s="66"/>
      <c r="D462" s="261" t="str">
        <f t="shared" si="43"/>
        <v/>
      </c>
      <c r="E462" s="262" t="str">
        <f t="shared" si="42"/>
        <v/>
      </c>
      <c r="F462" s="125" t="str">
        <f>IF(G462="","",VLOOKUP(G462,プルダウン用リスト!$K$1:$M$16,2,FALSE))</f>
        <v/>
      </c>
      <c r="G462" s="67"/>
      <c r="H462" s="67"/>
      <c r="I462" s="67"/>
      <c r="J462" s="134"/>
      <c r="K462" s="68"/>
      <c r="L462" s="69"/>
      <c r="M462" s="69"/>
      <c r="N462" s="260" t="str">
        <f t="shared" si="44"/>
        <v/>
      </c>
      <c r="O462" s="256">
        <f t="shared" si="46"/>
        <v>0</v>
      </c>
      <c r="P462" s="257" t="str">
        <f t="shared" si="45"/>
        <v>×</v>
      </c>
      <c r="Q462" s="272" t="str">
        <f t="shared" si="47"/>
        <v/>
      </c>
    </row>
    <row r="463" spans="2:17">
      <c r="B463" s="65"/>
      <c r="C463" s="54"/>
      <c r="D463" s="261" t="str">
        <f t="shared" si="43"/>
        <v/>
      </c>
      <c r="E463" s="262" t="str">
        <f t="shared" si="42"/>
        <v/>
      </c>
      <c r="F463" s="125" t="str">
        <f>IF(G463="","",VLOOKUP(G463,プルダウン用リスト!$K$1:$M$16,2,FALSE))</f>
        <v/>
      </c>
      <c r="G463" s="67"/>
      <c r="H463" s="55"/>
      <c r="I463" s="67"/>
      <c r="J463" s="134"/>
      <c r="K463" s="68"/>
      <c r="L463" s="69"/>
      <c r="M463" s="69"/>
      <c r="N463" s="260" t="str">
        <f t="shared" si="44"/>
        <v/>
      </c>
      <c r="O463" s="256">
        <f t="shared" si="46"/>
        <v>0</v>
      </c>
      <c r="P463" s="257" t="str">
        <f t="shared" si="45"/>
        <v>×</v>
      </c>
      <c r="Q463" s="272" t="str">
        <f t="shared" si="47"/>
        <v/>
      </c>
    </row>
    <row r="464" spans="2:17">
      <c r="B464" s="65"/>
      <c r="C464" s="54"/>
      <c r="D464" s="261" t="str">
        <f t="shared" si="43"/>
        <v/>
      </c>
      <c r="E464" s="262" t="str">
        <f t="shared" si="42"/>
        <v/>
      </c>
      <c r="F464" s="125" t="str">
        <f>IF(G464="","",VLOOKUP(G464,プルダウン用リスト!$K$1:$M$16,2,FALSE))</f>
        <v/>
      </c>
      <c r="G464" s="67"/>
      <c r="H464" s="55"/>
      <c r="I464" s="67"/>
      <c r="J464" s="134"/>
      <c r="K464" s="68"/>
      <c r="L464" s="69"/>
      <c r="M464" s="69"/>
      <c r="N464" s="260" t="str">
        <f t="shared" si="44"/>
        <v/>
      </c>
      <c r="O464" s="256">
        <f t="shared" si="46"/>
        <v>0</v>
      </c>
      <c r="P464" s="257" t="str">
        <f t="shared" si="45"/>
        <v>×</v>
      </c>
      <c r="Q464" s="272" t="str">
        <f t="shared" si="47"/>
        <v/>
      </c>
    </row>
    <row r="465" spans="2:17">
      <c r="B465" s="65"/>
      <c r="C465" s="54"/>
      <c r="D465" s="261" t="str">
        <f t="shared" si="43"/>
        <v/>
      </c>
      <c r="E465" s="262" t="str">
        <f t="shared" si="42"/>
        <v/>
      </c>
      <c r="F465" s="125" t="str">
        <f>IF(G465="","",VLOOKUP(G465,プルダウン用リスト!$K$1:$M$16,2,FALSE))</f>
        <v/>
      </c>
      <c r="G465" s="67"/>
      <c r="H465" s="67"/>
      <c r="I465" s="67"/>
      <c r="J465" s="134"/>
      <c r="K465" s="68"/>
      <c r="L465" s="69"/>
      <c r="M465" s="69"/>
      <c r="N465" s="260" t="str">
        <f t="shared" si="44"/>
        <v/>
      </c>
      <c r="O465" s="256">
        <f t="shared" si="46"/>
        <v>0</v>
      </c>
      <c r="P465" s="257" t="str">
        <f t="shared" si="45"/>
        <v>×</v>
      </c>
      <c r="Q465" s="272" t="str">
        <f t="shared" si="47"/>
        <v/>
      </c>
    </row>
    <row r="466" spans="2:17">
      <c r="B466" s="65"/>
      <c r="C466" s="54"/>
      <c r="D466" s="261" t="str">
        <f t="shared" si="43"/>
        <v/>
      </c>
      <c r="E466" s="262" t="str">
        <f t="shared" si="42"/>
        <v/>
      </c>
      <c r="F466" s="125" t="str">
        <f>IF(G466="","",VLOOKUP(G466,プルダウン用リスト!$K$1:$M$16,2,FALSE))</f>
        <v/>
      </c>
      <c r="G466" s="67"/>
      <c r="H466" s="55"/>
      <c r="I466" s="67"/>
      <c r="J466" s="134"/>
      <c r="K466" s="68"/>
      <c r="L466" s="69"/>
      <c r="M466" s="69"/>
      <c r="N466" s="260" t="str">
        <f t="shared" si="44"/>
        <v/>
      </c>
      <c r="O466" s="256">
        <f t="shared" si="46"/>
        <v>0</v>
      </c>
      <c r="P466" s="257" t="str">
        <f t="shared" si="45"/>
        <v>×</v>
      </c>
      <c r="Q466" s="272" t="str">
        <f t="shared" si="47"/>
        <v/>
      </c>
    </row>
    <row r="467" spans="2:17">
      <c r="B467" s="65"/>
      <c r="C467" s="54"/>
      <c r="D467" s="261" t="str">
        <f t="shared" si="43"/>
        <v/>
      </c>
      <c r="E467" s="262" t="str">
        <f t="shared" si="42"/>
        <v/>
      </c>
      <c r="F467" s="125" t="str">
        <f>IF(G467="","",VLOOKUP(G467,プルダウン用リスト!$K$1:$M$16,2,FALSE))</f>
        <v/>
      </c>
      <c r="G467" s="67"/>
      <c r="H467" s="55"/>
      <c r="I467" s="67"/>
      <c r="J467" s="134"/>
      <c r="K467" s="68"/>
      <c r="L467" s="69"/>
      <c r="M467" s="69"/>
      <c r="N467" s="260" t="str">
        <f t="shared" si="44"/>
        <v/>
      </c>
      <c r="O467" s="256">
        <f t="shared" si="46"/>
        <v>0</v>
      </c>
      <c r="P467" s="257" t="str">
        <f t="shared" si="45"/>
        <v>×</v>
      </c>
      <c r="Q467" s="272" t="str">
        <f t="shared" si="47"/>
        <v/>
      </c>
    </row>
    <row r="468" spans="2:17">
      <c r="B468" s="65"/>
      <c r="C468" s="54"/>
      <c r="D468" s="261" t="str">
        <f t="shared" si="43"/>
        <v/>
      </c>
      <c r="E468" s="262" t="str">
        <f t="shared" si="42"/>
        <v/>
      </c>
      <c r="F468" s="125" t="str">
        <f>IF(G468="","",VLOOKUP(G468,プルダウン用リスト!$K$1:$M$16,2,FALSE))</f>
        <v/>
      </c>
      <c r="G468" s="67"/>
      <c r="H468" s="67"/>
      <c r="I468" s="67"/>
      <c r="J468" s="134"/>
      <c r="K468" s="68"/>
      <c r="L468" s="69"/>
      <c r="M468" s="69"/>
      <c r="N468" s="260" t="str">
        <f t="shared" si="44"/>
        <v/>
      </c>
      <c r="O468" s="256">
        <f t="shared" si="46"/>
        <v>0</v>
      </c>
      <c r="P468" s="257" t="str">
        <f t="shared" si="45"/>
        <v>×</v>
      </c>
      <c r="Q468" s="272" t="str">
        <f t="shared" si="47"/>
        <v/>
      </c>
    </row>
    <row r="469" spans="2:17">
      <c r="B469" s="65"/>
      <c r="C469" s="54"/>
      <c r="D469" s="261" t="str">
        <f t="shared" si="43"/>
        <v/>
      </c>
      <c r="E469" s="262" t="str">
        <f t="shared" si="42"/>
        <v/>
      </c>
      <c r="F469" s="125" t="str">
        <f>IF(G469="","",VLOOKUP(G469,プルダウン用リスト!$K$1:$M$16,2,FALSE))</f>
        <v/>
      </c>
      <c r="G469" s="67"/>
      <c r="H469" s="55"/>
      <c r="I469" s="67"/>
      <c r="J469" s="134"/>
      <c r="K469" s="68"/>
      <c r="L469" s="69"/>
      <c r="M469" s="69"/>
      <c r="N469" s="260" t="str">
        <f t="shared" si="44"/>
        <v/>
      </c>
      <c r="O469" s="256">
        <f t="shared" si="46"/>
        <v>0</v>
      </c>
      <c r="P469" s="257" t="str">
        <f t="shared" si="45"/>
        <v>×</v>
      </c>
      <c r="Q469" s="272" t="str">
        <f t="shared" si="47"/>
        <v/>
      </c>
    </row>
    <row r="470" spans="2:17">
      <c r="B470" s="65"/>
      <c r="C470" s="54"/>
      <c r="D470" s="261" t="str">
        <f t="shared" si="43"/>
        <v/>
      </c>
      <c r="E470" s="262" t="str">
        <f t="shared" si="42"/>
        <v/>
      </c>
      <c r="F470" s="125" t="str">
        <f>IF(G470="","",VLOOKUP(G470,プルダウン用リスト!$K$1:$M$16,2,FALSE))</f>
        <v/>
      </c>
      <c r="G470" s="67"/>
      <c r="H470" s="55"/>
      <c r="I470" s="67"/>
      <c r="J470" s="134"/>
      <c r="K470" s="68"/>
      <c r="L470" s="69"/>
      <c r="M470" s="69"/>
      <c r="N470" s="260" t="str">
        <f t="shared" si="44"/>
        <v/>
      </c>
      <c r="O470" s="256">
        <f t="shared" si="46"/>
        <v>0</v>
      </c>
      <c r="P470" s="257" t="str">
        <f t="shared" si="45"/>
        <v>×</v>
      </c>
      <c r="Q470" s="272" t="str">
        <f t="shared" si="47"/>
        <v/>
      </c>
    </row>
    <row r="471" spans="2:17">
      <c r="B471" s="65"/>
      <c r="C471" s="54"/>
      <c r="D471" s="261" t="str">
        <f t="shared" si="43"/>
        <v/>
      </c>
      <c r="E471" s="262" t="str">
        <f t="shared" ref="E471:E534" si="48">IF(G471="","",IF(OR(G471="1.謝金（内部）",G471="1.謝金（外部）"),"謝金",IF(G471="2.旅費","旅費",IF(G471="16.対象外経費","その他","所費"))))</f>
        <v/>
      </c>
      <c r="F471" s="125" t="str">
        <f>IF(G471="","",VLOOKUP(G471,プルダウン用リスト!$K$1:$M$16,2,FALSE))</f>
        <v/>
      </c>
      <c r="G471" s="67"/>
      <c r="H471" s="67"/>
      <c r="I471" s="67"/>
      <c r="J471" s="134"/>
      <c r="K471" s="68"/>
      <c r="L471" s="69"/>
      <c r="M471" s="69"/>
      <c r="N471" s="260" t="str">
        <f t="shared" si="44"/>
        <v/>
      </c>
      <c r="O471" s="256">
        <f t="shared" si="46"/>
        <v>0</v>
      </c>
      <c r="P471" s="257" t="str">
        <f t="shared" si="45"/>
        <v>×</v>
      </c>
      <c r="Q471" s="272" t="str">
        <f t="shared" si="47"/>
        <v/>
      </c>
    </row>
    <row r="472" spans="2:17">
      <c r="B472" s="65"/>
      <c r="C472" s="54"/>
      <c r="D472" s="261" t="str">
        <f t="shared" si="43"/>
        <v/>
      </c>
      <c r="E472" s="262" t="str">
        <f t="shared" si="48"/>
        <v/>
      </c>
      <c r="F472" s="125" t="str">
        <f>IF(G472="","",VLOOKUP(G472,プルダウン用リスト!$K$1:$M$16,2,FALSE))</f>
        <v/>
      </c>
      <c r="G472" s="67"/>
      <c r="H472" s="55"/>
      <c r="I472" s="67"/>
      <c r="J472" s="134"/>
      <c r="K472" s="68"/>
      <c r="L472" s="69"/>
      <c r="M472" s="69"/>
      <c r="N472" s="260" t="str">
        <f t="shared" si="44"/>
        <v/>
      </c>
      <c r="O472" s="256">
        <f t="shared" si="46"/>
        <v>0</v>
      </c>
      <c r="P472" s="257" t="str">
        <f t="shared" si="45"/>
        <v>×</v>
      </c>
      <c r="Q472" s="272" t="str">
        <f t="shared" si="47"/>
        <v/>
      </c>
    </row>
    <row r="473" spans="2:17">
      <c r="B473" s="65"/>
      <c r="C473" s="54"/>
      <c r="D473" s="261" t="str">
        <f t="shared" si="43"/>
        <v/>
      </c>
      <c r="E473" s="262" t="str">
        <f t="shared" si="48"/>
        <v/>
      </c>
      <c r="F473" s="125" t="str">
        <f>IF(G473="","",VLOOKUP(G473,プルダウン用リスト!$K$1:$M$16,2,FALSE))</f>
        <v/>
      </c>
      <c r="G473" s="67"/>
      <c r="H473" s="55"/>
      <c r="I473" s="67"/>
      <c r="J473" s="134"/>
      <c r="K473" s="68"/>
      <c r="L473" s="69"/>
      <c r="M473" s="69"/>
      <c r="N473" s="260" t="str">
        <f t="shared" si="44"/>
        <v/>
      </c>
      <c r="O473" s="256">
        <f t="shared" si="46"/>
        <v>0</v>
      </c>
      <c r="P473" s="257" t="str">
        <f t="shared" si="45"/>
        <v>×</v>
      </c>
      <c r="Q473" s="272" t="str">
        <f t="shared" si="47"/>
        <v/>
      </c>
    </row>
    <row r="474" spans="2:17">
      <c r="B474" s="65"/>
      <c r="C474" s="66"/>
      <c r="D474" s="261" t="str">
        <f t="shared" si="43"/>
        <v/>
      </c>
      <c r="E474" s="262" t="str">
        <f t="shared" si="48"/>
        <v/>
      </c>
      <c r="F474" s="125" t="str">
        <f>IF(G474="","",VLOOKUP(G474,プルダウン用リスト!$K$1:$M$16,2,FALSE))</f>
        <v/>
      </c>
      <c r="G474" s="67"/>
      <c r="H474" s="67"/>
      <c r="I474" s="67"/>
      <c r="J474" s="134"/>
      <c r="K474" s="68"/>
      <c r="L474" s="69"/>
      <c r="M474" s="69"/>
      <c r="N474" s="260" t="str">
        <f t="shared" si="44"/>
        <v/>
      </c>
      <c r="O474" s="256">
        <f t="shared" si="46"/>
        <v>0</v>
      </c>
      <c r="P474" s="257" t="str">
        <f t="shared" si="45"/>
        <v>×</v>
      </c>
      <c r="Q474" s="272" t="str">
        <f t="shared" si="47"/>
        <v/>
      </c>
    </row>
    <row r="475" spans="2:17">
      <c r="B475" s="65"/>
      <c r="C475" s="54"/>
      <c r="D475" s="261" t="str">
        <f t="shared" si="43"/>
        <v/>
      </c>
      <c r="E475" s="262" t="str">
        <f t="shared" si="48"/>
        <v/>
      </c>
      <c r="F475" s="125" t="str">
        <f>IF(G475="","",VLOOKUP(G475,プルダウン用リスト!$K$1:$M$16,2,FALSE))</f>
        <v/>
      </c>
      <c r="G475" s="67"/>
      <c r="H475" s="55"/>
      <c r="I475" s="67"/>
      <c r="J475" s="134"/>
      <c r="K475" s="68"/>
      <c r="L475" s="69"/>
      <c r="M475" s="69"/>
      <c r="N475" s="260" t="str">
        <f t="shared" si="44"/>
        <v/>
      </c>
      <c r="O475" s="256">
        <f t="shared" si="46"/>
        <v>0</v>
      </c>
      <c r="P475" s="257" t="str">
        <f t="shared" si="45"/>
        <v>×</v>
      </c>
      <c r="Q475" s="272" t="str">
        <f t="shared" si="47"/>
        <v/>
      </c>
    </row>
    <row r="476" spans="2:17">
      <c r="B476" s="65"/>
      <c r="C476" s="54"/>
      <c r="D476" s="261" t="str">
        <f t="shared" si="43"/>
        <v/>
      </c>
      <c r="E476" s="262" t="str">
        <f t="shared" si="48"/>
        <v/>
      </c>
      <c r="F476" s="125" t="str">
        <f>IF(G476="","",VLOOKUP(G476,プルダウン用リスト!$K$1:$M$16,2,FALSE))</f>
        <v/>
      </c>
      <c r="G476" s="67"/>
      <c r="H476" s="55"/>
      <c r="I476" s="67"/>
      <c r="J476" s="134"/>
      <c r="K476" s="68"/>
      <c r="L476" s="69"/>
      <c r="M476" s="69"/>
      <c r="N476" s="260" t="str">
        <f t="shared" si="44"/>
        <v/>
      </c>
      <c r="O476" s="256">
        <f t="shared" si="46"/>
        <v>0</v>
      </c>
      <c r="P476" s="257" t="str">
        <f t="shared" si="45"/>
        <v>×</v>
      </c>
      <c r="Q476" s="272" t="str">
        <f t="shared" si="47"/>
        <v/>
      </c>
    </row>
    <row r="477" spans="2:17">
      <c r="B477" s="65"/>
      <c r="C477" s="54"/>
      <c r="D477" s="261" t="str">
        <f t="shared" si="43"/>
        <v/>
      </c>
      <c r="E477" s="262" t="str">
        <f t="shared" si="48"/>
        <v/>
      </c>
      <c r="F477" s="125" t="str">
        <f>IF(G477="","",VLOOKUP(G477,プルダウン用リスト!$K$1:$M$16,2,FALSE))</f>
        <v/>
      </c>
      <c r="G477" s="67"/>
      <c r="H477" s="67"/>
      <c r="I477" s="67"/>
      <c r="J477" s="134"/>
      <c r="K477" s="68"/>
      <c r="L477" s="69"/>
      <c r="M477" s="69"/>
      <c r="N477" s="260" t="str">
        <f t="shared" si="44"/>
        <v/>
      </c>
      <c r="O477" s="256">
        <f t="shared" si="46"/>
        <v>0</v>
      </c>
      <c r="P477" s="257" t="str">
        <f t="shared" si="45"/>
        <v>×</v>
      </c>
      <c r="Q477" s="272" t="str">
        <f t="shared" si="47"/>
        <v/>
      </c>
    </row>
    <row r="478" spans="2:17">
      <c r="B478" s="65"/>
      <c r="C478" s="54"/>
      <c r="D478" s="261" t="str">
        <f t="shared" si="43"/>
        <v/>
      </c>
      <c r="E478" s="262" t="str">
        <f t="shared" si="48"/>
        <v/>
      </c>
      <c r="F478" s="125" t="str">
        <f>IF(G478="","",VLOOKUP(G478,プルダウン用リスト!$K$1:$M$16,2,FALSE))</f>
        <v/>
      </c>
      <c r="G478" s="67"/>
      <c r="H478" s="55"/>
      <c r="I478" s="67"/>
      <c r="J478" s="134"/>
      <c r="K478" s="68"/>
      <c r="L478" s="69"/>
      <c r="M478" s="69"/>
      <c r="N478" s="260" t="str">
        <f t="shared" si="44"/>
        <v/>
      </c>
      <c r="O478" s="256">
        <f t="shared" si="46"/>
        <v>0</v>
      </c>
      <c r="P478" s="257" t="str">
        <f t="shared" si="45"/>
        <v>×</v>
      </c>
      <c r="Q478" s="272" t="str">
        <f t="shared" si="47"/>
        <v/>
      </c>
    </row>
    <row r="479" spans="2:17">
      <c r="B479" s="65"/>
      <c r="C479" s="54"/>
      <c r="D479" s="261" t="str">
        <f t="shared" si="43"/>
        <v/>
      </c>
      <c r="E479" s="262" t="str">
        <f t="shared" si="48"/>
        <v/>
      </c>
      <c r="F479" s="125" t="str">
        <f>IF(G479="","",VLOOKUP(G479,プルダウン用リスト!$K$1:$M$16,2,FALSE))</f>
        <v/>
      </c>
      <c r="G479" s="67"/>
      <c r="H479" s="55"/>
      <c r="I479" s="67"/>
      <c r="J479" s="134"/>
      <c r="K479" s="68"/>
      <c r="L479" s="69"/>
      <c r="M479" s="69"/>
      <c r="N479" s="260" t="str">
        <f t="shared" si="44"/>
        <v/>
      </c>
      <c r="O479" s="256">
        <f t="shared" si="46"/>
        <v>0</v>
      </c>
      <c r="P479" s="257" t="str">
        <f t="shared" si="45"/>
        <v>×</v>
      </c>
      <c r="Q479" s="272" t="str">
        <f t="shared" si="47"/>
        <v/>
      </c>
    </row>
    <row r="480" spans="2:17">
      <c r="B480" s="65"/>
      <c r="C480" s="54"/>
      <c r="D480" s="261" t="str">
        <f t="shared" si="43"/>
        <v/>
      </c>
      <c r="E480" s="262" t="str">
        <f t="shared" si="48"/>
        <v/>
      </c>
      <c r="F480" s="125" t="str">
        <f>IF(G480="","",VLOOKUP(G480,プルダウン用リスト!$K$1:$M$16,2,FALSE))</f>
        <v/>
      </c>
      <c r="G480" s="67"/>
      <c r="H480" s="67"/>
      <c r="I480" s="67"/>
      <c r="J480" s="134"/>
      <c r="K480" s="68"/>
      <c r="L480" s="69"/>
      <c r="M480" s="69"/>
      <c r="N480" s="260" t="str">
        <f t="shared" si="44"/>
        <v/>
      </c>
      <c r="O480" s="256">
        <f t="shared" si="46"/>
        <v>0</v>
      </c>
      <c r="P480" s="257" t="str">
        <f t="shared" si="45"/>
        <v>×</v>
      </c>
      <c r="Q480" s="272" t="str">
        <f t="shared" si="47"/>
        <v/>
      </c>
    </row>
    <row r="481" spans="2:17">
      <c r="B481" s="65"/>
      <c r="C481" s="54"/>
      <c r="D481" s="261" t="str">
        <f t="shared" si="43"/>
        <v/>
      </c>
      <c r="E481" s="262" t="str">
        <f t="shared" si="48"/>
        <v/>
      </c>
      <c r="F481" s="125" t="str">
        <f>IF(G481="","",VLOOKUP(G481,プルダウン用リスト!$K$1:$M$16,2,FALSE))</f>
        <v/>
      </c>
      <c r="G481" s="67"/>
      <c r="H481" s="55"/>
      <c r="I481" s="67"/>
      <c r="J481" s="134"/>
      <c r="K481" s="68"/>
      <c r="L481" s="69"/>
      <c r="M481" s="69"/>
      <c r="N481" s="260" t="str">
        <f t="shared" si="44"/>
        <v/>
      </c>
      <c r="O481" s="256">
        <f t="shared" si="46"/>
        <v>0</v>
      </c>
      <c r="P481" s="257" t="str">
        <f t="shared" si="45"/>
        <v>×</v>
      </c>
      <c r="Q481" s="272" t="str">
        <f t="shared" si="47"/>
        <v/>
      </c>
    </row>
    <row r="482" spans="2:17">
      <c r="B482" s="65"/>
      <c r="C482" s="54"/>
      <c r="D482" s="261" t="str">
        <f t="shared" si="43"/>
        <v/>
      </c>
      <c r="E482" s="262" t="str">
        <f t="shared" si="48"/>
        <v/>
      </c>
      <c r="F482" s="125" t="str">
        <f>IF(G482="","",VLOOKUP(G482,プルダウン用リスト!$K$1:$M$16,2,FALSE))</f>
        <v/>
      </c>
      <c r="G482" s="67"/>
      <c r="H482" s="55"/>
      <c r="I482" s="67"/>
      <c r="J482" s="134"/>
      <c r="K482" s="68"/>
      <c r="L482" s="69"/>
      <c r="M482" s="69"/>
      <c r="N482" s="260" t="str">
        <f t="shared" si="44"/>
        <v/>
      </c>
      <c r="O482" s="256">
        <f t="shared" si="46"/>
        <v>0</v>
      </c>
      <c r="P482" s="257" t="str">
        <f t="shared" si="45"/>
        <v>×</v>
      </c>
      <c r="Q482" s="272" t="str">
        <f t="shared" si="47"/>
        <v/>
      </c>
    </row>
    <row r="483" spans="2:17">
      <c r="B483" s="65"/>
      <c r="C483" s="54"/>
      <c r="D483" s="261" t="str">
        <f t="shared" si="43"/>
        <v/>
      </c>
      <c r="E483" s="262" t="str">
        <f t="shared" si="48"/>
        <v/>
      </c>
      <c r="F483" s="125" t="str">
        <f>IF(G483="","",VLOOKUP(G483,プルダウン用リスト!$K$1:$M$16,2,FALSE))</f>
        <v/>
      </c>
      <c r="G483" s="67"/>
      <c r="H483" s="67"/>
      <c r="I483" s="67"/>
      <c r="J483" s="134"/>
      <c r="K483" s="68"/>
      <c r="L483" s="69"/>
      <c r="M483" s="69"/>
      <c r="N483" s="260" t="str">
        <f t="shared" si="44"/>
        <v/>
      </c>
      <c r="O483" s="256">
        <f t="shared" si="46"/>
        <v>0</v>
      </c>
      <c r="P483" s="257" t="str">
        <f t="shared" si="45"/>
        <v>×</v>
      </c>
      <c r="Q483" s="272" t="str">
        <f t="shared" si="47"/>
        <v/>
      </c>
    </row>
    <row r="484" spans="2:17">
      <c r="B484" s="65"/>
      <c r="C484" s="54"/>
      <c r="D484" s="261" t="str">
        <f t="shared" si="43"/>
        <v/>
      </c>
      <c r="E484" s="262" t="str">
        <f t="shared" si="48"/>
        <v/>
      </c>
      <c r="F484" s="125" t="str">
        <f>IF(G484="","",VLOOKUP(G484,プルダウン用リスト!$K$1:$M$16,2,FALSE))</f>
        <v/>
      </c>
      <c r="G484" s="67"/>
      <c r="H484" s="55"/>
      <c r="I484" s="67"/>
      <c r="J484" s="134"/>
      <c r="K484" s="68"/>
      <c r="L484" s="69"/>
      <c r="M484" s="69"/>
      <c r="N484" s="260" t="str">
        <f t="shared" si="44"/>
        <v/>
      </c>
      <c r="O484" s="256">
        <f t="shared" si="46"/>
        <v>0</v>
      </c>
      <c r="P484" s="257" t="str">
        <f t="shared" si="45"/>
        <v>×</v>
      </c>
      <c r="Q484" s="272" t="str">
        <f t="shared" si="47"/>
        <v/>
      </c>
    </row>
    <row r="485" spans="2:17">
      <c r="B485" s="65"/>
      <c r="C485" s="54"/>
      <c r="D485" s="261" t="str">
        <f t="shared" si="43"/>
        <v/>
      </c>
      <c r="E485" s="262" t="str">
        <f t="shared" si="48"/>
        <v/>
      </c>
      <c r="F485" s="125" t="str">
        <f>IF(G485="","",VLOOKUP(G485,プルダウン用リスト!$K$1:$M$16,2,FALSE))</f>
        <v/>
      </c>
      <c r="G485" s="67"/>
      <c r="H485" s="55"/>
      <c r="I485" s="67"/>
      <c r="J485" s="134"/>
      <c r="K485" s="68"/>
      <c r="L485" s="69"/>
      <c r="M485" s="69"/>
      <c r="N485" s="260" t="str">
        <f t="shared" si="44"/>
        <v/>
      </c>
      <c r="O485" s="256">
        <f t="shared" si="46"/>
        <v>0</v>
      </c>
      <c r="P485" s="257" t="str">
        <f t="shared" si="45"/>
        <v>×</v>
      </c>
      <c r="Q485" s="272" t="str">
        <f t="shared" si="47"/>
        <v/>
      </c>
    </row>
    <row r="486" spans="2:17">
      <c r="B486" s="65"/>
      <c r="C486" s="66"/>
      <c r="D486" s="261" t="str">
        <f t="shared" si="43"/>
        <v/>
      </c>
      <c r="E486" s="262" t="str">
        <f t="shared" si="48"/>
        <v/>
      </c>
      <c r="F486" s="125" t="str">
        <f>IF(G486="","",VLOOKUP(G486,プルダウン用リスト!$K$1:$M$16,2,FALSE))</f>
        <v/>
      </c>
      <c r="G486" s="67"/>
      <c r="H486" s="67"/>
      <c r="I486" s="67"/>
      <c r="J486" s="134"/>
      <c r="K486" s="68"/>
      <c r="L486" s="69"/>
      <c r="M486" s="69"/>
      <c r="N486" s="260" t="str">
        <f t="shared" si="44"/>
        <v/>
      </c>
      <c r="O486" s="256">
        <f t="shared" si="46"/>
        <v>0</v>
      </c>
      <c r="P486" s="257" t="str">
        <f t="shared" si="45"/>
        <v>×</v>
      </c>
      <c r="Q486" s="272" t="str">
        <f t="shared" si="47"/>
        <v/>
      </c>
    </row>
    <row r="487" spans="2:17">
      <c r="B487" s="65"/>
      <c r="C487" s="54"/>
      <c r="D487" s="261" t="str">
        <f t="shared" si="43"/>
        <v/>
      </c>
      <c r="E487" s="262" t="str">
        <f t="shared" si="48"/>
        <v/>
      </c>
      <c r="F487" s="125" t="str">
        <f>IF(G487="","",VLOOKUP(G487,プルダウン用リスト!$K$1:$M$16,2,FALSE))</f>
        <v/>
      </c>
      <c r="G487" s="67"/>
      <c r="H487" s="55"/>
      <c r="I487" s="67"/>
      <c r="J487" s="134"/>
      <c r="K487" s="68"/>
      <c r="L487" s="69"/>
      <c r="M487" s="69"/>
      <c r="N487" s="260" t="str">
        <f t="shared" si="44"/>
        <v/>
      </c>
      <c r="O487" s="256">
        <f t="shared" si="46"/>
        <v>0</v>
      </c>
      <c r="P487" s="257" t="str">
        <f t="shared" si="45"/>
        <v>×</v>
      </c>
      <c r="Q487" s="272" t="str">
        <f t="shared" si="47"/>
        <v/>
      </c>
    </row>
    <row r="488" spans="2:17">
      <c r="B488" s="65"/>
      <c r="C488" s="54"/>
      <c r="D488" s="261" t="str">
        <f t="shared" si="43"/>
        <v/>
      </c>
      <c r="E488" s="262" t="str">
        <f t="shared" si="48"/>
        <v/>
      </c>
      <c r="F488" s="125" t="str">
        <f>IF(G488="","",VLOOKUP(G488,プルダウン用リスト!$K$1:$M$16,2,FALSE))</f>
        <v/>
      </c>
      <c r="G488" s="67"/>
      <c r="H488" s="55"/>
      <c r="I488" s="67"/>
      <c r="J488" s="134"/>
      <c r="K488" s="68"/>
      <c r="L488" s="69"/>
      <c r="M488" s="69"/>
      <c r="N488" s="260" t="str">
        <f t="shared" si="44"/>
        <v/>
      </c>
      <c r="O488" s="256">
        <f t="shared" si="46"/>
        <v>0</v>
      </c>
      <c r="P488" s="257" t="str">
        <f t="shared" si="45"/>
        <v>×</v>
      </c>
      <c r="Q488" s="272" t="str">
        <f t="shared" si="47"/>
        <v/>
      </c>
    </row>
    <row r="489" spans="2:17">
      <c r="B489" s="65"/>
      <c r="C489" s="54"/>
      <c r="D489" s="261" t="str">
        <f t="shared" si="43"/>
        <v/>
      </c>
      <c r="E489" s="262" t="str">
        <f t="shared" si="48"/>
        <v/>
      </c>
      <c r="F489" s="125" t="str">
        <f>IF(G489="","",VLOOKUP(G489,プルダウン用リスト!$K$1:$M$16,2,FALSE))</f>
        <v/>
      </c>
      <c r="G489" s="67"/>
      <c r="H489" s="67"/>
      <c r="I489" s="67"/>
      <c r="J489" s="134"/>
      <c r="K489" s="68"/>
      <c r="L489" s="69"/>
      <c r="M489" s="69"/>
      <c r="N489" s="260" t="str">
        <f t="shared" si="44"/>
        <v/>
      </c>
      <c r="O489" s="256">
        <f t="shared" si="46"/>
        <v>0</v>
      </c>
      <c r="P489" s="257" t="str">
        <f t="shared" si="45"/>
        <v>×</v>
      </c>
      <c r="Q489" s="272" t="str">
        <f t="shared" si="47"/>
        <v/>
      </c>
    </row>
    <row r="490" spans="2:17">
      <c r="B490" s="65"/>
      <c r="C490" s="54"/>
      <c r="D490" s="261" t="str">
        <f t="shared" si="43"/>
        <v/>
      </c>
      <c r="E490" s="262" t="str">
        <f t="shared" si="48"/>
        <v/>
      </c>
      <c r="F490" s="125" t="str">
        <f>IF(G490="","",VLOOKUP(G490,プルダウン用リスト!$K$1:$M$16,2,FALSE))</f>
        <v/>
      </c>
      <c r="G490" s="67"/>
      <c r="H490" s="55"/>
      <c r="I490" s="67"/>
      <c r="J490" s="134"/>
      <c r="K490" s="68"/>
      <c r="L490" s="69"/>
      <c r="M490" s="69"/>
      <c r="N490" s="260" t="str">
        <f t="shared" si="44"/>
        <v/>
      </c>
      <c r="O490" s="256">
        <f t="shared" si="46"/>
        <v>0</v>
      </c>
      <c r="P490" s="257" t="str">
        <f t="shared" si="45"/>
        <v>×</v>
      </c>
      <c r="Q490" s="272" t="str">
        <f t="shared" si="47"/>
        <v/>
      </c>
    </row>
    <row r="491" spans="2:17">
      <c r="B491" s="65"/>
      <c r="C491" s="54"/>
      <c r="D491" s="261" t="str">
        <f t="shared" si="43"/>
        <v/>
      </c>
      <c r="E491" s="262" t="str">
        <f t="shared" si="48"/>
        <v/>
      </c>
      <c r="F491" s="125" t="str">
        <f>IF(G491="","",VLOOKUP(G491,プルダウン用リスト!$K$1:$M$16,2,FALSE))</f>
        <v/>
      </c>
      <c r="G491" s="67"/>
      <c r="H491" s="55"/>
      <c r="I491" s="67"/>
      <c r="J491" s="134"/>
      <c r="K491" s="68"/>
      <c r="L491" s="69"/>
      <c r="M491" s="69"/>
      <c r="N491" s="260" t="str">
        <f t="shared" si="44"/>
        <v/>
      </c>
      <c r="O491" s="256">
        <f t="shared" si="46"/>
        <v>0</v>
      </c>
      <c r="P491" s="257" t="str">
        <f t="shared" si="45"/>
        <v>×</v>
      </c>
      <c r="Q491" s="272" t="str">
        <f t="shared" si="47"/>
        <v/>
      </c>
    </row>
    <row r="492" spans="2:17">
      <c r="B492" s="65"/>
      <c r="C492" s="54"/>
      <c r="D492" s="261" t="str">
        <f t="shared" si="43"/>
        <v/>
      </c>
      <c r="E492" s="262" t="str">
        <f t="shared" si="48"/>
        <v/>
      </c>
      <c r="F492" s="125" t="str">
        <f>IF(G492="","",VLOOKUP(G492,プルダウン用リスト!$K$1:$M$16,2,FALSE))</f>
        <v/>
      </c>
      <c r="G492" s="67"/>
      <c r="H492" s="67"/>
      <c r="I492" s="67"/>
      <c r="J492" s="134"/>
      <c r="K492" s="68"/>
      <c r="L492" s="69"/>
      <c r="M492" s="69"/>
      <c r="N492" s="260" t="str">
        <f t="shared" si="44"/>
        <v/>
      </c>
      <c r="O492" s="256">
        <f t="shared" si="46"/>
        <v>0</v>
      </c>
      <c r="P492" s="257" t="str">
        <f t="shared" si="45"/>
        <v>×</v>
      </c>
      <c r="Q492" s="272" t="str">
        <f t="shared" si="47"/>
        <v/>
      </c>
    </row>
    <row r="493" spans="2:17">
      <c r="B493" s="65"/>
      <c r="C493" s="54"/>
      <c r="D493" s="261" t="str">
        <f t="shared" si="43"/>
        <v/>
      </c>
      <c r="E493" s="262" t="str">
        <f t="shared" si="48"/>
        <v/>
      </c>
      <c r="F493" s="125" t="str">
        <f>IF(G493="","",VLOOKUP(G493,プルダウン用リスト!$K$1:$M$16,2,FALSE))</f>
        <v/>
      </c>
      <c r="G493" s="67"/>
      <c r="H493" s="55"/>
      <c r="I493" s="67"/>
      <c r="J493" s="134"/>
      <c r="K493" s="68"/>
      <c r="L493" s="69"/>
      <c r="M493" s="69"/>
      <c r="N493" s="260" t="str">
        <f t="shared" si="44"/>
        <v/>
      </c>
      <c r="O493" s="256">
        <f t="shared" si="46"/>
        <v>0</v>
      </c>
      <c r="P493" s="257" t="str">
        <f t="shared" si="45"/>
        <v>×</v>
      </c>
      <c r="Q493" s="272" t="str">
        <f t="shared" si="47"/>
        <v/>
      </c>
    </row>
    <row r="494" spans="2:17">
      <c r="B494" s="65"/>
      <c r="C494" s="54"/>
      <c r="D494" s="261" t="str">
        <f t="shared" si="43"/>
        <v/>
      </c>
      <c r="E494" s="262" t="str">
        <f t="shared" si="48"/>
        <v/>
      </c>
      <c r="F494" s="125" t="str">
        <f>IF(G494="","",VLOOKUP(G494,プルダウン用リスト!$K$1:$M$16,2,FALSE))</f>
        <v/>
      </c>
      <c r="G494" s="67"/>
      <c r="H494" s="55"/>
      <c r="I494" s="67"/>
      <c r="J494" s="134"/>
      <c r="K494" s="68"/>
      <c r="L494" s="69"/>
      <c r="M494" s="69"/>
      <c r="N494" s="260" t="str">
        <f t="shared" si="44"/>
        <v/>
      </c>
      <c r="O494" s="256">
        <f t="shared" si="46"/>
        <v>0</v>
      </c>
      <c r="P494" s="257" t="str">
        <f t="shared" si="45"/>
        <v>×</v>
      </c>
      <c r="Q494" s="272" t="str">
        <f t="shared" si="47"/>
        <v/>
      </c>
    </row>
    <row r="495" spans="2:17">
      <c r="B495" s="65"/>
      <c r="C495" s="54"/>
      <c r="D495" s="261" t="str">
        <f t="shared" si="43"/>
        <v/>
      </c>
      <c r="E495" s="262" t="str">
        <f t="shared" si="48"/>
        <v/>
      </c>
      <c r="F495" s="125" t="str">
        <f>IF(G495="","",VLOOKUP(G495,プルダウン用リスト!$K$1:$M$16,2,FALSE))</f>
        <v/>
      </c>
      <c r="G495" s="67"/>
      <c r="H495" s="67"/>
      <c r="I495" s="67"/>
      <c r="J495" s="134"/>
      <c r="K495" s="68"/>
      <c r="L495" s="69"/>
      <c r="M495" s="69"/>
      <c r="N495" s="260" t="str">
        <f t="shared" si="44"/>
        <v/>
      </c>
      <c r="O495" s="256">
        <f t="shared" si="46"/>
        <v>0</v>
      </c>
      <c r="P495" s="257" t="str">
        <f t="shared" si="45"/>
        <v>×</v>
      </c>
      <c r="Q495" s="272" t="str">
        <f t="shared" si="47"/>
        <v/>
      </c>
    </row>
    <row r="496" spans="2:17">
      <c r="B496" s="65"/>
      <c r="C496" s="54"/>
      <c r="D496" s="261" t="str">
        <f t="shared" si="43"/>
        <v/>
      </c>
      <c r="E496" s="262" t="str">
        <f t="shared" si="48"/>
        <v/>
      </c>
      <c r="F496" s="125" t="str">
        <f>IF(G496="","",VLOOKUP(G496,プルダウン用リスト!$K$1:$M$16,2,FALSE))</f>
        <v/>
      </c>
      <c r="G496" s="67"/>
      <c r="H496" s="55"/>
      <c r="I496" s="67"/>
      <c r="J496" s="134"/>
      <c r="K496" s="68"/>
      <c r="L496" s="69"/>
      <c r="M496" s="69"/>
      <c r="N496" s="260" t="str">
        <f t="shared" si="44"/>
        <v/>
      </c>
      <c r="O496" s="256">
        <f t="shared" si="46"/>
        <v>0</v>
      </c>
      <c r="P496" s="257" t="str">
        <f t="shared" si="45"/>
        <v>×</v>
      </c>
      <c r="Q496" s="272" t="str">
        <f t="shared" si="47"/>
        <v/>
      </c>
    </row>
    <row r="497" spans="2:17">
      <c r="B497" s="65"/>
      <c r="C497" s="54"/>
      <c r="D497" s="261" t="str">
        <f t="shared" si="43"/>
        <v/>
      </c>
      <c r="E497" s="262" t="str">
        <f t="shared" si="48"/>
        <v/>
      </c>
      <c r="F497" s="125" t="str">
        <f>IF(G497="","",VLOOKUP(G497,プルダウン用リスト!$K$1:$M$16,2,FALSE))</f>
        <v/>
      </c>
      <c r="G497" s="67"/>
      <c r="H497" s="55"/>
      <c r="I497" s="67"/>
      <c r="J497" s="134"/>
      <c r="K497" s="68"/>
      <c r="L497" s="69"/>
      <c r="M497" s="69"/>
      <c r="N497" s="260" t="str">
        <f t="shared" si="44"/>
        <v/>
      </c>
      <c r="O497" s="256">
        <f t="shared" si="46"/>
        <v>0</v>
      </c>
      <c r="P497" s="257" t="str">
        <f t="shared" si="45"/>
        <v>×</v>
      </c>
      <c r="Q497" s="272" t="str">
        <f t="shared" si="47"/>
        <v/>
      </c>
    </row>
    <row r="498" spans="2:17">
      <c r="B498" s="65"/>
      <c r="C498" s="66"/>
      <c r="D498" s="261" t="str">
        <f t="shared" si="43"/>
        <v/>
      </c>
      <c r="E498" s="262" t="str">
        <f t="shared" si="48"/>
        <v/>
      </c>
      <c r="F498" s="125" t="str">
        <f>IF(G498="","",VLOOKUP(G498,プルダウン用リスト!$K$1:$M$16,2,FALSE))</f>
        <v/>
      </c>
      <c r="G498" s="67"/>
      <c r="H498" s="67"/>
      <c r="I498" s="67"/>
      <c r="J498" s="134"/>
      <c r="K498" s="68"/>
      <c r="L498" s="69"/>
      <c r="M498" s="69"/>
      <c r="N498" s="260" t="str">
        <f t="shared" si="44"/>
        <v/>
      </c>
      <c r="O498" s="256">
        <f t="shared" si="46"/>
        <v>0</v>
      </c>
      <c r="P498" s="257" t="str">
        <f t="shared" si="45"/>
        <v>×</v>
      </c>
      <c r="Q498" s="272" t="str">
        <f t="shared" si="47"/>
        <v/>
      </c>
    </row>
    <row r="499" spans="2:17">
      <c r="B499" s="65"/>
      <c r="C499" s="54"/>
      <c r="D499" s="261" t="str">
        <f t="shared" si="43"/>
        <v/>
      </c>
      <c r="E499" s="262" t="str">
        <f t="shared" si="48"/>
        <v/>
      </c>
      <c r="F499" s="125" t="str">
        <f>IF(G499="","",VLOOKUP(G499,プルダウン用リスト!$K$1:$M$16,2,FALSE))</f>
        <v/>
      </c>
      <c r="G499" s="67"/>
      <c r="H499" s="55"/>
      <c r="I499" s="67"/>
      <c r="J499" s="134"/>
      <c r="K499" s="68"/>
      <c r="L499" s="69"/>
      <c r="M499" s="69"/>
      <c r="N499" s="260" t="str">
        <f t="shared" si="44"/>
        <v/>
      </c>
      <c r="O499" s="256">
        <f t="shared" si="46"/>
        <v>0</v>
      </c>
      <c r="P499" s="257" t="str">
        <f t="shared" si="45"/>
        <v>×</v>
      </c>
      <c r="Q499" s="272" t="str">
        <f t="shared" si="47"/>
        <v/>
      </c>
    </row>
    <row r="500" spans="2:17">
      <c r="B500" s="65"/>
      <c r="C500" s="54"/>
      <c r="D500" s="261" t="str">
        <f t="shared" si="43"/>
        <v/>
      </c>
      <c r="E500" s="262" t="str">
        <f t="shared" si="48"/>
        <v/>
      </c>
      <c r="F500" s="125" t="str">
        <f>IF(G500="","",VLOOKUP(G500,プルダウン用リスト!$K$1:$M$16,2,FALSE))</f>
        <v/>
      </c>
      <c r="G500" s="67"/>
      <c r="H500" s="55"/>
      <c r="I500" s="67"/>
      <c r="J500" s="134"/>
      <c r="K500" s="68"/>
      <c r="L500" s="69"/>
      <c r="M500" s="69"/>
      <c r="N500" s="260" t="str">
        <f t="shared" si="44"/>
        <v/>
      </c>
      <c r="O500" s="256">
        <f t="shared" si="46"/>
        <v>0</v>
      </c>
      <c r="P500" s="257" t="str">
        <f t="shared" si="45"/>
        <v>×</v>
      </c>
      <c r="Q500" s="272" t="str">
        <f t="shared" si="47"/>
        <v/>
      </c>
    </row>
    <row r="501" spans="2:17">
      <c r="B501" s="65"/>
      <c r="C501" s="54"/>
      <c r="D501" s="261" t="str">
        <f t="shared" si="43"/>
        <v/>
      </c>
      <c r="E501" s="262" t="str">
        <f t="shared" si="48"/>
        <v/>
      </c>
      <c r="F501" s="125" t="str">
        <f>IF(G501="","",VLOOKUP(G501,プルダウン用リスト!$K$1:$M$16,2,FALSE))</f>
        <v/>
      </c>
      <c r="G501" s="67"/>
      <c r="H501" s="67"/>
      <c r="I501" s="67"/>
      <c r="J501" s="134"/>
      <c r="K501" s="68"/>
      <c r="L501" s="69"/>
      <c r="M501" s="69"/>
      <c r="N501" s="260" t="str">
        <f t="shared" si="44"/>
        <v/>
      </c>
      <c r="O501" s="256">
        <f t="shared" si="46"/>
        <v>0</v>
      </c>
      <c r="P501" s="257" t="str">
        <f t="shared" si="45"/>
        <v>×</v>
      </c>
      <c r="Q501" s="272" t="str">
        <f t="shared" si="47"/>
        <v/>
      </c>
    </row>
    <row r="502" spans="2:17">
      <c r="B502" s="65"/>
      <c r="C502" s="54"/>
      <c r="D502" s="261" t="str">
        <f t="shared" si="43"/>
        <v/>
      </c>
      <c r="E502" s="262" t="str">
        <f t="shared" si="48"/>
        <v/>
      </c>
      <c r="F502" s="125" t="str">
        <f>IF(G502="","",VLOOKUP(G502,プルダウン用リスト!$K$1:$M$16,2,FALSE))</f>
        <v/>
      </c>
      <c r="G502" s="67"/>
      <c r="H502" s="55"/>
      <c r="I502" s="67"/>
      <c r="J502" s="134"/>
      <c r="K502" s="68"/>
      <c r="L502" s="69"/>
      <c r="M502" s="69"/>
      <c r="N502" s="260" t="str">
        <f t="shared" si="44"/>
        <v/>
      </c>
      <c r="O502" s="256">
        <f t="shared" si="46"/>
        <v>0</v>
      </c>
      <c r="P502" s="257" t="str">
        <f t="shared" si="45"/>
        <v>×</v>
      </c>
      <c r="Q502" s="272" t="str">
        <f t="shared" si="47"/>
        <v/>
      </c>
    </row>
    <row r="503" spans="2:17">
      <c r="B503" s="65"/>
      <c r="C503" s="54"/>
      <c r="D503" s="261" t="str">
        <f t="shared" si="43"/>
        <v/>
      </c>
      <c r="E503" s="262" t="str">
        <f t="shared" si="48"/>
        <v/>
      </c>
      <c r="F503" s="125" t="str">
        <f>IF(G503="","",VLOOKUP(G503,プルダウン用リスト!$K$1:$M$16,2,FALSE))</f>
        <v/>
      </c>
      <c r="G503" s="67"/>
      <c r="H503" s="55"/>
      <c r="I503" s="67"/>
      <c r="J503" s="134"/>
      <c r="K503" s="68"/>
      <c r="L503" s="69"/>
      <c r="M503" s="69"/>
      <c r="N503" s="260" t="str">
        <f t="shared" si="44"/>
        <v/>
      </c>
      <c r="O503" s="256">
        <f t="shared" si="46"/>
        <v>0</v>
      </c>
      <c r="P503" s="257" t="str">
        <f t="shared" si="45"/>
        <v>×</v>
      </c>
      <c r="Q503" s="272" t="str">
        <f t="shared" si="47"/>
        <v/>
      </c>
    </row>
    <row r="504" spans="2:17">
      <c r="B504" s="65"/>
      <c r="C504" s="54"/>
      <c r="D504" s="261" t="str">
        <f t="shared" si="43"/>
        <v/>
      </c>
      <c r="E504" s="262" t="str">
        <f t="shared" si="48"/>
        <v/>
      </c>
      <c r="F504" s="125" t="str">
        <f>IF(G504="","",VLOOKUP(G504,プルダウン用リスト!$K$1:$M$16,2,FALSE))</f>
        <v/>
      </c>
      <c r="G504" s="67"/>
      <c r="H504" s="67"/>
      <c r="I504" s="67"/>
      <c r="J504" s="134"/>
      <c r="K504" s="68"/>
      <c r="L504" s="69"/>
      <c r="M504" s="69"/>
      <c r="N504" s="260" t="str">
        <f t="shared" si="44"/>
        <v/>
      </c>
      <c r="O504" s="256">
        <f t="shared" si="46"/>
        <v>0</v>
      </c>
      <c r="P504" s="257" t="str">
        <f t="shared" si="45"/>
        <v>×</v>
      </c>
      <c r="Q504" s="272" t="str">
        <f t="shared" si="47"/>
        <v/>
      </c>
    </row>
    <row r="505" spans="2:17">
      <c r="B505" s="65"/>
      <c r="C505" s="54"/>
      <c r="D505" s="261" t="str">
        <f t="shared" si="43"/>
        <v/>
      </c>
      <c r="E505" s="262" t="str">
        <f t="shared" si="48"/>
        <v/>
      </c>
      <c r="F505" s="125" t="str">
        <f>IF(G505="","",VLOOKUP(G505,プルダウン用リスト!$K$1:$M$16,2,FALSE))</f>
        <v/>
      </c>
      <c r="G505" s="67"/>
      <c r="H505" s="55"/>
      <c r="I505" s="67"/>
      <c r="J505" s="134"/>
      <c r="K505" s="68"/>
      <c r="L505" s="69"/>
      <c r="M505" s="69"/>
      <c r="N505" s="260" t="str">
        <f t="shared" si="44"/>
        <v/>
      </c>
      <c r="O505" s="256">
        <f t="shared" si="46"/>
        <v>0</v>
      </c>
      <c r="P505" s="257" t="str">
        <f t="shared" si="45"/>
        <v>×</v>
      </c>
      <c r="Q505" s="272" t="str">
        <f t="shared" si="47"/>
        <v/>
      </c>
    </row>
    <row r="506" spans="2:17">
      <c r="B506" s="65"/>
      <c r="C506" s="54"/>
      <c r="D506" s="261" t="str">
        <f t="shared" si="43"/>
        <v/>
      </c>
      <c r="E506" s="262" t="str">
        <f t="shared" si="48"/>
        <v/>
      </c>
      <c r="F506" s="125" t="str">
        <f>IF(G506="","",VLOOKUP(G506,プルダウン用リスト!$K$1:$M$16,2,FALSE))</f>
        <v/>
      </c>
      <c r="G506" s="67"/>
      <c r="H506" s="55"/>
      <c r="I506" s="67"/>
      <c r="J506" s="134"/>
      <c r="K506" s="68"/>
      <c r="L506" s="69"/>
      <c r="M506" s="69"/>
      <c r="N506" s="260" t="str">
        <f t="shared" si="44"/>
        <v/>
      </c>
      <c r="O506" s="256">
        <f t="shared" si="46"/>
        <v>0</v>
      </c>
      <c r="P506" s="257" t="str">
        <f t="shared" si="45"/>
        <v>×</v>
      </c>
      <c r="Q506" s="272" t="str">
        <f t="shared" si="47"/>
        <v/>
      </c>
    </row>
    <row r="507" spans="2:17">
      <c r="B507" s="65"/>
      <c r="C507" s="54"/>
      <c r="D507" s="261" t="str">
        <f t="shared" si="43"/>
        <v/>
      </c>
      <c r="E507" s="262" t="str">
        <f t="shared" si="48"/>
        <v/>
      </c>
      <c r="F507" s="125" t="str">
        <f>IF(G507="","",VLOOKUP(G507,プルダウン用リスト!$K$1:$M$16,2,FALSE))</f>
        <v/>
      </c>
      <c r="G507" s="67"/>
      <c r="H507" s="67"/>
      <c r="I507" s="67"/>
      <c r="J507" s="134"/>
      <c r="K507" s="68"/>
      <c r="L507" s="69"/>
      <c r="M507" s="69"/>
      <c r="N507" s="260" t="str">
        <f t="shared" si="44"/>
        <v/>
      </c>
      <c r="O507" s="256">
        <f t="shared" si="46"/>
        <v>0</v>
      </c>
      <c r="P507" s="257" t="str">
        <f t="shared" si="45"/>
        <v>×</v>
      </c>
      <c r="Q507" s="272" t="str">
        <f t="shared" si="47"/>
        <v/>
      </c>
    </row>
    <row r="508" spans="2:17">
      <c r="B508" s="65"/>
      <c r="C508" s="54"/>
      <c r="D508" s="261" t="str">
        <f t="shared" si="43"/>
        <v/>
      </c>
      <c r="E508" s="262" t="str">
        <f t="shared" si="48"/>
        <v/>
      </c>
      <c r="F508" s="125" t="str">
        <f>IF(G508="","",VLOOKUP(G508,プルダウン用リスト!$K$1:$M$16,2,FALSE))</f>
        <v/>
      </c>
      <c r="G508" s="67"/>
      <c r="H508" s="55"/>
      <c r="I508" s="67"/>
      <c r="J508" s="134"/>
      <c r="K508" s="68"/>
      <c r="L508" s="69"/>
      <c r="M508" s="69"/>
      <c r="N508" s="260" t="str">
        <f t="shared" si="44"/>
        <v/>
      </c>
      <c r="O508" s="256">
        <f t="shared" si="46"/>
        <v>0</v>
      </c>
      <c r="P508" s="257" t="str">
        <f t="shared" si="45"/>
        <v>×</v>
      </c>
      <c r="Q508" s="272" t="str">
        <f t="shared" si="47"/>
        <v/>
      </c>
    </row>
    <row r="509" spans="2:17">
      <c r="B509" s="65"/>
      <c r="C509" s="54"/>
      <c r="D509" s="261" t="str">
        <f t="shared" si="43"/>
        <v/>
      </c>
      <c r="E509" s="262" t="str">
        <f t="shared" si="48"/>
        <v/>
      </c>
      <c r="F509" s="125" t="str">
        <f>IF(G509="","",VLOOKUP(G509,プルダウン用リスト!$K$1:$M$16,2,FALSE))</f>
        <v/>
      </c>
      <c r="G509" s="67"/>
      <c r="H509" s="55"/>
      <c r="I509" s="67"/>
      <c r="J509" s="134"/>
      <c r="K509" s="68"/>
      <c r="L509" s="69"/>
      <c r="M509" s="69"/>
      <c r="N509" s="260" t="str">
        <f t="shared" si="44"/>
        <v/>
      </c>
      <c r="O509" s="256">
        <f t="shared" si="46"/>
        <v>0</v>
      </c>
      <c r="P509" s="257" t="str">
        <f t="shared" si="45"/>
        <v>×</v>
      </c>
      <c r="Q509" s="272" t="str">
        <f t="shared" si="47"/>
        <v/>
      </c>
    </row>
    <row r="510" spans="2:17">
      <c r="B510" s="65"/>
      <c r="C510" s="66"/>
      <c r="D510" s="261" t="str">
        <f t="shared" si="43"/>
        <v/>
      </c>
      <c r="E510" s="262" t="str">
        <f t="shared" si="48"/>
        <v/>
      </c>
      <c r="F510" s="125" t="str">
        <f>IF(G510="","",VLOOKUP(G510,プルダウン用リスト!$K$1:$M$16,2,FALSE))</f>
        <v/>
      </c>
      <c r="G510" s="67"/>
      <c r="H510" s="67"/>
      <c r="I510" s="67"/>
      <c r="J510" s="134"/>
      <c r="K510" s="68"/>
      <c r="L510" s="69"/>
      <c r="M510" s="69"/>
      <c r="N510" s="260" t="str">
        <f t="shared" si="44"/>
        <v/>
      </c>
      <c r="O510" s="256">
        <f t="shared" si="46"/>
        <v>0</v>
      </c>
      <c r="P510" s="257" t="str">
        <f t="shared" si="45"/>
        <v>×</v>
      </c>
      <c r="Q510" s="272" t="str">
        <f t="shared" si="47"/>
        <v/>
      </c>
    </row>
    <row r="511" spans="2:17">
      <c r="B511" s="65"/>
      <c r="C511" s="54"/>
      <c r="D511" s="261" t="str">
        <f t="shared" si="43"/>
        <v/>
      </c>
      <c r="E511" s="262" t="str">
        <f t="shared" si="48"/>
        <v/>
      </c>
      <c r="F511" s="125" t="str">
        <f>IF(G511="","",VLOOKUP(G511,プルダウン用リスト!$K$1:$M$16,2,FALSE))</f>
        <v/>
      </c>
      <c r="G511" s="67"/>
      <c r="H511" s="55"/>
      <c r="I511" s="67"/>
      <c r="J511" s="134"/>
      <c r="K511" s="68"/>
      <c r="L511" s="69"/>
      <c r="M511" s="69"/>
      <c r="N511" s="260" t="str">
        <f t="shared" si="44"/>
        <v/>
      </c>
      <c r="O511" s="256">
        <f t="shared" si="46"/>
        <v>0</v>
      </c>
      <c r="P511" s="257" t="str">
        <f t="shared" si="45"/>
        <v>×</v>
      </c>
      <c r="Q511" s="272" t="str">
        <f t="shared" si="47"/>
        <v/>
      </c>
    </row>
    <row r="512" spans="2:17">
      <c r="B512" s="65"/>
      <c r="C512" s="54"/>
      <c r="D512" s="261" t="str">
        <f t="shared" si="43"/>
        <v/>
      </c>
      <c r="E512" s="262" t="str">
        <f t="shared" si="48"/>
        <v/>
      </c>
      <c r="F512" s="125" t="str">
        <f>IF(G512="","",VLOOKUP(G512,プルダウン用リスト!$K$1:$M$16,2,FALSE))</f>
        <v/>
      </c>
      <c r="G512" s="67"/>
      <c r="H512" s="55"/>
      <c r="I512" s="67"/>
      <c r="J512" s="134"/>
      <c r="K512" s="68"/>
      <c r="L512" s="69"/>
      <c r="M512" s="69"/>
      <c r="N512" s="260" t="str">
        <f t="shared" si="44"/>
        <v/>
      </c>
      <c r="O512" s="256">
        <f t="shared" si="46"/>
        <v>0</v>
      </c>
      <c r="P512" s="257" t="str">
        <f t="shared" si="45"/>
        <v>×</v>
      </c>
      <c r="Q512" s="272" t="str">
        <f t="shared" si="47"/>
        <v/>
      </c>
    </row>
    <row r="513" spans="2:17">
      <c r="B513" s="65"/>
      <c r="C513" s="54"/>
      <c r="D513" s="261" t="str">
        <f t="shared" si="43"/>
        <v/>
      </c>
      <c r="E513" s="262" t="str">
        <f t="shared" si="48"/>
        <v/>
      </c>
      <c r="F513" s="125" t="str">
        <f>IF(G513="","",VLOOKUP(G513,プルダウン用リスト!$K$1:$M$16,2,FALSE))</f>
        <v/>
      </c>
      <c r="G513" s="67"/>
      <c r="H513" s="67"/>
      <c r="I513" s="67"/>
      <c r="J513" s="134"/>
      <c r="K513" s="68"/>
      <c r="L513" s="69"/>
      <c r="M513" s="69"/>
      <c r="N513" s="260" t="str">
        <f t="shared" si="44"/>
        <v/>
      </c>
      <c r="O513" s="256">
        <f t="shared" si="46"/>
        <v>0</v>
      </c>
      <c r="P513" s="257" t="str">
        <f t="shared" si="45"/>
        <v>×</v>
      </c>
      <c r="Q513" s="272" t="str">
        <f t="shared" si="47"/>
        <v/>
      </c>
    </row>
    <row r="514" spans="2:17">
      <c r="B514" s="65"/>
      <c r="C514" s="54"/>
      <c r="D514" s="261" t="str">
        <f t="shared" si="43"/>
        <v/>
      </c>
      <c r="E514" s="262" t="str">
        <f t="shared" si="48"/>
        <v/>
      </c>
      <c r="F514" s="125" t="str">
        <f>IF(G514="","",VLOOKUP(G514,プルダウン用リスト!$K$1:$M$16,2,FALSE))</f>
        <v/>
      </c>
      <c r="G514" s="67"/>
      <c r="H514" s="55"/>
      <c r="I514" s="67"/>
      <c r="J514" s="134"/>
      <c r="K514" s="68"/>
      <c r="L514" s="69"/>
      <c r="M514" s="69"/>
      <c r="N514" s="260" t="str">
        <f t="shared" si="44"/>
        <v/>
      </c>
      <c r="O514" s="256">
        <f t="shared" si="46"/>
        <v>0</v>
      </c>
      <c r="P514" s="257" t="str">
        <f t="shared" si="45"/>
        <v>×</v>
      </c>
      <c r="Q514" s="272" t="str">
        <f t="shared" si="47"/>
        <v/>
      </c>
    </row>
    <row r="515" spans="2:17">
      <c r="B515" s="65"/>
      <c r="C515" s="54"/>
      <c r="D515" s="261" t="str">
        <f t="shared" si="43"/>
        <v/>
      </c>
      <c r="E515" s="262" t="str">
        <f t="shared" si="48"/>
        <v/>
      </c>
      <c r="F515" s="125" t="str">
        <f>IF(G515="","",VLOOKUP(G515,プルダウン用リスト!$K$1:$M$16,2,FALSE))</f>
        <v/>
      </c>
      <c r="G515" s="67"/>
      <c r="H515" s="55"/>
      <c r="I515" s="67"/>
      <c r="J515" s="134"/>
      <c r="K515" s="68"/>
      <c r="L515" s="69"/>
      <c r="M515" s="69"/>
      <c r="N515" s="260" t="str">
        <f t="shared" si="44"/>
        <v/>
      </c>
      <c r="O515" s="256">
        <f t="shared" si="46"/>
        <v>0</v>
      </c>
      <c r="P515" s="257" t="str">
        <f t="shared" si="45"/>
        <v>×</v>
      </c>
      <c r="Q515" s="272" t="str">
        <f t="shared" si="47"/>
        <v/>
      </c>
    </row>
    <row r="516" spans="2:17">
      <c r="B516" s="65"/>
      <c r="C516" s="54"/>
      <c r="D516" s="261" t="str">
        <f t="shared" si="43"/>
        <v/>
      </c>
      <c r="E516" s="262" t="str">
        <f t="shared" si="48"/>
        <v/>
      </c>
      <c r="F516" s="125" t="str">
        <f>IF(G516="","",VLOOKUP(G516,プルダウン用リスト!$K$1:$M$16,2,FALSE))</f>
        <v/>
      </c>
      <c r="G516" s="67"/>
      <c r="H516" s="67"/>
      <c r="I516" s="67"/>
      <c r="J516" s="134"/>
      <c r="K516" s="68"/>
      <c r="L516" s="69"/>
      <c r="M516" s="69"/>
      <c r="N516" s="260" t="str">
        <f t="shared" si="44"/>
        <v/>
      </c>
      <c r="O516" s="256">
        <f t="shared" si="46"/>
        <v>0</v>
      </c>
      <c r="P516" s="257" t="str">
        <f t="shared" si="45"/>
        <v>×</v>
      </c>
      <c r="Q516" s="272" t="str">
        <f t="shared" si="47"/>
        <v/>
      </c>
    </row>
    <row r="517" spans="2:17">
      <c r="B517" s="65"/>
      <c r="C517" s="54"/>
      <c r="D517" s="261" t="str">
        <f t="shared" si="43"/>
        <v/>
      </c>
      <c r="E517" s="262" t="str">
        <f t="shared" si="48"/>
        <v/>
      </c>
      <c r="F517" s="125" t="str">
        <f>IF(G517="","",VLOOKUP(G517,プルダウン用リスト!$K$1:$M$16,2,FALSE))</f>
        <v/>
      </c>
      <c r="G517" s="67"/>
      <c r="H517" s="55"/>
      <c r="I517" s="67"/>
      <c r="J517" s="134"/>
      <c r="K517" s="68"/>
      <c r="L517" s="69"/>
      <c r="M517" s="69"/>
      <c r="N517" s="260" t="str">
        <f t="shared" si="44"/>
        <v/>
      </c>
      <c r="O517" s="256">
        <f t="shared" si="46"/>
        <v>0</v>
      </c>
      <c r="P517" s="257" t="str">
        <f t="shared" si="45"/>
        <v>×</v>
      </c>
      <c r="Q517" s="272" t="str">
        <f t="shared" si="47"/>
        <v/>
      </c>
    </row>
    <row r="518" spans="2:17">
      <c r="B518" s="65"/>
      <c r="C518" s="54"/>
      <c r="D518" s="261" t="str">
        <f t="shared" si="43"/>
        <v/>
      </c>
      <c r="E518" s="262" t="str">
        <f t="shared" si="48"/>
        <v/>
      </c>
      <c r="F518" s="125" t="str">
        <f>IF(G518="","",VLOOKUP(G518,プルダウン用リスト!$K$1:$M$16,2,FALSE))</f>
        <v/>
      </c>
      <c r="G518" s="67"/>
      <c r="H518" s="55"/>
      <c r="I518" s="67"/>
      <c r="J518" s="134"/>
      <c r="K518" s="68"/>
      <c r="L518" s="69"/>
      <c r="M518" s="69"/>
      <c r="N518" s="260" t="str">
        <f t="shared" si="44"/>
        <v/>
      </c>
      <c r="O518" s="256">
        <f t="shared" si="46"/>
        <v>0</v>
      </c>
      <c r="P518" s="257" t="str">
        <f t="shared" si="45"/>
        <v>×</v>
      </c>
      <c r="Q518" s="272" t="str">
        <f t="shared" si="47"/>
        <v/>
      </c>
    </row>
    <row r="519" spans="2:17">
      <c r="B519" s="65"/>
      <c r="C519" s="54"/>
      <c r="D519" s="261" t="str">
        <f t="shared" ref="D519:D582" si="49">IF(E519="","",IF(E519="謝金","01.",IF(E519="旅費","02.",IF(E519="その他","04.","03."))))</f>
        <v/>
      </c>
      <c r="E519" s="262" t="str">
        <f t="shared" si="48"/>
        <v/>
      </c>
      <c r="F519" s="125" t="str">
        <f>IF(G519="","",VLOOKUP(G519,プルダウン用リスト!$K$1:$M$16,2,FALSE))</f>
        <v/>
      </c>
      <c r="G519" s="67"/>
      <c r="H519" s="67"/>
      <c r="I519" s="67"/>
      <c r="J519" s="134"/>
      <c r="K519" s="68"/>
      <c r="L519" s="69"/>
      <c r="M519" s="69"/>
      <c r="N519" s="260" t="str">
        <f t="shared" ref="N519:N582" si="50">IF(G519="16.対象外経費",L519,IF(M519="","",L519-M519))</f>
        <v/>
      </c>
      <c r="O519" s="256">
        <f t="shared" si="46"/>
        <v>0</v>
      </c>
      <c r="P519" s="257" t="str">
        <f t="shared" ref="P519:P582" si="51">IF(G519="2.旅費","〇","×")</f>
        <v>×</v>
      </c>
      <c r="Q519" s="272" t="str">
        <f t="shared" si="47"/>
        <v/>
      </c>
    </row>
    <row r="520" spans="2:17">
      <c r="B520" s="65"/>
      <c r="C520" s="54"/>
      <c r="D520" s="261" t="str">
        <f t="shared" si="49"/>
        <v/>
      </c>
      <c r="E520" s="262" t="str">
        <f t="shared" si="48"/>
        <v/>
      </c>
      <c r="F520" s="125" t="str">
        <f>IF(G520="","",VLOOKUP(G520,プルダウン用リスト!$K$1:$M$16,2,FALSE))</f>
        <v/>
      </c>
      <c r="G520" s="67"/>
      <c r="H520" s="55"/>
      <c r="I520" s="67"/>
      <c r="J520" s="134"/>
      <c r="K520" s="68"/>
      <c r="L520" s="69"/>
      <c r="M520" s="69"/>
      <c r="N520" s="260" t="str">
        <f t="shared" si="50"/>
        <v/>
      </c>
      <c r="O520" s="256">
        <f t="shared" ref="O520:O583" si="52">IF(L520&gt;0,COUNTA(B520,C520,G520,H520,I520,K520,,L520,J520),0)</f>
        <v>0</v>
      </c>
      <c r="P520" s="257" t="str">
        <f t="shared" si="51"/>
        <v>×</v>
      </c>
      <c r="Q520" s="272" t="str">
        <f t="shared" ref="Q520:Q583" si="53">_xlfn.IFS(O520=0,"",AND(G520="16.対象外経費",O520=7),"OK",O520&lt;=7,"ピンク色のセルを全て入力してください",O520=9,"OK",P520="〇","旅行区間および宿泊地を入力してください",O520=8,"OK")</f>
        <v/>
      </c>
    </row>
    <row r="521" spans="2:17">
      <c r="B521" s="65"/>
      <c r="C521" s="54"/>
      <c r="D521" s="261" t="str">
        <f t="shared" si="49"/>
        <v/>
      </c>
      <c r="E521" s="262" t="str">
        <f t="shared" si="48"/>
        <v/>
      </c>
      <c r="F521" s="125" t="str">
        <f>IF(G521="","",VLOOKUP(G521,プルダウン用リスト!$K$1:$M$16,2,FALSE))</f>
        <v/>
      </c>
      <c r="G521" s="67"/>
      <c r="H521" s="55"/>
      <c r="I521" s="67"/>
      <c r="J521" s="134"/>
      <c r="K521" s="68"/>
      <c r="L521" s="69"/>
      <c r="M521" s="69"/>
      <c r="N521" s="260" t="str">
        <f t="shared" si="50"/>
        <v/>
      </c>
      <c r="O521" s="256">
        <f t="shared" si="52"/>
        <v>0</v>
      </c>
      <c r="P521" s="257" t="str">
        <f t="shared" si="51"/>
        <v>×</v>
      </c>
      <c r="Q521" s="272" t="str">
        <f t="shared" si="53"/>
        <v/>
      </c>
    </row>
    <row r="522" spans="2:17">
      <c r="B522" s="65"/>
      <c r="C522" s="66"/>
      <c r="D522" s="261" t="str">
        <f t="shared" si="49"/>
        <v/>
      </c>
      <c r="E522" s="262" t="str">
        <f t="shared" si="48"/>
        <v/>
      </c>
      <c r="F522" s="125" t="str">
        <f>IF(G522="","",VLOOKUP(G522,プルダウン用リスト!$K$1:$M$16,2,FALSE))</f>
        <v/>
      </c>
      <c r="G522" s="67"/>
      <c r="H522" s="67"/>
      <c r="I522" s="67"/>
      <c r="J522" s="134"/>
      <c r="K522" s="68"/>
      <c r="L522" s="69"/>
      <c r="M522" s="69"/>
      <c r="N522" s="260" t="str">
        <f t="shared" si="50"/>
        <v/>
      </c>
      <c r="O522" s="256">
        <f t="shared" si="52"/>
        <v>0</v>
      </c>
      <c r="P522" s="257" t="str">
        <f t="shared" si="51"/>
        <v>×</v>
      </c>
      <c r="Q522" s="272" t="str">
        <f t="shared" si="53"/>
        <v/>
      </c>
    </row>
    <row r="523" spans="2:17">
      <c r="B523" s="65"/>
      <c r="C523" s="54"/>
      <c r="D523" s="261" t="str">
        <f t="shared" si="49"/>
        <v/>
      </c>
      <c r="E523" s="262" t="str">
        <f t="shared" si="48"/>
        <v/>
      </c>
      <c r="F523" s="125" t="str">
        <f>IF(G523="","",VLOOKUP(G523,プルダウン用リスト!$K$1:$M$16,2,FALSE))</f>
        <v/>
      </c>
      <c r="G523" s="67"/>
      <c r="H523" s="55"/>
      <c r="I523" s="67"/>
      <c r="J523" s="134"/>
      <c r="K523" s="68"/>
      <c r="L523" s="69"/>
      <c r="M523" s="69"/>
      <c r="N523" s="260" t="str">
        <f t="shared" si="50"/>
        <v/>
      </c>
      <c r="O523" s="256">
        <f t="shared" si="52"/>
        <v>0</v>
      </c>
      <c r="P523" s="257" t="str">
        <f t="shared" si="51"/>
        <v>×</v>
      </c>
      <c r="Q523" s="272" t="str">
        <f t="shared" si="53"/>
        <v/>
      </c>
    </row>
    <row r="524" spans="2:17">
      <c r="B524" s="65"/>
      <c r="C524" s="54"/>
      <c r="D524" s="261" t="str">
        <f t="shared" si="49"/>
        <v/>
      </c>
      <c r="E524" s="262" t="str">
        <f t="shared" si="48"/>
        <v/>
      </c>
      <c r="F524" s="125" t="str">
        <f>IF(G524="","",VLOOKUP(G524,プルダウン用リスト!$K$1:$M$16,2,FALSE))</f>
        <v/>
      </c>
      <c r="G524" s="67"/>
      <c r="H524" s="55"/>
      <c r="I524" s="67"/>
      <c r="J524" s="134"/>
      <c r="K524" s="68"/>
      <c r="L524" s="69"/>
      <c r="M524" s="69"/>
      <c r="N524" s="260" t="str">
        <f t="shared" si="50"/>
        <v/>
      </c>
      <c r="O524" s="256">
        <f t="shared" si="52"/>
        <v>0</v>
      </c>
      <c r="P524" s="257" t="str">
        <f t="shared" si="51"/>
        <v>×</v>
      </c>
      <c r="Q524" s="272" t="str">
        <f t="shared" si="53"/>
        <v/>
      </c>
    </row>
    <row r="525" spans="2:17">
      <c r="B525" s="65"/>
      <c r="C525" s="54"/>
      <c r="D525" s="261" t="str">
        <f t="shared" si="49"/>
        <v/>
      </c>
      <c r="E525" s="262" t="str">
        <f t="shared" si="48"/>
        <v/>
      </c>
      <c r="F525" s="125" t="str">
        <f>IF(G525="","",VLOOKUP(G525,プルダウン用リスト!$K$1:$M$16,2,FALSE))</f>
        <v/>
      </c>
      <c r="G525" s="67"/>
      <c r="H525" s="67"/>
      <c r="I525" s="67"/>
      <c r="J525" s="134"/>
      <c r="K525" s="68"/>
      <c r="L525" s="69"/>
      <c r="M525" s="69"/>
      <c r="N525" s="260" t="str">
        <f t="shared" si="50"/>
        <v/>
      </c>
      <c r="O525" s="256">
        <f t="shared" si="52"/>
        <v>0</v>
      </c>
      <c r="P525" s="257" t="str">
        <f t="shared" si="51"/>
        <v>×</v>
      </c>
      <c r="Q525" s="272" t="str">
        <f t="shared" si="53"/>
        <v/>
      </c>
    </row>
    <row r="526" spans="2:17">
      <c r="B526" s="65"/>
      <c r="C526" s="54"/>
      <c r="D526" s="261" t="str">
        <f t="shared" si="49"/>
        <v/>
      </c>
      <c r="E526" s="262" t="str">
        <f t="shared" si="48"/>
        <v/>
      </c>
      <c r="F526" s="125" t="str">
        <f>IF(G526="","",VLOOKUP(G526,プルダウン用リスト!$K$1:$M$16,2,FALSE))</f>
        <v/>
      </c>
      <c r="G526" s="67"/>
      <c r="H526" s="55"/>
      <c r="I526" s="67"/>
      <c r="J526" s="134"/>
      <c r="K526" s="68"/>
      <c r="L526" s="69"/>
      <c r="M526" s="69"/>
      <c r="N526" s="260" t="str">
        <f t="shared" si="50"/>
        <v/>
      </c>
      <c r="O526" s="256">
        <f t="shared" si="52"/>
        <v>0</v>
      </c>
      <c r="P526" s="257" t="str">
        <f t="shared" si="51"/>
        <v>×</v>
      </c>
      <c r="Q526" s="272" t="str">
        <f t="shared" si="53"/>
        <v/>
      </c>
    </row>
    <row r="527" spans="2:17">
      <c r="B527" s="65"/>
      <c r="C527" s="54"/>
      <c r="D527" s="261" t="str">
        <f t="shared" si="49"/>
        <v/>
      </c>
      <c r="E527" s="262" t="str">
        <f t="shared" si="48"/>
        <v/>
      </c>
      <c r="F527" s="125" t="str">
        <f>IF(G527="","",VLOOKUP(G527,プルダウン用リスト!$K$1:$M$16,2,FALSE))</f>
        <v/>
      </c>
      <c r="G527" s="67"/>
      <c r="H527" s="55"/>
      <c r="I527" s="67"/>
      <c r="J527" s="134"/>
      <c r="K527" s="68"/>
      <c r="L527" s="69"/>
      <c r="M527" s="69"/>
      <c r="N527" s="260" t="str">
        <f t="shared" si="50"/>
        <v/>
      </c>
      <c r="O527" s="256">
        <f t="shared" si="52"/>
        <v>0</v>
      </c>
      <c r="P527" s="257" t="str">
        <f t="shared" si="51"/>
        <v>×</v>
      </c>
      <c r="Q527" s="272" t="str">
        <f t="shared" si="53"/>
        <v/>
      </c>
    </row>
    <row r="528" spans="2:17">
      <c r="B528" s="65"/>
      <c r="C528" s="54"/>
      <c r="D528" s="261" t="str">
        <f t="shared" si="49"/>
        <v/>
      </c>
      <c r="E528" s="262" t="str">
        <f t="shared" si="48"/>
        <v/>
      </c>
      <c r="F528" s="125" t="str">
        <f>IF(G528="","",VLOOKUP(G528,プルダウン用リスト!$K$1:$M$16,2,FALSE))</f>
        <v/>
      </c>
      <c r="G528" s="67"/>
      <c r="H528" s="67"/>
      <c r="I528" s="67"/>
      <c r="J528" s="134"/>
      <c r="K528" s="68"/>
      <c r="L528" s="69"/>
      <c r="M528" s="69"/>
      <c r="N528" s="260" t="str">
        <f t="shared" si="50"/>
        <v/>
      </c>
      <c r="O528" s="256">
        <f t="shared" si="52"/>
        <v>0</v>
      </c>
      <c r="P528" s="257" t="str">
        <f t="shared" si="51"/>
        <v>×</v>
      </c>
      <c r="Q528" s="272" t="str">
        <f t="shared" si="53"/>
        <v/>
      </c>
    </row>
    <row r="529" spans="2:17">
      <c r="B529" s="65"/>
      <c r="C529" s="54"/>
      <c r="D529" s="261" t="str">
        <f t="shared" si="49"/>
        <v/>
      </c>
      <c r="E529" s="262" t="str">
        <f t="shared" si="48"/>
        <v/>
      </c>
      <c r="F529" s="125" t="str">
        <f>IF(G529="","",VLOOKUP(G529,プルダウン用リスト!$K$1:$M$16,2,FALSE))</f>
        <v/>
      </c>
      <c r="G529" s="67"/>
      <c r="H529" s="55"/>
      <c r="I529" s="67"/>
      <c r="J529" s="134"/>
      <c r="K529" s="68"/>
      <c r="L529" s="69"/>
      <c r="M529" s="69"/>
      <c r="N529" s="260" t="str">
        <f t="shared" si="50"/>
        <v/>
      </c>
      <c r="O529" s="256">
        <f t="shared" si="52"/>
        <v>0</v>
      </c>
      <c r="P529" s="257" t="str">
        <f t="shared" si="51"/>
        <v>×</v>
      </c>
      <c r="Q529" s="272" t="str">
        <f t="shared" si="53"/>
        <v/>
      </c>
    </row>
    <row r="530" spans="2:17">
      <c r="B530" s="65"/>
      <c r="C530" s="54"/>
      <c r="D530" s="261" t="str">
        <f t="shared" si="49"/>
        <v/>
      </c>
      <c r="E530" s="262" t="str">
        <f t="shared" si="48"/>
        <v/>
      </c>
      <c r="F530" s="125" t="str">
        <f>IF(G530="","",VLOOKUP(G530,プルダウン用リスト!$K$1:$M$16,2,FALSE))</f>
        <v/>
      </c>
      <c r="G530" s="67"/>
      <c r="H530" s="55"/>
      <c r="I530" s="67"/>
      <c r="J530" s="134"/>
      <c r="K530" s="68"/>
      <c r="L530" s="69"/>
      <c r="M530" s="69"/>
      <c r="N530" s="260" t="str">
        <f t="shared" si="50"/>
        <v/>
      </c>
      <c r="O530" s="256">
        <f t="shared" si="52"/>
        <v>0</v>
      </c>
      <c r="P530" s="257" t="str">
        <f t="shared" si="51"/>
        <v>×</v>
      </c>
      <c r="Q530" s="272" t="str">
        <f t="shared" si="53"/>
        <v/>
      </c>
    </row>
    <row r="531" spans="2:17">
      <c r="B531" s="65"/>
      <c r="C531" s="54"/>
      <c r="D531" s="261" t="str">
        <f t="shared" si="49"/>
        <v/>
      </c>
      <c r="E531" s="262" t="str">
        <f t="shared" si="48"/>
        <v/>
      </c>
      <c r="F531" s="125" t="str">
        <f>IF(G531="","",VLOOKUP(G531,プルダウン用リスト!$K$1:$M$16,2,FALSE))</f>
        <v/>
      </c>
      <c r="G531" s="67"/>
      <c r="H531" s="67"/>
      <c r="I531" s="67"/>
      <c r="J531" s="134"/>
      <c r="K531" s="68"/>
      <c r="L531" s="69"/>
      <c r="M531" s="69"/>
      <c r="N531" s="260" t="str">
        <f t="shared" si="50"/>
        <v/>
      </c>
      <c r="O531" s="256">
        <f t="shared" si="52"/>
        <v>0</v>
      </c>
      <c r="P531" s="257" t="str">
        <f t="shared" si="51"/>
        <v>×</v>
      </c>
      <c r="Q531" s="272" t="str">
        <f t="shared" si="53"/>
        <v/>
      </c>
    </row>
    <row r="532" spans="2:17">
      <c r="B532" s="65"/>
      <c r="C532" s="54"/>
      <c r="D532" s="261" t="str">
        <f t="shared" si="49"/>
        <v/>
      </c>
      <c r="E532" s="262" t="str">
        <f t="shared" si="48"/>
        <v/>
      </c>
      <c r="F532" s="125" t="str">
        <f>IF(G532="","",VLOOKUP(G532,プルダウン用リスト!$K$1:$M$16,2,FALSE))</f>
        <v/>
      </c>
      <c r="G532" s="67"/>
      <c r="H532" s="55"/>
      <c r="I532" s="67"/>
      <c r="J532" s="134"/>
      <c r="K532" s="68"/>
      <c r="L532" s="69"/>
      <c r="M532" s="69"/>
      <c r="N532" s="260" t="str">
        <f t="shared" si="50"/>
        <v/>
      </c>
      <c r="O532" s="256">
        <f t="shared" si="52"/>
        <v>0</v>
      </c>
      <c r="P532" s="257" t="str">
        <f t="shared" si="51"/>
        <v>×</v>
      </c>
      <c r="Q532" s="272" t="str">
        <f t="shared" si="53"/>
        <v/>
      </c>
    </row>
    <row r="533" spans="2:17">
      <c r="B533" s="65"/>
      <c r="C533" s="54"/>
      <c r="D533" s="261" t="str">
        <f t="shared" si="49"/>
        <v/>
      </c>
      <c r="E533" s="262" t="str">
        <f t="shared" si="48"/>
        <v/>
      </c>
      <c r="F533" s="125" t="str">
        <f>IF(G533="","",VLOOKUP(G533,プルダウン用リスト!$K$1:$M$16,2,FALSE))</f>
        <v/>
      </c>
      <c r="G533" s="67"/>
      <c r="H533" s="55"/>
      <c r="I533" s="67"/>
      <c r="J533" s="134"/>
      <c r="K533" s="68"/>
      <c r="L533" s="69"/>
      <c r="M533" s="69"/>
      <c r="N533" s="260" t="str">
        <f t="shared" si="50"/>
        <v/>
      </c>
      <c r="O533" s="256">
        <f t="shared" si="52"/>
        <v>0</v>
      </c>
      <c r="P533" s="257" t="str">
        <f t="shared" si="51"/>
        <v>×</v>
      </c>
      <c r="Q533" s="272" t="str">
        <f t="shared" si="53"/>
        <v/>
      </c>
    </row>
    <row r="534" spans="2:17">
      <c r="B534" s="65"/>
      <c r="C534" s="66"/>
      <c r="D534" s="261" t="str">
        <f t="shared" si="49"/>
        <v/>
      </c>
      <c r="E534" s="262" t="str">
        <f t="shared" si="48"/>
        <v/>
      </c>
      <c r="F534" s="125" t="str">
        <f>IF(G534="","",VLOOKUP(G534,プルダウン用リスト!$K$1:$M$16,2,FALSE))</f>
        <v/>
      </c>
      <c r="G534" s="67"/>
      <c r="H534" s="67"/>
      <c r="I534" s="67"/>
      <c r="J534" s="134"/>
      <c r="K534" s="68"/>
      <c r="L534" s="69"/>
      <c r="M534" s="69"/>
      <c r="N534" s="260" t="str">
        <f t="shared" si="50"/>
        <v/>
      </c>
      <c r="O534" s="256">
        <f t="shared" si="52"/>
        <v>0</v>
      </c>
      <c r="P534" s="257" t="str">
        <f t="shared" si="51"/>
        <v>×</v>
      </c>
      <c r="Q534" s="272" t="str">
        <f t="shared" si="53"/>
        <v/>
      </c>
    </row>
    <row r="535" spans="2:17">
      <c r="B535" s="65"/>
      <c r="C535" s="54"/>
      <c r="D535" s="261" t="str">
        <f t="shared" si="49"/>
        <v/>
      </c>
      <c r="E535" s="262" t="str">
        <f t="shared" ref="E535:E598" si="54">IF(G535="","",IF(OR(G535="1.謝金（内部）",G535="1.謝金（外部）"),"謝金",IF(G535="2.旅費","旅費",IF(G535="16.対象外経費","その他","所費"))))</f>
        <v/>
      </c>
      <c r="F535" s="125" t="str">
        <f>IF(G535="","",VLOOKUP(G535,プルダウン用リスト!$K$1:$M$16,2,FALSE))</f>
        <v/>
      </c>
      <c r="G535" s="67"/>
      <c r="H535" s="55"/>
      <c r="I535" s="67"/>
      <c r="J535" s="134"/>
      <c r="K535" s="68"/>
      <c r="L535" s="69"/>
      <c r="M535" s="69"/>
      <c r="N535" s="260" t="str">
        <f t="shared" si="50"/>
        <v/>
      </c>
      <c r="O535" s="256">
        <f t="shared" si="52"/>
        <v>0</v>
      </c>
      <c r="P535" s="257" t="str">
        <f t="shared" si="51"/>
        <v>×</v>
      </c>
      <c r="Q535" s="272" t="str">
        <f t="shared" si="53"/>
        <v/>
      </c>
    </row>
    <row r="536" spans="2:17">
      <c r="B536" s="65"/>
      <c r="C536" s="54"/>
      <c r="D536" s="261" t="str">
        <f t="shared" si="49"/>
        <v/>
      </c>
      <c r="E536" s="262" t="str">
        <f t="shared" si="54"/>
        <v/>
      </c>
      <c r="F536" s="125" t="str">
        <f>IF(G536="","",VLOOKUP(G536,プルダウン用リスト!$K$1:$M$16,2,FALSE))</f>
        <v/>
      </c>
      <c r="G536" s="67"/>
      <c r="H536" s="55"/>
      <c r="I536" s="67"/>
      <c r="J536" s="134"/>
      <c r="K536" s="68"/>
      <c r="L536" s="69"/>
      <c r="M536" s="69"/>
      <c r="N536" s="260" t="str">
        <f t="shared" si="50"/>
        <v/>
      </c>
      <c r="O536" s="256">
        <f t="shared" si="52"/>
        <v>0</v>
      </c>
      <c r="P536" s="257" t="str">
        <f t="shared" si="51"/>
        <v>×</v>
      </c>
      <c r="Q536" s="272" t="str">
        <f t="shared" si="53"/>
        <v/>
      </c>
    </row>
    <row r="537" spans="2:17">
      <c r="B537" s="65"/>
      <c r="C537" s="54"/>
      <c r="D537" s="261" t="str">
        <f t="shared" si="49"/>
        <v/>
      </c>
      <c r="E537" s="262" t="str">
        <f t="shared" si="54"/>
        <v/>
      </c>
      <c r="F537" s="125" t="str">
        <f>IF(G537="","",VLOOKUP(G537,プルダウン用リスト!$K$1:$M$16,2,FALSE))</f>
        <v/>
      </c>
      <c r="G537" s="67"/>
      <c r="H537" s="67"/>
      <c r="I537" s="67"/>
      <c r="J537" s="134"/>
      <c r="K537" s="68"/>
      <c r="L537" s="69"/>
      <c r="M537" s="69"/>
      <c r="N537" s="260" t="str">
        <f t="shared" si="50"/>
        <v/>
      </c>
      <c r="O537" s="256">
        <f t="shared" si="52"/>
        <v>0</v>
      </c>
      <c r="P537" s="257" t="str">
        <f t="shared" si="51"/>
        <v>×</v>
      </c>
      <c r="Q537" s="272" t="str">
        <f t="shared" si="53"/>
        <v/>
      </c>
    </row>
    <row r="538" spans="2:17">
      <c r="B538" s="65"/>
      <c r="C538" s="54"/>
      <c r="D538" s="261" t="str">
        <f t="shared" si="49"/>
        <v/>
      </c>
      <c r="E538" s="262" t="str">
        <f t="shared" si="54"/>
        <v/>
      </c>
      <c r="F538" s="125" t="str">
        <f>IF(G538="","",VLOOKUP(G538,プルダウン用リスト!$K$1:$M$16,2,FALSE))</f>
        <v/>
      </c>
      <c r="G538" s="67"/>
      <c r="H538" s="55"/>
      <c r="I538" s="67"/>
      <c r="J538" s="134"/>
      <c r="K538" s="68"/>
      <c r="L538" s="69"/>
      <c r="M538" s="69"/>
      <c r="N538" s="260" t="str">
        <f t="shared" si="50"/>
        <v/>
      </c>
      <c r="O538" s="256">
        <f t="shared" si="52"/>
        <v>0</v>
      </c>
      <c r="P538" s="257" t="str">
        <f t="shared" si="51"/>
        <v>×</v>
      </c>
      <c r="Q538" s="272" t="str">
        <f t="shared" si="53"/>
        <v/>
      </c>
    </row>
    <row r="539" spans="2:17">
      <c r="B539" s="65"/>
      <c r="C539" s="54"/>
      <c r="D539" s="261" t="str">
        <f t="shared" si="49"/>
        <v/>
      </c>
      <c r="E539" s="262" t="str">
        <f t="shared" si="54"/>
        <v/>
      </c>
      <c r="F539" s="125" t="str">
        <f>IF(G539="","",VLOOKUP(G539,プルダウン用リスト!$K$1:$M$16,2,FALSE))</f>
        <v/>
      </c>
      <c r="G539" s="67"/>
      <c r="H539" s="55"/>
      <c r="I539" s="67"/>
      <c r="J539" s="134"/>
      <c r="K539" s="68"/>
      <c r="L539" s="69"/>
      <c r="M539" s="69"/>
      <c r="N539" s="260" t="str">
        <f t="shared" si="50"/>
        <v/>
      </c>
      <c r="O539" s="256">
        <f t="shared" si="52"/>
        <v>0</v>
      </c>
      <c r="P539" s="257" t="str">
        <f t="shared" si="51"/>
        <v>×</v>
      </c>
      <c r="Q539" s="272" t="str">
        <f t="shared" si="53"/>
        <v/>
      </c>
    </row>
    <row r="540" spans="2:17">
      <c r="B540" s="65"/>
      <c r="C540" s="54"/>
      <c r="D540" s="261" t="str">
        <f t="shared" si="49"/>
        <v/>
      </c>
      <c r="E540" s="262" t="str">
        <f t="shared" si="54"/>
        <v/>
      </c>
      <c r="F540" s="125" t="str">
        <f>IF(G540="","",VLOOKUP(G540,プルダウン用リスト!$K$1:$M$16,2,FALSE))</f>
        <v/>
      </c>
      <c r="G540" s="67"/>
      <c r="H540" s="67"/>
      <c r="I540" s="67"/>
      <c r="J540" s="134"/>
      <c r="K540" s="68"/>
      <c r="L540" s="69"/>
      <c r="M540" s="69"/>
      <c r="N540" s="260" t="str">
        <f t="shared" si="50"/>
        <v/>
      </c>
      <c r="O540" s="256">
        <f t="shared" si="52"/>
        <v>0</v>
      </c>
      <c r="P540" s="257" t="str">
        <f t="shared" si="51"/>
        <v>×</v>
      </c>
      <c r="Q540" s="272" t="str">
        <f t="shared" si="53"/>
        <v/>
      </c>
    </row>
    <row r="541" spans="2:17">
      <c r="B541" s="65"/>
      <c r="C541" s="54"/>
      <c r="D541" s="261" t="str">
        <f t="shared" si="49"/>
        <v/>
      </c>
      <c r="E541" s="262" t="str">
        <f t="shared" si="54"/>
        <v/>
      </c>
      <c r="F541" s="125" t="str">
        <f>IF(G541="","",VLOOKUP(G541,プルダウン用リスト!$K$1:$M$16,2,FALSE))</f>
        <v/>
      </c>
      <c r="G541" s="67"/>
      <c r="H541" s="55"/>
      <c r="I541" s="67"/>
      <c r="J541" s="134"/>
      <c r="K541" s="68"/>
      <c r="L541" s="69"/>
      <c r="M541" s="69"/>
      <c r="N541" s="260" t="str">
        <f t="shared" si="50"/>
        <v/>
      </c>
      <c r="O541" s="256">
        <f t="shared" si="52"/>
        <v>0</v>
      </c>
      <c r="P541" s="257" t="str">
        <f t="shared" si="51"/>
        <v>×</v>
      </c>
      <c r="Q541" s="272" t="str">
        <f t="shared" si="53"/>
        <v/>
      </c>
    </row>
    <row r="542" spans="2:17">
      <c r="B542" s="65"/>
      <c r="C542" s="54"/>
      <c r="D542" s="261" t="str">
        <f t="shared" si="49"/>
        <v/>
      </c>
      <c r="E542" s="262" t="str">
        <f t="shared" si="54"/>
        <v/>
      </c>
      <c r="F542" s="125" t="str">
        <f>IF(G542="","",VLOOKUP(G542,プルダウン用リスト!$K$1:$M$16,2,FALSE))</f>
        <v/>
      </c>
      <c r="G542" s="67"/>
      <c r="H542" s="55"/>
      <c r="I542" s="67"/>
      <c r="J542" s="134"/>
      <c r="K542" s="68"/>
      <c r="L542" s="69"/>
      <c r="M542" s="69"/>
      <c r="N542" s="260" t="str">
        <f t="shared" si="50"/>
        <v/>
      </c>
      <c r="O542" s="256">
        <f t="shared" si="52"/>
        <v>0</v>
      </c>
      <c r="P542" s="257" t="str">
        <f t="shared" si="51"/>
        <v>×</v>
      </c>
      <c r="Q542" s="272" t="str">
        <f t="shared" si="53"/>
        <v/>
      </c>
    </row>
    <row r="543" spans="2:17">
      <c r="B543" s="65"/>
      <c r="C543" s="54"/>
      <c r="D543" s="261" t="str">
        <f t="shared" si="49"/>
        <v/>
      </c>
      <c r="E543" s="262" t="str">
        <f t="shared" si="54"/>
        <v/>
      </c>
      <c r="F543" s="125" t="str">
        <f>IF(G543="","",VLOOKUP(G543,プルダウン用リスト!$K$1:$M$16,2,FALSE))</f>
        <v/>
      </c>
      <c r="G543" s="67"/>
      <c r="H543" s="67"/>
      <c r="I543" s="67"/>
      <c r="J543" s="134"/>
      <c r="K543" s="68"/>
      <c r="L543" s="69"/>
      <c r="M543" s="69"/>
      <c r="N543" s="260" t="str">
        <f t="shared" si="50"/>
        <v/>
      </c>
      <c r="O543" s="256">
        <f t="shared" si="52"/>
        <v>0</v>
      </c>
      <c r="P543" s="257" t="str">
        <f t="shared" si="51"/>
        <v>×</v>
      </c>
      <c r="Q543" s="272" t="str">
        <f t="shared" si="53"/>
        <v/>
      </c>
    </row>
    <row r="544" spans="2:17">
      <c r="B544" s="65"/>
      <c r="C544" s="54"/>
      <c r="D544" s="261" t="str">
        <f t="shared" si="49"/>
        <v/>
      </c>
      <c r="E544" s="262" t="str">
        <f t="shared" si="54"/>
        <v/>
      </c>
      <c r="F544" s="125" t="str">
        <f>IF(G544="","",VLOOKUP(G544,プルダウン用リスト!$K$1:$M$16,2,FALSE))</f>
        <v/>
      </c>
      <c r="G544" s="67"/>
      <c r="H544" s="55"/>
      <c r="I544" s="67"/>
      <c r="J544" s="134"/>
      <c r="K544" s="68"/>
      <c r="L544" s="69"/>
      <c r="M544" s="69"/>
      <c r="N544" s="260" t="str">
        <f t="shared" si="50"/>
        <v/>
      </c>
      <c r="O544" s="256">
        <f t="shared" si="52"/>
        <v>0</v>
      </c>
      <c r="P544" s="257" t="str">
        <f t="shared" si="51"/>
        <v>×</v>
      </c>
      <c r="Q544" s="272" t="str">
        <f t="shared" si="53"/>
        <v/>
      </c>
    </row>
    <row r="545" spans="2:17">
      <c r="B545" s="65"/>
      <c r="C545" s="54"/>
      <c r="D545" s="261" t="str">
        <f t="shared" si="49"/>
        <v/>
      </c>
      <c r="E545" s="262" t="str">
        <f t="shared" si="54"/>
        <v/>
      </c>
      <c r="F545" s="125" t="str">
        <f>IF(G545="","",VLOOKUP(G545,プルダウン用リスト!$K$1:$M$16,2,FALSE))</f>
        <v/>
      </c>
      <c r="G545" s="67"/>
      <c r="H545" s="55"/>
      <c r="I545" s="67"/>
      <c r="J545" s="134"/>
      <c r="K545" s="68"/>
      <c r="L545" s="69"/>
      <c r="M545" s="69"/>
      <c r="N545" s="260" t="str">
        <f t="shared" si="50"/>
        <v/>
      </c>
      <c r="O545" s="256">
        <f t="shared" si="52"/>
        <v>0</v>
      </c>
      <c r="P545" s="257" t="str">
        <f t="shared" si="51"/>
        <v>×</v>
      </c>
      <c r="Q545" s="272" t="str">
        <f t="shared" si="53"/>
        <v/>
      </c>
    </row>
    <row r="546" spans="2:17">
      <c r="B546" s="65"/>
      <c r="C546" s="66"/>
      <c r="D546" s="261" t="str">
        <f t="shared" si="49"/>
        <v/>
      </c>
      <c r="E546" s="262" t="str">
        <f t="shared" si="54"/>
        <v/>
      </c>
      <c r="F546" s="125" t="str">
        <f>IF(G546="","",VLOOKUP(G546,プルダウン用リスト!$K$1:$M$16,2,FALSE))</f>
        <v/>
      </c>
      <c r="G546" s="67"/>
      <c r="H546" s="67"/>
      <c r="I546" s="67"/>
      <c r="J546" s="134"/>
      <c r="K546" s="68"/>
      <c r="L546" s="69"/>
      <c r="M546" s="69"/>
      <c r="N546" s="260" t="str">
        <f t="shared" si="50"/>
        <v/>
      </c>
      <c r="O546" s="256">
        <f t="shared" si="52"/>
        <v>0</v>
      </c>
      <c r="P546" s="257" t="str">
        <f t="shared" si="51"/>
        <v>×</v>
      </c>
      <c r="Q546" s="272" t="str">
        <f t="shared" si="53"/>
        <v/>
      </c>
    </row>
    <row r="547" spans="2:17">
      <c r="B547" s="65"/>
      <c r="C547" s="54"/>
      <c r="D547" s="261" t="str">
        <f t="shared" si="49"/>
        <v/>
      </c>
      <c r="E547" s="262" t="str">
        <f t="shared" si="54"/>
        <v/>
      </c>
      <c r="F547" s="125" t="str">
        <f>IF(G547="","",VLOOKUP(G547,プルダウン用リスト!$K$1:$M$16,2,FALSE))</f>
        <v/>
      </c>
      <c r="G547" s="67"/>
      <c r="H547" s="55"/>
      <c r="I547" s="67"/>
      <c r="J547" s="134"/>
      <c r="K547" s="68"/>
      <c r="L547" s="69"/>
      <c r="M547" s="69"/>
      <c r="N547" s="260" t="str">
        <f t="shared" si="50"/>
        <v/>
      </c>
      <c r="O547" s="256">
        <f t="shared" si="52"/>
        <v>0</v>
      </c>
      <c r="P547" s="257" t="str">
        <f t="shared" si="51"/>
        <v>×</v>
      </c>
      <c r="Q547" s="272" t="str">
        <f t="shared" si="53"/>
        <v/>
      </c>
    </row>
    <row r="548" spans="2:17">
      <c r="B548" s="65"/>
      <c r="C548" s="54"/>
      <c r="D548" s="261" t="str">
        <f t="shared" si="49"/>
        <v/>
      </c>
      <c r="E548" s="262" t="str">
        <f t="shared" si="54"/>
        <v/>
      </c>
      <c r="F548" s="125" t="str">
        <f>IF(G548="","",VLOOKUP(G548,プルダウン用リスト!$K$1:$M$16,2,FALSE))</f>
        <v/>
      </c>
      <c r="G548" s="67"/>
      <c r="H548" s="55"/>
      <c r="I548" s="67"/>
      <c r="J548" s="134"/>
      <c r="K548" s="68"/>
      <c r="L548" s="69"/>
      <c r="M548" s="69"/>
      <c r="N548" s="260" t="str">
        <f t="shared" si="50"/>
        <v/>
      </c>
      <c r="O548" s="256">
        <f t="shared" si="52"/>
        <v>0</v>
      </c>
      <c r="P548" s="257" t="str">
        <f t="shared" si="51"/>
        <v>×</v>
      </c>
      <c r="Q548" s="272" t="str">
        <f t="shared" si="53"/>
        <v/>
      </c>
    </row>
    <row r="549" spans="2:17">
      <c r="B549" s="65"/>
      <c r="C549" s="54"/>
      <c r="D549" s="261" t="str">
        <f t="shared" si="49"/>
        <v/>
      </c>
      <c r="E549" s="262" t="str">
        <f t="shared" si="54"/>
        <v/>
      </c>
      <c r="F549" s="125" t="str">
        <f>IF(G549="","",VLOOKUP(G549,プルダウン用リスト!$K$1:$M$16,2,FALSE))</f>
        <v/>
      </c>
      <c r="G549" s="67"/>
      <c r="H549" s="67"/>
      <c r="I549" s="67"/>
      <c r="J549" s="134"/>
      <c r="K549" s="68"/>
      <c r="L549" s="69"/>
      <c r="M549" s="69"/>
      <c r="N549" s="260" t="str">
        <f t="shared" si="50"/>
        <v/>
      </c>
      <c r="O549" s="256">
        <f t="shared" si="52"/>
        <v>0</v>
      </c>
      <c r="P549" s="257" t="str">
        <f t="shared" si="51"/>
        <v>×</v>
      </c>
      <c r="Q549" s="272" t="str">
        <f t="shared" si="53"/>
        <v/>
      </c>
    </row>
    <row r="550" spans="2:17">
      <c r="B550" s="65"/>
      <c r="C550" s="54"/>
      <c r="D550" s="261" t="str">
        <f t="shared" si="49"/>
        <v/>
      </c>
      <c r="E550" s="262" t="str">
        <f t="shared" si="54"/>
        <v/>
      </c>
      <c r="F550" s="125" t="str">
        <f>IF(G550="","",VLOOKUP(G550,プルダウン用リスト!$K$1:$M$16,2,FALSE))</f>
        <v/>
      </c>
      <c r="G550" s="67"/>
      <c r="H550" s="55"/>
      <c r="I550" s="67"/>
      <c r="J550" s="134"/>
      <c r="K550" s="68"/>
      <c r="L550" s="69"/>
      <c r="M550" s="69"/>
      <c r="N550" s="260" t="str">
        <f t="shared" si="50"/>
        <v/>
      </c>
      <c r="O550" s="256">
        <f t="shared" si="52"/>
        <v>0</v>
      </c>
      <c r="P550" s="257" t="str">
        <f t="shared" si="51"/>
        <v>×</v>
      </c>
      <c r="Q550" s="272" t="str">
        <f t="shared" si="53"/>
        <v/>
      </c>
    </row>
    <row r="551" spans="2:17">
      <c r="B551" s="65"/>
      <c r="C551" s="54"/>
      <c r="D551" s="261" t="str">
        <f t="shared" si="49"/>
        <v/>
      </c>
      <c r="E551" s="262" t="str">
        <f t="shared" si="54"/>
        <v/>
      </c>
      <c r="F551" s="125" t="str">
        <f>IF(G551="","",VLOOKUP(G551,プルダウン用リスト!$K$1:$M$16,2,FALSE))</f>
        <v/>
      </c>
      <c r="G551" s="67"/>
      <c r="H551" s="55"/>
      <c r="I551" s="67"/>
      <c r="J551" s="134"/>
      <c r="K551" s="68"/>
      <c r="L551" s="69"/>
      <c r="M551" s="69"/>
      <c r="N551" s="260" t="str">
        <f t="shared" si="50"/>
        <v/>
      </c>
      <c r="O551" s="256">
        <f t="shared" si="52"/>
        <v>0</v>
      </c>
      <c r="P551" s="257" t="str">
        <f t="shared" si="51"/>
        <v>×</v>
      </c>
      <c r="Q551" s="272" t="str">
        <f t="shared" si="53"/>
        <v/>
      </c>
    </row>
    <row r="552" spans="2:17">
      <c r="B552" s="65"/>
      <c r="C552" s="54"/>
      <c r="D552" s="261" t="str">
        <f t="shared" si="49"/>
        <v/>
      </c>
      <c r="E552" s="262" t="str">
        <f t="shared" si="54"/>
        <v/>
      </c>
      <c r="F552" s="125" t="str">
        <f>IF(G552="","",VLOOKUP(G552,プルダウン用リスト!$K$1:$M$16,2,FALSE))</f>
        <v/>
      </c>
      <c r="G552" s="67"/>
      <c r="H552" s="67"/>
      <c r="I552" s="67"/>
      <c r="J552" s="134"/>
      <c r="K552" s="68"/>
      <c r="L552" s="69"/>
      <c r="M552" s="69"/>
      <c r="N552" s="260" t="str">
        <f t="shared" si="50"/>
        <v/>
      </c>
      <c r="O552" s="256">
        <f t="shared" si="52"/>
        <v>0</v>
      </c>
      <c r="P552" s="257" t="str">
        <f t="shared" si="51"/>
        <v>×</v>
      </c>
      <c r="Q552" s="272" t="str">
        <f t="shared" si="53"/>
        <v/>
      </c>
    </row>
    <row r="553" spans="2:17">
      <c r="B553" s="65"/>
      <c r="C553" s="54"/>
      <c r="D553" s="261" t="str">
        <f t="shared" si="49"/>
        <v/>
      </c>
      <c r="E553" s="262" t="str">
        <f t="shared" si="54"/>
        <v/>
      </c>
      <c r="F553" s="125" t="str">
        <f>IF(G553="","",VLOOKUP(G553,プルダウン用リスト!$K$1:$M$16,2,FALSE))</f>
        <v/>
      </c>
      <c r="G553" s="67"/>
      <c r="H553" s="55"/>
      <c r="I553" s="67"/>
      <c r="J553" s="134"/>
      <c r="K553" s="68"/>
      <c r="L553" s="69"/>
      <c r="M553" s="69"/>
      <c r="N553" s="260" t="str">
        <f t="shared" si="50"/>
        <v/>
      </c>
      <c r="O553" s="256">
        <f t="shared" si="52"/>
        <v>0</v>
      </c>
      <c r="P553" s="257" t="str">
        <f t="shared" si="51"/>
        <v>×</v>
      </c>
      <c r="Q553" s="272" t="str">
        <f t="shared" si="53"/>
        <v/>
      </c>
    </row>
    <row r="554" spans="2:17">
      <c r="B554" s="65"/>
      <c r="C554" s="54"/>
      <c r="D554" s="261" t="str">
        <f t="shared" si="49"/>
        <v/>
      </c>
      <c r="E554" s="262" t="str">
        <f t="shared" si="54"/>
        <v/>
      </c>
      <c r="F554" s="125" t="str">
        <f>IF(G554="","",VLOOKUP(G554,プルダウン用リスト!$K$1:$M$16,2,FALSE))</f>
        <v/>
      </c>
      <c r="G554" s="67"/>
      <c r="H554" s="55"/>
      <c r="I554" s="67"/>
      <c r="J554" s="134"/>
      <c r="K554" s="68"/>
      <c r="L554" s="69"/>
      <c r="M554" s="69"/>
      <c r="N554" s="260" t="str">
        <f t="shared" si="50"/>
        <v/>
      </c>
      <c r="O554" s="256">
        <f t="shared" si="52"/>
        <v>0</v>
      </c>
      <c r="P554" s="257" t="str">
        <f t="shared" si="51"/>
        <v>×</v>
      </c>
      <c r="Q554" s="272" t="str">
        <f t="shared" si="53"/>
        <v/>
      </c>
    </row>
    <row r="555" spans="2:17">
      <c r="B555" s="65"/>
      <c r="C555" s="54"/>
      <c r="D555" s="261" t="str">
        <f t="shared" si="49"/>
        <v/>
      </c>
      <c r="E555" s="262" t="str">
        <f t="shared" si="54"/>
        <v/>
      </c>
      <c r="F555" s="125" t="str">
        <f>IF(G555="","",VLOOKUP(G555,プルダウン用リスト!$K$1:$M$16,2,FALSE))</f>
        <v/>
      </c>
      <c r="G555" s="67"/>
      <c r="H555" s="67"/>
      <c r="I555" s="67"/>
      <c r="J555" s="134"/>
      <c r="K555" s="68"/>
      <c r="L555" s="69"/>
      <c r="M555" s="69"/>
      <c r="N555" s="260" t="str">
        <f t="shared" si="50"/>
        <v/>
      </c>
      <c r="O555" s="256">
        <f t="shared" si="52"/>
        <v>0</v>
      </c>
      <c r="P555" s="257" t="str">
        <f t="shared" si="51"/>
        <v>×</v>
      </c>
      <c r="Q555" s="272" t="str">
        <f t="shared" si="53"/>
        <v/>
      </c>
    </row>
    <row r="556" spans="2:17">
      <c r="B556" s="65"/>
      <c r="C556" s="54"/>
      <c r="D556" s="261" t="str">
        <f t="shared" si="49"/>
        <v/>
      </c>
      <c r="E556" s="262" t="str">
        <f t="shared" si="54"/>
        <v/>
      </c>
      <c r="F556" s="125" t="str">
        <f>IF(G556="","",VLOOKUP(G556,プルダウン用リスト!$K$1:$M$16,2,FALSE))</f>
        <v/>
      </c>
      <c r="G556" s="67"/>
      <c r="H556" s="55"/>
      <c r="I556" s="67"/>
      <c r="J556" s="134"/>
      <c r="K556" s="68"/>
      <c r="L556" s="69"/>
      <c r="M556" s="69"/>
      <c r="N556" s="260" t="str">
        <f t="shared" si="50"/>
        <v/>
      </c>
      <c r="O556" s="256">
        <f t="shared" si="52"/>
        <v>0</v>
      </c>
      <c r="P556" s="257" t="str">
        <f t="shared" si="51"/>
        <v>×</v>
      </c>
      <c r="Q556" s="272" t="str">
        <f t="shared" si="53"/>
        <v/>
      </c>
    </row>
    <row r="557" spans="2:17">
      <c r="B557" s="65"/>
      <c r="C557" s="54"/>
      <c r="D557" s="261" t="str">
        <f t="shared" si="49"/>
        <v/>
      </c>
      <c r="E557" s="262" t="str">
        <f t="shared" si="54"/>
        <v/>
      </c>
      <c r="F557" s="125" t="str">
        <f>IF(G557="","",VLOOKUP(G557,プルダウン用リスト!$K$1:$M$16,2,FALSE))</f>
        <v/>
      </c>
      <c r="G557" s="67"/>
      <c r="H557" s="55"/>
      <c r="I557" s="67"/>
      <c r="J557" s="134"/>
      <c r="K557" s="68"/>
      <c r="L557" s="69"/>
      <c r="M557" s="69"/>
      <c r="N557" s="260" t="str">
        <f t="shared" si="50"/>
        <v/>
      </c>
      <c r="O557" s="256">
        <f t="shared" si="52"/>
        <v>0</v>
      </c>
      <c r="P557" s="257" t="str">
        <f t="shared" si="51"/>
        <v>×</v>
      </c>
      <c r="Q557" s="272" t="str">
        <f t="shared" si="53"/>
        <v/>
      </c>
    </row>
    <row r="558" spans="2:17">
      <c r="B558" s="65"/>
      <c r="C558" s="66"/>
      <c r="D558" s="261" t="str">
        <f t="shared" si="49"/>
        <v/>
      </c>
      <c r="E558" s="262" t="str">
        <f t="shared" si="54"/>
        <v/>
      </c>
      <c r="F558" s="125" t="str">
        <f>IF(G558="","",VLOOKUP(G558,プルダウン用リスト!$K$1:$M$16,2,FALSE))</f>
        <v/>
      </c>
      <c r="G558" s="67"/>
      <c r="H558" s="67"/>
      <c r="I558" s="67"/>
      <c r="J558" s="134"/>
      <c r="K558" s="68"/>
      <c r="L558" s="69"/>
      <c r="M558" s="69"/>
      <c r="N558" s="260" t="str">
        <f t="shared" si="50"/>
        <v/>
      </c>
      <c r="O558" s="256">
        <f t="shared" si="52"/>
        <v>0</v>
      </c>
      <c r="P558" s="257" t="str">
        <f t="shared" si="51"/>
        <v>×</v>
      </c>
      <c r="Q558" s="272" t="str">
        <f t="shared" si="53"/>
        <v/>
      </c>
    </row>
    <row r="559" spans="2:17">
      <c r="B559" s="65"/>
      <c r="C559" s="54"/>
      <c r="D559" s="261" t="str">
        <f t="shared" si="49"/>
        <v/>
      </c>
      <c r="E559" s="262" t="str">
        <f t="shared" si="54"/>
        <v/>
      </c>
      <c r="F559" s="125" t="str">
        <f>IF(G559="","",VLOOKUP(G559,プルダウン用リスト!$K$1:$M$16,2,FALSE))</f>
        <v/>
      </c>
      <c r="G559" s="67"/>
      <c r="H559" s="55"/>
      <c r="I559" s="67"/>
      <c r="J559" s="134"/>
      <c r="K559" s="68"/>
      <c r="L559" s="69"/>
      <c r="M559" s="69"/>
      <c r="N559" s="260" t="str">
        <f t="shared" si="50"/>
        <v/>
      </c>
      <c r="O559" s="256">
        <f t="shared" si="52"/>
        <v>0</v>
      </c>
      <c r="P559" s="257" t="str">
        <f t="shared" si="51"/>
        <v>×</v>
      </c>
      <c r="Q559" s="272" t="str">
        <f t="shared" si="53"/>
        <v/>
      </c>
    </row>
    <row r="560" spans="2:17">
      <c r="B560" s="65"/>
      <c r="C560" s="54"/>
      <c r="D560" s="261" t="str">
        <f t="shared" si="49"/>
        <v/>
      </c>
      <c r="E560" s="262" t="str">
        <f t="shared" si="54"/>
        <v/>
      </c>
      <c r="F560" s="125" t="str">
        <f>IF(G560="","",VLOOKUP(G560,プルダウン用リスト!$K$1:$M$16,2,FALSE))</f>
        <v/>
      </c>
      <c r="G560" s="67"/>
      <c r="H560" s="55"/>
      <c r="I560" s="67"/>
      <c r="J560" s="134"/>
      <c r="K560" s="68"/>
      <c r="L560" s="69"/>
      <c r="M560" s="69"/>
      <c r="N560" s="260" t="str">
        <f t="shared" si="50"/>
        <v/>
      </c>
      <c r="O560" s="256">
        <f t="shared" si="52"/>
        <v>0</v>
      </c>
      <c r="P560" s="257" t="str">
        <f t="shared" si="51"/>
        <v>×</v>
      </c>
      <c r="Q560" s="272" t="str">
        <f t="shared" si="53"/>
        <v/>
      </c>
    </row>
    <row r="561" spans="2:17">
      <c r="B561" s="65"/>
      <c r="C561" s="54"/>
      <c r="D561" s="261" t="str">
        <f t="shared" si="49"/>
        <v/>
      </c>
      <c r="E561" s="262" t="str">
        <f t="shared" si="54"/>
        <v/>
      </c>
      <c r="F561" s="125" t="str">
        <f>IF(G561="","",VLOOKUP(G561,プルダウン用リスト!$K$1:$M$16,2,FALSE))</f>
        <v/>
      </c>
      <c r="G561" s="67"/>
      <c r="H561" s="67"/>
      <c r="I561" s="67"/>
      <c r="J561" s="134"/>
      <c r="K561" s="68"/>
      <c r="L561" s="69"/>
      <c r="M561" s="69"/>
      <c r="N561" s="260" t="str">
        <f t="shared" si="50"/>
        <v/>
      </c>
      <c r="O561" s="256">
        <f t="shared" si="52"/>
        <v>0</v>
      </c>
      <c r="P561" s="257" t="str">
        <f t="shared" si="51"/>
        <v>×</v>
      </c>
      <c r="Q561" s="272" t="str">
        <f t="shared" si="53"/>
        <v/>
      </c>
    </row>
    <row r="562" spans="2:17">
      <c r="B562" s="65"/>
      <c r="C562" s="54"/>
      <c r="D562" s="261" t="str">
        <f t="shared" si="49"/>
        <v/>
      </c>
      <c r="E562" s="262" t="str">
        <f t="shared" si="54"/>
        <v/>
      </c>
      <c r="F562" s="125" t="str">
        <f>IF(G562="","",VLOOKUP(G562,プルダウン用リスト!$K$1:$M$16,2,FALSE))</f>
        <v/>
      </c>
      <c r="G562" s="67"/>
      <c r="H562" s="55"/>
      <c r="I562" s="67"/>
      <c r="J562" s="134"/>
      <c r="K562" s="68"/>
      <c r="L562" s="69"/>
      <c r="M562" s="69"/>
      <c r="N562" s="260" t="str">
        <f t="shared" si="50"/>
        <v/>
      </c>
      <c r="O562" s="256">
        <f t="shared" si="52"/>
        <v>0</v>
      </c>
      <c r="P562" s="257" t="str">
        <f t="shared" si="51"/>
        <v>×</v>
      </c>
      <c r="Q562" s="272" t="str">
        <f t="shared" si="53"/>
        <v/>
      </c>
    </row>
    <row r="563" spans="2:17">
      <c r="B563" s="65"/>
      <c r="C563" s="54"/>
      <c r="D563" s="261" t="str">
        <f t="shared" si="49"/>
        <v/>
      </c>
      <c r="E563" s="262" t="str">
        <f t="shared" si="54"/>
        <v/>
      </c>
      <c r="F563" s="125" t="str">
        <f>IF(G563="","",VLOOKUP(G563,プルダウン用リスト!$K$1:$M$16,2,FALSE))</f>
        <v/>
      </c>
      <c r="G563" s="67"/>
      <c r="H563" s="55"/>
      <c r="I563" s="67"/>
      <c r="J563" s="134"/>
      <c r="K563" s="68"/>
      <c r="L563" s="69"/>
      <c r="M563" s="69"/>
      <c r="N563" s="260" t="str">
        <f t="shared" si="50"/>
        <v/>
      </c>
      <c r="O563" s="256">
        <f t="shared" si="52"/>
        <v>0</v>
      </c>
      <c r="P563" s="257" t="str">
        <f t="shared" si="51"/>
        <v>×</v>
      </c>
      <c r="Q563" s="272" t="str">
        <f t="shared" si="53"/>
        <v/>
      </c>
    </row>
    <row r="564" spans="2:17">
      <c r="B564" s="65"/>
      <c r="C564" s="54"/>
      <c r="D564" s="261" t="str">
        <f t="shared" si="49"/>
        <v/>
      </c>
      <c r="E564" s="262" t="str">
        <f t="shared" si="54"/>
        <v/>
      </c>
      <c r="F564" s="125" t="str">
        <f>IF(G564="","",VLOOKUP(G564,プルダウン用リスト!$K$1:$M$16,2,FALSE))</f>
        <v/>
      </c>
      <c r="G564" s="67"/>
      <c r="H564" s="67"/>
      <c r="I564" s="67"/>
      <c r="J564" s="134"/>
      <c r="K564" s="68"/>
      <c r="L564" s="69"/>
      <c r="M564" s="69"/>
      <c r="N564" s="260" t="str">
        <f t="shared" si="50"/>
        <v/>
      </c>
      <c r="O564" s="256">
        <f t="shared" si="52"/>
        <v>0</v>
      </c>
      <c r="P564" s="257" t="str">
        <f t="shared" si="51"/>
        <v>×</v>
      </c>
      <c r="Q564" s="272" t="str">
        <f t="shared" si="53"/>
        <v/>
      </c>
    </row>
    <row r="565" spans="2:17">
      <c r="B565" s="65"/>
      <c r="C565" s="54"/>
      <c r="D565" s="261" t="str">
        <f t="shared" si="49"/>
        <v/>
      </c>
      <c r="E565" s="262" t="str">
        <f t="shared" si="54"/>
        <v/>
      </c>
      <c r="F565" s="125" t="str">
        <f>IF(G565="","",VLOOKUP(G565,プルダウン用リスト!$K$1:$M$16,2,FALSE))</f>
        <v/>
      </c>
      <c r="G565" s="67"/>
      <c r="H565" s="55"/>
      <c r="I565" s="67"/>
      <c r="J565" s="134"/>
      <c r="K565" s="68"/>
      <c r="L565" s="69"/>
      <c r="M565" s="69"/>
      <c r="N565" s="260" t="str">
        <f t="shared" si="50"/>
        <v/>
      </c>
      <c r="O565" s="256">
        <f t="shared" si="52"/>
        <v>0</v>
      </c>
      <c r="P565" s="257" t="str">
        <f t="shared" si="51"/>
        <v>×</v>
      </c>
      <c r="Q565" s="272" t="str">
        <f t="shared" si="53"/>
        <v/>
      </c>
    </row>
    <row r="566" spans="2:17">
      <c r="B566" s="65"/>
      <c r="C566" s="54"/>
      <c r="D566" s="261" t="str">
        <f t="shared" si="49"/>
        <v/>
      </c>
      <c r="E566" s="262" t="str">
        <f t="shared" si="54"/>
        <v/>
      </c>
      <c r="F566" s="125" t="str">
        <f>IF(G566="","",VLOOKUP(G566,プルダウン用リスト!$K$1:$M$16,2,FALSE))</f>
        <v/>
      </c>
      <c r="G566" s="67"/>
      <c r="H566" s="55"/>
      <c r="I566" s="67"/>
      <c r="J566" s="134"/>
      <c r="K566" s="68"/>
      <c r="L566" s="69"/>
      <c r="M566" s="69"/>
      <c r="N566" s="260" t="str">
        <f t="shared" si="50"/>
        <v/>
      </c>
      <c r="O566" s="256">
        <f t="shared" si="52"/>
        <v>0</v>
      </c>
      <c r="P566" s="257" t="str">
        <f t="shared" si="51"/>
        <v>×</v>
      </c>
      <c r="Q566" s="272" t="str">
        <f t="shared" si="53"/>
        <v/>
      </c>
    </row>
    <row r="567" spans="2:17">
      <c r="B567" s="65"/>
      <c r="C567" s="54"/>
      <c r="D567" s="261" t="str">
        <f t="shared" si="49"/>
        <v/>
      </c>
      <c r="E567" s="262" t="str">
        <f t="shared" si="54"/>
        <v/>
      </c>
      <c r="F567" s="125" t="str">
        <f>IF(G567="","",VLOOKUP(G567,プルダウン用リスト!$K$1:$M$16,2,FALSE))</f>
        <v/>
      </c>
      <c r="G567" s="67"/>
      <c r="H567" s="67"/>
      <c r="I567" s="67"/>
      <c r="J567" s="134"/>
      <c r="K567" s="68"/>
      <c r="L567" s="69"/>
      <c r="M567" s="69"/>
      <c r="N567" s="260" t="str">
        <f t="shared" si="50"/>
        <v/>
      </c>
      <c r="O567" s="256">
        <f t="shared" si="52"/>
        <v>0</v>
      </c>
      <c r="P567" s="257" t="str">
        <f t="shared" si="51"/>
        <v>×</v>
      </c>
      <c r="Q567" s="272" t="str">
        <f t="shared" si="53"/>
        <v/>
      </c>
    </row>
    <row r="568" spans="2:17">
      <c r="B568" s="65"/>
      <c r="C568" s="54"/>
      <c r="D568" s="261" t="str">
        <f t="shared" si="49"/>
        <v/>
      </c>
      <c r="E568" s="262" t="str">
        <f t="shared" si="54"/>
        <v/>
      </c>
      <c r="F568" s="125" t="str">
        <f>IF(G568="","",VLOOKUP(G568,プルダウン用リスト!$K$1:$M$16,2,FALSE))</f>
        <v/>
      </c>
      <c r="G568" s="67"/>
      <c r="H568" s="55"/>
      <c r="I568" s="67"/>
      <c r="J568" s="134"/>
      <c r="K568" s="68"/>
      <c r="L568" s="69"/>
      <c r="M568" s="69"/>
      <c r="N568" s="260" t="str">
        <f t="shared" si="50"/>
        <v/>
      </c>
      <c r="O568" s="256">
        <f t="shared" si="52"/>
        <v>0</v>
      </c>
      <c r="P568" s="257" t="str">
        <f t="shared" si="51"/>
        <v>×</v>
      </c>
      <c r="Q568" s="272" t="str">
        <f t="shared" si="53"/>
        <v/>
      </c>
    </row>
    <row r="569" spans="2:17">
      <c r="B569" s="65"/>
      <c r="C569" s="54"/>
      <c r="D569" s="261" t="str">
        <f t="shared" si="49"/>
        <v/>
      </c>
      <c r="E569" s="262" t="str">
        <f t="shared" si="54"/>
        <v/>
      </c>
      <c r="F569" s="125" t="str">
        <f>IF(G569="","",VLOOKUP(G569,プルダウン用リスト!$K$1:$M$16,2,FALSE))</f>
        <v/>
      </c>
      <c r="G569" s="67"/>
      <c r="H569" s="55"/>
      <c r="I569" s="67"/>
      <c r="J569" s="134"/>
      <c r="K569" s="68"/>
      <c r="L569" s="69"/>
      <c r="M569" s="69"/>
      <c r="N569" s="260" t="str">
        <f t="shared" si="50"/>
        <v/>
      </c>
      <c r="O569" s="256">
        <f t="shared" si="52"/>
        <v>0</v>
      </c>
      <c r="P569" s="257" t="str">
        <f t="shared" si="51"/>
        <v>×</v>
      </c>
      <c r="Q569" s="272" t="str">
        <f t="shared" si="53"/>
        <v/>
      </c>
    </row>
    <row r="570" spans="2:17">
      <c r="B570" s="65"/>
      <c r="C570" s="66"/>
      <c r="D570" s="261" t="str">
        <f t="shared" si="49"/>
        <v/>
      </c>
      <c r="E570" s="262" t="str">
        <f t="shared" si="54"/>
        <v/>
      </c>
      <c r="F570" s="125" t="str">
        <f>IF(G570="","",VLOOKUP(G570,プルダウン用リスト!$K$1:$M$16,2,FALSE))</f>
        <v/>
      </c>
      <c r="G570" s="67"/>
      <c r="H570" s="67"/>
      <c r="I570" s="67"/>
      <c r="J570" s="134"/>
      <c r="K570" s="68"/>
      <c r="L570" s="69"/>
      <c r="M570" s="69"/>
      <c r="N570" s="260" t="str">
        <f t="shared" si="50"/>
        <v/>
      </c>
      <c r="O570" s="256">
        <f t="shared" si="52"/>
        <v>0</v>
      </c>
      <c r="P570" s="257" t="str">
        <f t="shared" si="51"/>
        <v>×</v>
      </c>
      <c r="Q570" s="272" t="str">
        <f t="shared" si="53"/>
        <v/>
      </c>
    </row>
    <row r="571" spans="2:17">
      <c r="B571" s="65"/>
      <c r="C571" s="54"/>
      <c r="D571" s="261" t="str">
        <f t="shared" si="49"/>
        <v/>
      </c>
      <c r="E571" s="262" t="str">
        <f t="shared" si="54"/>
        <v/>
      </c>
      <c r="F571" s="125" t="str">
        <f>IF(G571="","",VLOOKUP(G571,プルダウン用リスト!$K$1:$M$16,2,FALSE))</f>
        <v/>
      </c>
      <c r="G571" s="67"/>
      <c r="H571" s="55"/>
      <c r="I571" s="67"/>
      <c r="J571" s="134"/>
      <c r="K571" s="68"/>
      <c r="L571" s="69"/>
      <c r="M571" s="69"/>
      <c r="N571" s="260" t="str">
        <f t="shared" si="50"/>
        <v/>
      </c>
      <c r="O571" s="256">
        <f t="shared" si="52"/>
        <v>0</v>
      </c>
      <c r="P571" s="257" t="str">
        <f t="shared" si="51"/>
        <v>×</v>
      </c>
      <c r="Q571" s="272" t="str">
        <f t="shared" si="53"/>
        <v/>
      </c>
    </row>
    <row r="572" spans="2:17">
      <c r="B572" s="65"/>
      <c r="C572" s="54"/>
      <c r="D572" s="261" t="str">
        <f t="shared" si="49"/>
        <v/>
      </c>
      <c r="E572" s="262" t="str">
        <f t="shared" si="54"/>
        <v/>
      </c>
      <c r="F572" s="125" t="str">
        <f>IF(G572="","",VLOOKUP(G572,プルダウン用リスト!$K$1:$M$16,2,FALSE))</f>
        <v/>
      </c>
      <c r="G572" s="67"/>
      <c r="H572" s="55"/>
      <c r="I572" s="67"/>
      <c r="J572" s="134"/>
      <c r="K572" s="68"/>
      <c r="L572" s="69"/>
      <c r="M572" s="69"/>
      <c r="N572" s="260" t="str">
        <f t="shared" si="50"/>
        <v/>
      </c>
      <c r="O572" s="256">
        <f t="shared" si="52"/>
        <v>0</v>
      </c>
      <c r="P572" s="257" t="str">
        <f t="shared" si="51"/>
        <v>×</v>
      </c>
      <c r="Q572" s="272" t="str">
        <f t="shared" si="53"/>
        <v/>
      </c>
    </row>
    <row r="573" spans="2:17">
      <c r="B573" s="65"/>
      <c r="C573" s="54"/>
      <c r="D573" s="261" t="str">
        <f t="shared" si="49"/>
        <v/>
      </c>
      <c r="E573" s="262" t="str">
        <f t="shared" si="54"/>
        <v/>
      </c>
      <c r="F573" s="125" t="str">
        <f>IF(G573="","",VLOOKUP(G573,プルダウン用リスト!$K$1:$M$16,2,FALSE))</f>
        <v/>
      </c>
      <c r="G573" s="67"/>
      <c r="H573" s="67"/>
      <c r="I573" s="67"/>
      <c r="J573" s="134"/>
      <c r="K573" s="68"/>
      <c r="L573" s="69"/>
      <c r="M573" s="69"/>
      <c r="N573" s="260" t="str">
        <f t="shared" si="50"/>
        <v/>
      </c>
      <c r="O573" s="256">
        <f t="shared" si="52"/>
        <v>0</v>
      </c>
      <c r="P573" s="257" t="str">
        <f t="shared" si="51"/>
        <v>×</v>
      </c>
      <c r="Q573" s="272" t="str">
        <f t="shared" si="53"/>
        <v/>
      </c>
    </row>
    <row r="574" spans="2:17">
      <c r="B574" s="65"/>
      <c r="C574" s="54"/>
      <c r="D574" s="261" t="str">
        <f t="shared" si="49"/>
        <v/>
      </c>
      <c r="E574" s="262" t="str">
        <f t="shared" si="54"/>
        <v/>
      </c>
      <c r="F574" s="125" t="str">
        <f>IF(G574="","",VLOOKUP(G574,プルダウン用リスト!$K$1:$M$16,2,FALSE))</f>
        <v/>
      </c>
      <c r="G574" s="67"/>
      <c r="H574" s="55"/>
      <c r="I574" s="67"/>
      <c r="J574" s="134"/>
      <c r="K574" s="68"/>
      <c r="L574" s="69"/>
      <c r="M574" s="69"/>
      <c r="N574" s="260" t="str">
        <f t="shared" si="50"/>
        <v/>
      </c>
      <c r="O574" s="256">
        <f t="shared" si="52"/>
        <v>0</v>
      </c>
      <c r="P574" s="257" t="str">
        <f t="shared" si="51"/>
        <v>×</v>
      </c>
      <c r="Q574" s="272" t="str">
        <f t="shared" si="53"/>
        <v/>
      </c>
    </row>
    <row r="575" spans="2:17">
      <c r="B575" s="65"/>
      <c r="C575" s="54"/>
      <c r="D575" s="261" t="str">
        <f t="shared" si="49"/>
        <v/>
      </c>
      <c r="E575" s="262" t="str">
        <f t="shared" si="54"/>
        <v/>
      </c>
      <c r="F575" s="125" t="str">
        <f>IF(G575="","",VLOOKUP(G575,プルダウン用リスト!$K$1:$M$16,2,FALSE))</f>
        <v/>
      </c>
      <c r="G575" s="67"/>
      <c r="H575" s="55"/>
      <c r="I575" s="67"/>
      <c r="J575" s="134"/>
      <c r="K575" s="68"/>
      <c r="L575" s="69"/>
      <c r="M575" s="69"/>
      <c r="N575" s="260" t="str">
        <f t="shared" si="50"/>
        <v/>
      </c>
      <c r="O575" s="256">
        <f t="shared" si="52"/>
        <v>0</v>
      </c>
      <c r="P575" s="257" t="str">
        <f t="shared" si="51"/>
        <v>×</v>
      </c>
      <c r="Q575" s="272" t="str">
        <f t="shared" si="53"/>
        <v/>
      </c>
    </row>
    <row r="576" spans="2:17">
      <c r="B576" s="65"/>
      <c r="C576" s="54"/>
      <c r="D576" s="261" t="str">
        <f t="shared" si="49"/>
        <v/>
      </c>
      <c r="E576" s="262" t="str">
        <f t="shared" si="54"/>
        <v/>
      </c>
      <c r="F576" s="125" t="str">
        <f>IF(G576="","",VLOOKUP(G576,プルダウン用リスト!$K$1:$M$16,2,FALSE))</f>
        <v/>
      </c>
      <c r="G576" s="67"/>
      <c r="H576" s="67"/>
      <c r="I576" s="67"/>
      <c r="J576" s="134"/>
      <c r="K576" s="68"/>
      <c r="L576" s="69"/>
      <c r="M576" s="69"/>
      <c r="N576" s="260" t="str">
        <f t="shared" si="50"/>
        <v/>
      </c>
      <c r="O576" s="256">
        <f t="shared" si="52"/>
        <v>0</v>
      </c>
      <c r="P576" s="257" t="str">
        <f t="shared" si="51"/>
        <v>×</v>
      </c>
      <c r="Q576" s="272" t="str">
        <f t="shared" si="53"/>
        <v/>
      </c>
    </row>
    <row r="577" spans="2:17">
      <c r="B577" s="65"/>
      <c r="C577" s="54"/>
      <c r="D577" s="261" t="str">
        <f t="shared" si="49"/>
        <v/>
      </c>
      <c r="E577" s="262" t="str">
        <f t="shared" si="54"/>
        <v/>
      </c>
      <c r="F577" s="125" t="str">
        <f>IF(G577="","",VLOOKUP(G577,プルダウン用リスト!$K$1:$M$16,2,FALSE))</f>
        <v/>
      </c>
      <c r="G577" s="67"/>
      <c r="H577" s="55"/>
      <c r="I577" s="67"/>
      <c r="J577" s="134"/>
      <c r="K577" s="68"/>
      <c r="L577" s="69"/>
      <c r="M577" s="69"/>
      <c r="N577" s="260" t="str">
        <f t="shared" si="50"/>
        <v/>
      </c>
      <c r="O577" s="256">
        <f t="shared" si="52"/>
        <v>0</v>
      </c>
      <c r="P577" s="257" t="str">
        <f t="shared" si="51"/>
        <v>×</v>
      </c>
      <c r="Q577" s="272" t="str">
        <f t="shared" si="53"/>
        <v/>
      </c>
    </row>
    <row r="578" spans="2:17">
      <c r="B578" s="65"/>
      <c r="C578" s="54"/>
      <c r="D578" s="261" t="str">
        <f t="shared" si="49"/>
        <v/>
      </c>
      <c r="E578" s="262" t="str">
        <f t="shared" si="54"/>
        <v/>
      </c>
      <c r="F578" s="125" t="str">
        <f>IF(G578="","",VLOOKUP(G578,プルダウン用リスト!$K$1:$M$16,2,FALSE))</f>
        <v/>
      </c>
      <c r="G578" s="67"/>
      <c r="H578" s="55"/>
      <c r="I578" s="67"/>
      <c r="J578" s="134"/>
      <c r="K578" s="68"/>
      <c r="L578" s="69"/>
      <c r="M578" s="69"/>
      <c r="N578" s="260" t="str">
        <f t="shared" si="50"/>
        <v/>
      </c>
      <c r="O578" s="256">
        <f t="shared" si="52"/>
        <v>0</v>
      </c>
      <c r="P578" s="257" t="str">
        <f t="shared" si="51"/>
        <v>×</v>
      </c>
      <c r="Q578" s="272" t="str">
        <f t="shared" si="53"/>
        <v/>
      </c>
    </row>
    <row r="579" spans="2:17">
      <c r="B579" s="65"/>
      <c r="C579" s="54"/>
      <c r="D579" s="261" t="str">
        <f t="shared" si="49"/>
        <v/>
      </c>
      <c r="E579" s="262" t="str">
        <f t="shared" si="54"/>
        <v/>
      </c>
      <c r="F579" s="125" t="str">
        <f>IF(G579="","",VLOOKUP(G579,プルダウン用リスト!$K$1:$M$16,2,FALSE))</f>
        <v/>
      </c>
      <c r="G579" s="67"/>
      <c r="H579" s="67"/>
      <c r="I579" s="67"/>
      <c r="J579" s="134"/>
      <c r="K579" s="68"/>
      <c r="L579" s="69"/>
      <c r="M579" s="69"/>
      <c r="N579" s="260" t="str">
        <f t="shared" si="50"/>
        <v/>
      </c>
      <c r="O579" s="256">
        <f t="shared" si="52"/>
        <v>0</v>
      </c>
      <c r="P579" s="257" t="str">
        <f t="shared" si="51"/>
        <v>×</v>
      </c>
      <c r="Q579" s="272" t="str">
        <f t="shared" si="53"/>
        <v/>
      </c>
    </row>
    <row r="580" spans="2:17">
      <c r="B580" s="65"/>
      <c r="C580" s="54"/>
      <c r="D580" s="261" t="str">
        <f t="shared" si="49"/>
        <v/>
      </c>
      <c r="E580" s="262" t="str">
        <f t="shared" si="54"/>
        <v/>
      </c>
      <c r="F580" s="125" t="str">
        <f>IF(G580="","",VLOOKUP(G580,プルダウン用リスト!$K$1:$M$16,2,FALSE))</f>
        <v/>
      </c>
      <c r="G580" s="67"/>
      <c r="H580" s="55"/>
      <c r="I580" s="67"/>
      <c r="J580" s="134"/>
      <c r="K580" s="68"/>
      <c r="L580" s="69"/>
      <c r="M580" s="69"/>
      <c r="N580" s="260" t="str">
        <f t="shared" si="50"/>
        <v/>
      </c>
      <c r="O580" s="256">
        <f t="shared" si="52"/>
        <v>0</v>
      </c>
      <c r="P580" s="257" t="str">
        <f t="shared" si="51"/>
        <v>×</v>
      </c>
      <c r="Q580" s="272" t="str">
        <f t="shared" si="53"/>
        <v/>
      </c>
    </row>
    <row r="581" spans="2:17">
      <c r="B581" s="65"/>
      <c r="C581" s="54"/>
      <c r="D581" s="261" t="str">
        <f t="shared" si="49"/>
        <v/>
      </c>
      <c r="E581" s="262" t="str">
        <f t="shared" si="54"/>
        <v/>
      </c>
      <c r="F581" s="125" t="str">
        <f>IF(G581="","",VLOOKUP(G581,プルダウン用リスト!$K$1:$M$16,2,FALSE))</f>
        <v/>
      </c>
      <c r="G581" s="67"/>
      <c r="H581" s="55"/>
      <c r="I581" s="67"/>
      <c r="J581" s="134"/>
      <c r="K581" s="68"/>
      <c r="L581" s="69"/>
      <c r="M581" s="69"/>
      <c r="N581" s="260" t="str">
        <f t="shared" si="50"/>
        <v/>
      </c>
      <c r="O581" s="256">
        <f t="shared" si="52"/>
        <v>0</v>
      </c>
      <c r="P581" s="257" t="str">
        <f t="shared" si="51"/>
        <v>×</v>
      </c>
      <c r="Q581" s="272" t="str">
        <f t="shared" si="53"/>
        <v/>
      </c>
    </row>
    <row r="582" spans="2:17">
      <c r="B582" s="65"/>
      <c r="C582" s="66"/>
      <c r="D582" s="261" t="str">
        <f t="shared" si="49"/>
        <v/>
      </c>
      <c r="E582" s="262" t="str">
        <f t="shared" si="54"/>
        <v/>
      </c>
      <c r="F582" s="125" t="str">
        <f>IF(G582="","",VLOOKUP(G582,プルダウン用リスト!$K$1:$M$16,2,FALSE))</f>
        <v/>
      </c>
      <c r="G582" s="67"/>
      <c r="H582" s="67"/>
      <c r="I582" s="67"/>
      <c r="J582" s="134"/>
      <c r="K582" s="68"/>
      <c r="L582" s="69"/>
      <c r="M582" s="69"/>
      <c r="N582" s="260" t="str">
        <f t="shared" si="50"/>
        <v/>
      </c>
      <c r="O582" s="256">
        <f t="shared" si="52"/>
        <v>0</v>
      </c>
      <c r="P582" s="257" t="str">
        <f t="shared" si="51"/>
        <v>×</v>
      </c>
      <c r="Q582" s="272" t="str">
        <f t="shared" si="53"/>
        <v/>
      </c>
    </row>
    <row r="583" spans="2:17">
      <c r="B583" s="65"/>
      <c r="C583" s="54"/>
      <c r="D583" s="261" t="str">
        <f t="shared" ref="D583:D646" si="55">IF(E583="","",IF(E583="謝金","01.",IF(E583="旅費","02.",IF(E583="その他","04.","03."))))</f>
        <v/>
      </c>
      <c r="E583" s="262" t="str">
        <f t="shared" si="54"/>
        <v/>
      </c>
      <c r="F583" s="125" t="str">
        <f>IF(G583="","",VLOOKUP(G583,プルダウン用リスト!$K$1:$M$16,2,FALSE))</f>
        <v/>
      </c>
      <c r="G583" s="67"/>
      <c r="H583" s="55"/>
      <c r="I583" s="67"/>
      <c r="J583" s="134"/>
      <c r="K583" s="68"/>
      <c r="L583" s="69"/>
      <c r="M583" s="69"/>
      <c r="N583" s="260" t="str">
        <f t="shared" ref="N583:N646" si="56">IF(G583="16.対象外経費",L583,IF(M583="","",L583-M583))</f>
        <v/>
      </c>
      <c r="O583" s="256">
        <f t="shared" si="52"/>
        <v>0</v>
      </c>
      <c r="P583" s="257" t="str">
        <f t="shared" ref="P583:P646" si="57">IF(G583="2.旅費","〇","×")</f>
        <v>×</v>
      </c>
      <c r="Q583" s="272" t="str">
        <f t="shared" si="53"/>
        <v/>
      </c>
    </row>
    <row r="584" spans="2:17">
      <c r="B584" s="65"/>
      <c r="C584" s="54"/>
      <c r="D584" s="261" t="str">
        <f t="shared" si="55"/>
        <v/>
      </c>
      <c r="E584" s="262" t="str">
        <f t="shared" si="54"/>
        <v/>
      </c>
      <c r="F584" s="125" t="str">
        <f>IF(G584="","",VLOOKUP(G584,プルダウン用リスト!$K$1:$M$16,2,FALSE))</f>
        <v/>
      </c>
      <c r="G584" s="67"/>
      <c r="H584" s="55"/>
      <c r="I584" s="67"/>
      <c r="J584" s="134"/>
      <c r="K584" s="68"/>
      <c r="L584" s="69"/>
      <c r="M584" s="69"/>
      <c r="N584" s="260" t="str">
        <f t="shared" si="56"/>
        <v/>
      </c>
      <c r="O584" s="256">
        <f t="shared" ref="O584:O647" si="58">IF(L584&gt;0,COUNTA(B584,C584,G584,H584,I584,K584,,L584,J584),0)</f>
        <v>0</v>
      </c>
      <c r="P584" s="257" t="str">
        <f t="shared" si="57"/>
        <v>×</v>
      </c>
      <c r="Q584" s="272" t="str">
        <f t="shared" ref="Q584:Q647" si="59">_xlfn.IFS(O584=0,"",AND(G584="16.対象外経費",O584=7),"OK",O584&lt;=7,"ピンク色のセルを全て入力してください",O584=9,"OK",P584="〇","旅行区間および宿泊地を入力してください",O584=8,"OK")</f>
        <v/>
      </c>
    </row>
    <row r="585" spans="2:17">
      <c r="B585" s="65"/>
      <c r="C585" s="54"/>
      <c r="D585" s="261" t="str">
        <f t="shared" si="55"/>
        <v/>
      </c>
      <c r="E585" s="262" t="str">
        <f t="shared" si="54"/>
        <v/>
      </c>
      <c r="F585" s="125" t="str">
        <f>IF(G585="","",VLOOKUP(G585,プルダウン用リスト!$K$1:$M$16,2,FALSE))</f>
        <v/>
      </c>
      <c r="G585" s="67"/>
      <c r="H585" s="67"/>
      <c r="I585" s="67"/>
      <c r="J585" s="134"/>
      <c r="K585" s="68"/>
      <c r="L585" s="69"/>
      <c r="M585" s="69"/>
      <c r="N585" s="260" t="str">
        <f t="shared" si="56"/>
        <v/>
      </c>
      <c r="O585" s="256">
        <f t="shared" si="58"/>
        <v>0</v>
      </c>
      <c r="P585" s="257" t="str">
        <f t="shared" si="57"/>
        <v>×</v>
      </c>
      <c r="Q585" s="272" t="str">
        <f t="shared" si="59"/>
        <v/>
      </c>
    </row>
    <row r="586" spans="2:17">
      <c r="B586" s="65"/>
      <c r="C586" s="54"/>
      <c r="D586" s="261" t="str">
        <f t="shared" si="55"/>
        <v/>
      </c>
      <c r="E586" s="262" t="str">
        <f t="shared" si="54"/>
        <v/>
      </c>
      <c r="F586" s="125" t="str">
        <f>IF(G586="","",VLOOKUP(G586,プルダウン用リスト!$K$1:$M$16,2,FALSE))</f>
        <v/>
      </c>
      <c r="G586" s="67"/>
      <c r="H586" s="55"/>
      <c r="I586" s="67"/>
      <c r="J586" s="134"/>
      <c r="K586" s="68"/>
      <c r="L586" s="69"/>
      <c r="M586" s="69"/>
      <c r="N586" s="260" t="str">
        <f t="shared" si="56"/>
        <v/>
      </c>
      <c r="O586" s="256">
        <f t="shared" si="58"/>
        <v>0</v>
      </c>
      <c r="P586" s="257" t="str">
        <f t="shared" si="57"/>
        <v>×</v>
      </c>
      <c r="Q586" s="272" t="str">
        <f t="shared" si="59"/>
        <v/>
      </c>
    </row>
    <row r="587" spans="2:17">
      <c r="B587" s="65"/>
      <c r="C587" s="54"/>
      <c r="D587" s="261" t="str">
        <f t="shared" si="55"/>
        <v/>
      </c>
      <c r="E587" s="262" t="str">
        <f t="shared" si="54"/>
        <v/>
      </c>
      <c r="F587" s="125" t="str">
        <f>IF(G587="","",VLOOKUP(G587,プルダウン用リスト!$K$1:$M$16,2,FALSE))</f>
        <v/>
      </c>
      <c r="G587" s="67"/>
      <c r="H587" s="55"/>
      <c r="I587" s="67"/>
      <c r="J587" s="134"/>
      <c r="K587" s="68"/>
      <c r="L587" s="69"/>
      <c r="M587" s="69"/>
      <c r="N587" s="260" t="str">
        <f t="shared" si="56"/>
        <v/>
      </c>
      <c r="O587" s="256">
        <f t="shared" si="58"/>
        <v>0</v>
      </c>
      <c r="P587" s="257" t="str">
        <f t="shared" si="57"/>
        <v>×</v>
      </c>
      <c r="Q587" s="272" t="str">
        <f t="shared" si="59"/>
        <v/>
      </c>
    </row>
    <row r="588" spans="2:17">
      <c r="B588" s="65"/>
      <c r="C588" s="54"/>
      <c r="D588" s="261" t="str">
        <f t="shared" si="55"/>
        <v/>
      </c>
      <c r="E588" s="262" t="str">
        <f t="shared" si="54"/>
        <v/>
      </c>
      <c r="F588" s="125" t="str">
        <f>IF(G588="","",VLOOKUP(G588,プルダウン用リスト!$K$1:$M$16,2,FALSE))</f>
        <v/>
      </c>
      <c r="G588" s="67"/>
      <c r="H588" s="67"/>
      <c r="I588" s="67"/>
      <c r="J588" s="134"/>
      <c r="K588" s="68"/>
      <c r="L588" s="69"/>
      <c r="M588" s="69"/>
      <c r="N588" s="260" t="str">
        <f t="shared" si="56"/>
        <v/>
      </c>
      <c r="O588" s="256">
        <f t="shared" si="58"/>
        <v>0</v>
      </c>
      <c r="P588" s="257" t="str">
        <f t="shared" si="57"/>
        <v>×</v>
      </c>
      <c r="Q588" s="272" t="str">
        <f t="shared" si="59"/>
        <v/>
      </c>
    </row>
    <row r="589" spans="2:17">
      <c r="B589" s="65"/>
      <c r="C589" s="54"/>
      <c r="D589" s="261" t="str">
        <f t="shared" si="55"/>
        <v/>
      </c>
      <c r="E589" s="262" t="str">
        <f t="shared" si="54"/>
        <v/>
      </c>
      <c r="F589" s="125" t="str">
        <f>IF(G589="","",VLOOKUP(G589,プルダウン用リスト!$K$1:$M$16,2,FALSE))</f>
        <v/>
      </c>
      <c r="G589" s="67"/>
      <c r="H589" s="55"/>
      <c r="I589" s="67"/>
      <c r="J589" s="134"/>
      <c r="K589" s="68"/>
      <c r="L589" s="69"/>
      <c r="M589" s="69"/>
      <c r="N589" s="260" t="str">
        <f t="shared" si="56"/>
        <v/>
      </c>
      <c r="O589" s="256">
        <f t="shared" si="58"/>
        <v>0</v>
      </c>
      <c r="P589" s="257" t="str">
        <f t="shared" si="57"/>
        <v>×</v>
      </c>
      <c r="Q589" s="272" t="str">
        <f t="shared" si="59"/>
        <v/>
      </c>
    </row>
    <row r="590" spans="2:17">
      <c r="B590" s="65"/>
      <c r="C590" s="54"/>
      <c r="D590" s="261" t="str">
        <f t="shared" si="55"/>
        <v/>
      </c>
      <c r="E590" s="262" t="str">
        <f t="shared" si="54"/>
        <v/>
      </c>
      <c r="F590" s="125" t="str">
        <f>IF(G590="","",VLOOKUP(G590,プルダウン用リスト!$K$1:$M$16,2,FALSE))</f>
        <v/>
      </c>
      <c r="G590" s="67"/>
      <c r="H590" s="55"/>
      <c r="I590" s="67"/>
      <c r="J590" s="134"/>
      <c r="K590" s="68"/>
      <c r="L590" s="69"/>
      <c r="M590" s="69"/>
      <c r="N590" s="260" t="str">
        <f t="shared" si="56"/>
        <v/>
      </c>
      <c r="O590" s="256">
        <f t="shared" si="58"/>
        <v>0</v>
      </c>
      <c r="P590" s="257" t="str">
        <f t="shared" si="57"/>
        <v>×</v>
      </c>
      <c r="Q590" s="272" t="str">
        <f t="shared" si="59"/>
        <v/>
      </c>
    </row>
    <row r="591" spans="2:17">
      <c r="B591" s="65"/>
      <c r="C591" s="54"/>
      <c r="D591" s="261" t="str">
        <f t="shared" si="55"/>
        <v/>
      </c>
      <c r="E591" s="262" t="str">
        <f t="shared" si="54"/>
        <v/>
      </c>
      <c r="F591" s="125" t="str">
        <f>IF(G591="","",VLOOKUP(G591,プルダウン用リスト!$K$1:$M$16,2,FALSE))</f>
        <v/>
      </c>
      <c r="G591" s="67"/>
      <c r="H591" s="67"/>
      <c r="I591" s="67"/>
      <c r="J591" s="134"/>
      <c r="K591" s="68"/>
      <c r="L591" s="69"/>
      <c r="M591" s="69"/>
      <c r="N591" s="260" t="str">
        <f t="shared" si="56"/>
        <v/>
      </c>
      <c r="O591" s="256">
        <f t="shared" si="58"/>
        <v>0</v>
      </c>
      <c r="P591" s="257" t="str">
        <f t="shared" si="57"/>
        <v>×</v>
      </c>
      <c r="Q591" s="272" t="str">
        <f t="shared" si="59"/>
        <v/>
      </c>
    </row>
    <row r="592" spans="2:17">
      <c r="B592" s="65"/>
      <c r="C592" s="54"/>
      <c r="D592" s="261" t="str">
        <f t="shared" si="55"/>
        <v/>
      </c>
      <c r="E592" s="262" t="str">
        <f t="shared" si="54"/>
        <v/>
      </c>
      <c r="F592" s="125" t="str">
        <f>IF(G592="","",VLOOKUP(G592,プルダウン用リスト!$K$1:$M$16,2,FALSE))</f>
        <v/>
      </c>
      <c r="G592" s="67"/>
      <c r="H592" s="55"/>
      <c r="I592" s="67"/>
      <c r="J592" s="134"/>
      <c r="K592" s="68"/>
      <c r="L592" s="69"/>
      <c r="M592" s="69"/>
      <c r="N592" s="260" t="str">
        <f t="shared" si="56"/>
        <v/>
      </c>
      <c r="O592" s="256">
        <f t="shared" si="58"/>
        <v>0</v>
      </c>
      <c r="P592" s="257" t="str">
        <f t="shared" si="57"/>
        <v>×</v>
      </c>
      <c r="Q592" s="272" t="str">
        <f t="shared" si="59"/>
        <v/>
      </c>
    </row>
    <row r="593" spans="2:17">
      <c r="B593" s="65"/>
      <c r="C593" s="54"/>
      <c r="D593" s="261" t="str">
        <f t="shared" si="55"/>
        <v/>
      </c>
      <c r="E593" s="262" t="str">
        <f t="shared" si="54"/>
        <v/>
      </c>
      <c r="F593" s="125" t="str">
        <f>IF(G593="","",VLOOKUP(G593,プルダウン用リスト!$K$1:$M$16,2,FALSE))</f>
        <v/>
      </c>
      <c r="G593" s="67"/>
      <c r="H593" s="55"/>
      <c r="I593" s="67"/>
      <c r="J593" s="134"/>
      <c r="K593" s="68"/>
      <c r="L593" s="69"/>
      <c r="M593" s="69"/>
      <c r="N593" s="260" t="str">
        <f t="shared" si="56"/>
        <v/>
      </c>
      <c r="O593" s="256">
        <f t="shared" si="58"/>
        <v>0</v>
      </c>
      <c r="P593" s="257" t="str">
        <f t="shared" si="57"/>
        <v>×</v>
      </c>
      <c r="Q593" s="272" t="str">
        <f t="shared" si="59"/>
        <v/>
      </c>
    </row>
    <row r="594" spans="2:17">
      <c r="B594" s="65"/>
      <c r="C594" s="66"/>
      <c r="D594" s="261" t="str">
        <f t="shared" si="55"/>
        <v/>
      </c>
      <c r="E594" s="262" t="str">
        <f t="shared" si="54"/>
        <v/>
      </c>
      <c r="F594" s="125" t="str">
        <f>IF(G594="","",VLOOKUP(G594,プルダウン用リスト!$K$1:$M$16,2,FALSE))</f>
        <v/>
      </c>
      <c r="G594" s="67"/>
      <c r="H594" s="67"/>
      <c r="I594" s="67"/>
      <c r="J594" s="134"/>
      <c r="K594" s="68"/>
      <c r="L594" s="69"/>
      <c r="M594" s="69"/>
      <c r="N594" s="260" t="str">
        <f t="shared" si="56"/>
        <v/>
      </c>
      <c r="O594" s="256">
        <f t="shared" si="58"/>
        <v>0</v>
      </c>
      <c r="P594" s="257" t="str">
        <f t="shared" si="57"/>
        <v>×</v>
      </c>
      <c r="Q594" s="272" t="str">
        <f t="shared" si="59"/>
        <v/>
      </c>
    </row>
    <row r="595" spans="2:17">
      <c r="B595" s="65"/>
      <c r="C595" s="54"/>
      <c r="D595" s="261" t="str">
        <f t="shared" si="55"/>
        <v/>
      </c>
      <c r="E595" s="262" t="str">
        <f t="shared" si="54"/>
        <v/>
      </c>
      <c r="F595" s="125" t="str">
        <f>IF(G595="","",VLOOKUP(G595,プルダウン用リスト!$K$1:$M$16,2,FALSE))</f>
        <v/>
      </c>
      <c r="G595" s="67"/>
      <c r="H595" s="55"/>
      <c r="I595" s="67"/>
      <c r="J595" s="134"/>
      <c r="K595" s="68"/>
      <c r="L595" s="69"/>
      <c r="M595" s="69"/>
      <c r="N595" s="260" t="str">
        <f t="shared" si="56"/>
        <v/>
      </c>
      <c r="O595" s="256">
        <f t="shared" si="58"/>
        <v>0</v>
      </c>
      <c r="P595" s="257" t="str">
        <f t="shared" si="57"/>
        <v>×</v>
      </c>
      <c r="Q595" s="272" t="str">
        <f t="shared" si="59"/>
        <v/>
      </c>
    </row>
    <row r="596" spans="2:17">
      <c r="B596" s="65"/>
      <c r="C596" s="54"/>
      <c r="D596" s="261" t="str">
        <f t="shared" si="55"/>
        <v/>
      </c>
      <c r="E596" s="262" t="str">
        <f t="shared" si="54"/>
        <v/>
      </c>
      <c r="F596" s="125" t="str">
        <f>IF(G596="","",VLOOKUP(G596,プルダウン用リスト!$K$1:$M$16,2,FALSE))</f>
        <v/>
      </c>
      <c r="G596" s="67"/>
      <c r="H596" s="55"/>
      <c r="I596" s="67"/>
      <c r="J596" s="134"/>
      <c r="K596" s="68"/>
      <c r="L596" s="69"/>
      <c r="M596" s="69"/>
      <c r="N596" s="260" t="str">
        <f t="shared" si="56"/>
        <v/>
      </c>
      <c r="O596" s="256">
        <f t="shared" si="58"/>
        <v>0</v>
      </c>
      <c r="P596" s="257" t="str">
        <f t="shared" si="57"/>
        <v>×</v>
      </c>
      <c r="Q596" s="272" t="str">
        <f t="shared" si="59"/>
        <v/>
      </c>
    </row>
    <row r="597" spans="2:17">
      <c r="B597" s="65"/>
      <c r="C597" s="54"/>
      <c r="D597" s="261" t="str">
        <f t="shared" si="55"/>
        <v/>
      </c>
      <c r="E597" s="262" t="str">
        <f t="shared" si="54"/>
        <v/>
      </c>
      <c r="F597" s="125" t="str">
        <f>IF(G597="","",VLOOKUP(G597,プルダウン用リスト!$K$1:$M$16,2,FALSE))</f>
        <v/>
      </c>
      <c r="G597" s="67"/>
      <c r="H597" s="67"/>
      <c r="I597" s="67"/>
      <c r="J597" s="134"/>
      <c r="K597" s="68"/>
      <c r="L597" s="69"/>
      <c r="M597" s="69"/>
      <c r="N597" s="260" t="str">
        <f t="shared" si="56"/>
        <v/>
      </c>
      <c r="O597" s="256">
        <f t="shared" si="58"/>
        <v>0</v>
      </c>
      <c r="P597" s="257" t="str">
        <f t="shared" si="57"/>
        <v>×</v>
      </c>
      <c r="Q597" s="272" t="str">
        <f t="shared" si="59"/>
        <v/>
      </c>
    </row>
    <row r="598" spans="2:17">
      <c r="B598" s="65"/>
      <c r="C598" s="54"/>
      <c r="D598" s="261" t="str">
        <f t="shared" si="55"/>
        <v/>
      </c>
      <c r="E598" s="262" t="str">
        <f t="shared" si="54"/>
        <v/>
      </c>
      <c r="F598" s="125" t="str">
        <f>IF(G598="","",VLOOKUP(G598,プルダウン用リスト!$K$1:$M$16,2,FALSE))</f>
        <v/>
      </c>
      <c r="G598" s="67"/>
      <c r="H598" s="55"/>
      <c r="I598" s="67"/>
      <c r="J598" s="134"/>
      <c r="K598" s="68"/>
      <c r="L598" s="69"/>
      <c r="M598" s="69"/>
      <c r="N598" s="260" t="str">
        <f t="shared" si="56"/>
        <v/>
      </c>
      <c r="O598" s="256">
        <f t="shared" si="58"/>
        <v>0</v>
      </c>
      <c r="P598" s="257" t="str">
        <f t="shared" si="57"/>
        <v>×</v>
      </c>
      <c r="Q598" s="272" t="str">
        <f t="shared" si="59"/>
        <v/>
      </c>
    </row>
    <row r="599" spans="2:17">
      <c r="B599" s="65"/>
      <c r="C599" s="54"/>
      <c r="D599" s="261" t="str">
        <f t="shared" si="55"/>
        <v/>
      </c>
      <c r="E599" s="262" t="str">
        <f t="shared" ref="E599:E662" si="60">IF(G599="","",IF(OR(G599="1.謝金（内部）",G599="1.謝金（外部）"),"謝金",IF(G599="2.旅費","旅費",IF(G599="16.対象外経費","その他","所費"))))</f>
        <v/>
      </c>
      <c r="F599" s="125" t="str">
        <f>IF(G599="","",VLOOKUP(G599,プルダウン用リスト!$K$1:$M$16,2,FALSE))</f>
        <v/>
      </c>
      <c r="G599" s="67"/>
      <c r="H599" s="55"/>
      <c r="I599" s="67"/>
      <c r="J599" s="134"/>
      <c r="K599" s="68"/>
      <c r="L599" s="69"/>
      <c r="M599" s="69"/>
      <c r="N599" s="260" t="str">
        <f t="shared" si="56"/>
        <v/>
      </c>
      <c r="O599" s="256">
        <f t="shared" si="58"/>
        <v>0</v>
      </c>
      <c r="P599" s="257" t="str">
        <f t="shared" si="57"/>
        <v>×</v>
      </c>
      <c r="Q599" s="272" t="str">
        <f t="shared" si="59"/>
        <v/>
      </c>
    </row>
    <row r="600" spans="2:17">
      <c r="B600" s="65"/>
      <c r="C600" s="54"/>
      <c r="D600" s="261" t="str">
        <f t="shared" si="55"/>
        <v/>
      </c>
      <c r="E600" s="262" t="str">
        <f t="shared" si="60"/>
        <v/>
      </c>
      <c r="F600" s="125" t="str">
        <f>IF(G600="","",VLOOKUP(G600,プルダウン用リスト!$K$1:$M$16,2,FALSE))</f>
        <v/>
      </c>
      <c r="G600" s="67"/>
      <c r="H600" s="67"/>
      <c r="I600" s="67"/>
      <c r="J600" s="134"/>
      <c r="K600" s="68"/>
      <c r="L600" s="69"/>
      <c r="M600" s="69"/>
      <c r="N600" s="260" t="str">
        <f t="shared" si="56"/>
        <v/>
      </c>
      <c r="O600" s="256">
        <f t="shared" si="58"/>
        <v>0</v>
      </c>
      <c r="P600" s="257" t="str">
        <f t="shared" si="57"/>
        <v>×</v>
      </c>
      <c r="Q600" s="272" t="str">
        <f t="shared" si="59"/>
        <v/>
      </c>
    </row>
    <row r="601" spans="2:17">
      <c r="B601" s="65"/>
      <c r="C601" s="54"/>
      <c r="D601" s="261" t="str">
        <f t="shared" si="55"/>
        <v/>
      </c>
      <c r="E601" s="262" t="str">
        <f t="shared" si="60"/>
        <v/>
      </c>
      <c r="F601" s="125" t="str">
        <f>IF(G601="","",VLOOKUP(G601,プルダウン用リスト!$K$1:$M$16,2,FALSE))</f>
        <v/>
      </c>
      <c r="G601" s="67"/>
      <c r="H601" s="55"/>
      <c r="I601" s="67"/>
      <c r="J601" s="134"/>
      <c r="K601" s="68"/>
      <c r="L601" s="69"/>
      <c r="M601" s="69"/>
      <c r="N601" s="260" t="str">
        <f t="shared" si="56"/>
        <v/>
      </c>
      <c r="O601" s="256">
        <f t="shared" si="58"/>
        <v>0</v>
      </c>
      <c r="P601" s="257" t="str">
        <f t="shared" si="57"/>
        <v>×</v>
      </c>
      <c r="Q601" s="272" t="str">
        <f t="shared" si="59"/>
        <v/>
      </c>
    </row>
    <row r="602" spans="2:17">
      <c r="B602" s="65"/>
      <c r="C602" s="54"/>
      <c r="D602" s="261" t="str">
        <f t="shared" si="55"/>
        <v/>
      </c>
      <c r="E602" s="262" t="str">
        <f t="shared" si="60"/>
        <v/>
      </c>
      <c r="F602" s="125" t="str">
        <f>IF(G602="","",VLOOKUP(G602,プルダウン用リスト!$K$1:$M$16,2,FALSE))</f>
        <v/>
      </c>
      <c r="G602" s="67"/>
      <c r="H602" s="55"/>
      <c r="I602" s="67"/>
      <c r="J602" s="134"/>
      <c r="K602" s="68"/>
      <c r="L602" s="69"/>
      <c r="M602" s="69"/>
      <c r="N602" s="260" t="str">
        <f t="shared" si="56"/>
        <v/>
      </c>
      <c r="O602" s="256">
        <f t="shared" si="58"/>
        <v>0</v>
      </c>
      <c r="P602" s="257" t="str">
        <f t="shared" si="57"/>
        <v>×</v>
      </c>
      <c r="Q602" s="272" t="str">
        <f t="shared" si="59"/>
        <v/>
      </c>
    </row>
    <row r="603" spans="2:17">
      <c r="B603" s="65"/>
      <c r="C603" s="54"/>
      <c r="D603" s="261" t="str">
        <f t="shared" si="55"/>
        <v/>
      </c>
      <c r="E603" s="262" t="str">
        <f t="shared" si="60"/>
        <v/>
      </c>
      <c r="F603" s="125" t="str">
        <f>IF(G603="","",VLOOKUP(G603,プルダウン用リスト!$K$1:$M$16,2,FALSE))</f>
        <v/>
      </c>
      <c r="G603" s="67"/>
      <c r="H603" s="67"/>
      <c r="I603" s="67"/>
      <c r="J603" s="134"/>
      <c r="K603" s="68"/>
      <c r="L603" s="69"/>
      <c r="M603" s="69"/>
      <c r="N603" s="260" t="str">
        <f t="shared" si="56"/>
        <v/>
      </c>
      <c r="O603" s="256">
        <f t="shared" si="58"/>
        <v>0</v>
      </c>
      <c r="P603" s="257" t="str">
        <f t="shared" si="57"/>
        <v>×</v>
      </c>
      <c r="Q603" s="272" t="str">
        <f t="shared" si="59"/>
        <v/>
      </c>
    </row>
    <row r="604" spans="2:17">
      <c r="B604" s="65"/>
      <c r="C604" s="54"/>
      <c r="D604" s="261" t="str">
        <f t="shared" si="55"/>
        <v/>
      </c>
      <c r="E604" s="262" t="str">
        <f t="shared" si="60"/>
        <v/>
      </c>
      <c r="F604" s="125" t="str">
        <f>IF(G604="","",VLOOKUP(G604,プルダウン用リスト!$K$1:$M$16,2,FALSE))</f>
        <v/>
      </c>
      <c r="G604" s="67"/>
      <c r="H604" s="55"/>
      <c r="I604" s="67"/>
      <c r="J604" s="134"/>
      <c r="K604" s="68"/>
      <c r="L604" s="69"/>
      <c r="M604" s="69"/>
      <c r="N604" s="260" t="str">
        <f t="shared" si="56"/>
        <v/>
      </c>
      <c r="O604" s="256">
        <f t="shared" si="58"/>
        <v>0</v>
      </c>
      <c r="P604" s="257" t="str">
        <f t="shared" si="57"/>
        <v>×</v>
      </c>
      <c r="Q604" s="272" t="str">
        <f t="shared" si="59"/>
        <v/>
      </c>
    </row>
    <row r="605" spans="2:17">
      <c r="B605" s="65"/>
      <c r="C605" s="54"/>
      <c r="D605" s="261" t="str">
        <f t="shared" si="55"/>
        <v/>
      </c>
      <c r="E605" s="262" t="str">
        <f t="shared" si="60"/>
        <v/>
      </c>
      <c r="F605" s="125" t="str">
        <f>IF(G605="","",VLOOKUP(G605,プルダウン用リスト!$K$1:$M$16,2,FALSE))</f>
        <v/>
      </c>
      <c r="G605" s="67"/>
      <c r="H605" s="55"/>
      <c r="I605" s="67"/>
      <c r="J605" s="134"/>
      <c r="K605" s="68"/>
      <c r="L605" s="69"/>
      <c r="M605" s="69"/>
      <c r="N605" s="260" t="str">
        <f t="shared" si="56"/>
        <v/>
      </c>
      <c r="O605" s="256">
        <f t="shared" si="58"/>
        <v>0</v>
      </c>
      <c r="P605" s="257" t="str">
        <f t="shared" si="57"/>
        <v>×</v>
      </c>
      <c r="Q605" s="272" t="str">
        <f t="shared" si="59"/>
        <v/>
      </c>
    </row>
    <row r="606" spans="2:17">
      <c r="B606" s="65"/>
      <c r="C606" s="66"/>
      <c r="D606" s="261" t="str">
        <f t="shared" si="55"/>
        <v/>
      </c>
      <c r="E606" s="262" t="str">
        <f t="shared" si="60"/>
        <v/>
      </c>
      <c r="F606" s="125" t="str">
        <f>IF(G606="","",VLOOKUP(G606,プルダウン用リスト!$K$1:$M$16,2,FALSE))</f>
        <v/>
      </c>
      <c r="G606" s="67"/>
      <c r="H606" s="67"/>
      <c r="I606" s="67"/>
      <c r="J606" s="134"/>
      <c r="K606" s="68"/>
      <c r="L606" s="69"/>
      <c r="M606" s="69"/>
      <c r="N606" s="260" t="str">
        <f t="shared" si="56"/>
        <v/>
      </c>
      <c r="O606" s="256">
        <f t="shared" si="58"/>
        <v>0</v>
      </c>
      <c r="P606" s="257" t="str">
        <f t="shared" si="57"/>
        <v>×</v>
      </c>
      <c r="Q606" s="272" t="str">
        <f t="shared" si="59"/>
        <v/>
      </c>
    </row>
    <row r="607" spans="2:17">
      <c r="B607" s="65"/>
      <c r="C607" s="54"/>
      <c r="D607" s="261" t="str">
        <f t="shared" si="55"/>
        <v/>
      </c>
      <c r="E607" s="262" t="str">
        <f t="shared" si="60"/>
        <v/>
      </c>
      <c r="F607" s="125" t="str">
        <f>IF(G607="","",VLOOKUP(G607,プルダウン用リスト!$K$1:$M$16,2,FALSE))</f>
        <v/>
      </c>
      <c r="G607" s="67"/>
      <c r="H607" s="55"/>
      <c r="I607" s="67"/>
      <c r="J607" s="134"/>
      <c r="K607" s="68"/>
      <c r="L607" s="69"/>
      <c r="M607" s="69"/>
      <c r="N607" s="260" t="str">
        <f t="shared" si="56"/>
        <v/>
      </c>
      <c r="O607" s="256">
        <f t="shared" si="58"/>
        <v>0</v>
      </c>
      <c r="P607" s="257" t="str">
        <f t="shared" si="57"/>
        <v>×</v>
      </c>
      <c r="Q607" s="272" t="str">
        <f t="shared" si="59"/>
        <v/>
      </c>
    </row>
    <row r="608" spans="2:17">
      <c r="B608" s="65"/>
      <c r="C608" s="54"/>
      <c r="D608" s="261" t="str">
        <f t="shared" si="55"/>
        <v/>
      </c>
      <c r="E608" s="262" t="str">
        <f t="shared" si="60"/>
        <v/>
      </c>
      <c r="F608" s="125" t="str">
        <f>IF(G608="","",VLOOKUP(G608,プルダウン用リスト!$K$1:$M$16,2,FALSE))</f>
        <v/>
      </c>
      <c r="G608" s="67"/>
      <c r="H608" s="55"/>
      <c r="I608" s="67"/>
      <c r="J608" s="134"/>
      <c r="K608" s="68"/>
      <c r="L608" s="69"/>
      <c r="M608" s="69"/>
      <c r="N608" s="260" t="str">
        <f t="shared" si="56"/>
        <v/>
      </c>
      <c r="O608" s="256">
        <f t="shared" si="58"/>
        <v>0</v>
      </c>
      <c r="P608" s="257" t="str">
        <f t="shared" si="57"/>
        <v>×</v>
      </c>
      <c r="Q608" s="272" t="str">
        <f t="shared" si="59"/>
        <v/>
      </c>
    </row>
    <row r="609" spans="2:17">
      <c r="B609" s="65"/>
      <c r="C609" s="54"/>
      <c r="D609" s="261" t="str">
        <f t="shared" si="55"/>
        <v/>
      </c>
      <c r="E609" s="262" t="str">
        <f t="shared" si="60"/>
        <v/>
      </c>
      <c r="F609" s="125" t="str">
        <f>IF(G609="","",VLOOKUP(G609,プルダウン用リスト!$K$1:$M$16,2,FALSE))</f>
        <v/>
      </c>
      <c r="G609" s="67"/>
      <c r="H609" s="67"/>
      <c r="I609" s="67"/>
      <c r="J609" s="134"/>
      <c r="K609" s="68"/>
      <c r="L609" s="69"/>
      <c r="M609" s="69"/>
      <c r="N609" s="260" t="str">
        <f t="shared" si="56"/>
        <v/>
      </c>
      <c r="O609" s="256">
        <f t="shared" si="58"/>
        <v>0</v>
      </c>
      <c r="P609" s="257" t="str">
        <f t="shared" si="57"/>
        <v>×</v>
      </c>
      <c r="Q609" s="272" t="str">
        <f t="shared" si="59"/>
        <v/>
      </c>
    </row>
    <row r="610" spans="2:17">
      <c r="B610" s="65"/>
      <c r="C610" s="54"/>
      <c r="D610" s="261" t="str">
        <f t="shared" si="55"/>
        <v/>
      </c>
      <c r="E610" s="262" t="str">
        <f t="shared" si="60"/>
        <v/>
      </c>
      <c r="F610" s="125" t="str">
        <f>IF(G610="","",VLOOKUP(G610,プルダウン用リスト!$K$1:$M$16,2,FALSE))</f>
        <v/>
      </c>
      <c r="G610" s="67"/>
      <c r="H610" s="55"/>
      <c r="I610" s="67"/>
      <c r="J610" s="134"/>
      <c r="K610" s="68"/>
      <c r="L610" s="69"/>
      <c r="M610" s="69"/>
      <c r="N610" s="260" t="str">
        <f t="shared" si="56"/>
        <v/>
      </c>
      <c r="O610" s="256">
        <f t="shared" si="58"/>
        <v>0</v>
      </c>
      <c r="P610" s="257" t="str">
        <f t="shared" si="57"/>
        <v>×</v>
      </c>
      <c r="Q610" s="272" t="str">
        <f t="shared" si="59"/>
        <v/>
      </c>
    </row>
    <row r="611" spans="2:17">
      <c r="B611" s="65"/>
      <c r="C611" s="54"/>
      <c r="D611" s="261" t="str">
        <f t="shared" si="55"/>
        <v/>
      </c>
      <c r="E611" s="262" t="str">
        <f t="shared" si="60"/>
        <v/>
      </c>
      <c r="F611" s="125" t="str">
        <f>IF(G611="","",VLOOKUP(G611,プルダウン用リスト!$K$1:$M$16,2,FALSE))</f>
        <v/>
      </c>
      <c r="G611" s="67"/>
      <c r="H611" s="55"/>
      <c r="I611" s="67"/>
      <c r="J611" s="134"/>
      <c r="K611" s="68"/>
      <c r="L611" s="69"/>
      <c r="M611" s="69"/>
      <c r="N611" s="260" t="str">
        <f t="shared" si="56"/>
        <v/>
      </c>
      <c r="O611" s="256">
        <f t="shared" si="58"/>
        <v>0</v>
      </c>
      <c r="P611" s="257" t="str">
        <f t="shared" si="57"/>
        <v>×</v>
      </c>
      <c r="Q611" s="272" t="str">
        <f t="shared" si="59"/>
        <v/>
      </c>
    </row>
    <row r="612" spans="2:17">
      <c r="B612" s="65"/>
      <c r="C612" s="54"/>
      <c r="D612" s="261" t="str">
        <f t="shared" si="55"/>
        <v/>
      </c>
      <c r="E612" s="262" t="str">
        <f t="shared" si="60"/>
        <v/>
      </c>
      <c r="F612" s="125" t="str">
        <f>IF(G612="","",VLOOKUP(G612,プルダウン用リスト!$K$1:$M$16,2,FALSE))</f>
        <v/>
      </c>
      <c r="G612" s="67"/>
      <c r="H612" s="67"/>
      <c r="I612" s="67"/>
      <c r="J612" s="134"/>
      <c r="K612" s="68"/>
      <c r="L612" s="69"/>
      <c r="M612" s="69"/>
      <c r="N612" s="260" t="str">
        <f t="shared" si="56"/>
        <v/>
      </c>
      <c r="O612" s="256">
        <f t="shared" si="58"/>
        <v>0</v>
      </c>
      <c r="P612" s="257" t="str">
        <f t="shared" si="57"/>
        <v>×</v>
      </c>
      <c r="Q612" s="272" t="str">
        <f t="shared" si="59"/>
        <v/>
      </c>
    </row>
    <row r="613" spans="2:17">
      <c r="B613" s="65"/>
      <c r="C613" s="54"/>
      <c r="D613" s="261" t="str">
        <f t="shared" si="55"/>
        <v/>
      </c>
      <c r="E613" s="262" t="str">
        <f t="shared" si="60"/>
        <v/>
      </c>
      <c r="F613" s="125" t="str">
        <f>IF(G613="","",VLOOKUP(G613,プルダウン用リスト!$K$1:$M$16,2,FALSE))</f>
        <v/>
      </c>
      <c r="G613" s="67"/>
      <c r="H613" s="55"/>
      <c r="I613" s="67"/>
      <c r="J613" s="134"/>
      <c r="K613" s="68"/>
      <c r="L613" s="69"/>
      <c r="M613" s="69"/>
      <c r="N613" s="260" t="str">
        <f t="shared" si="56"/>
        <v/>
      </c>
      <c r="O613" s="256">
        <f t="shared" si="58"/>
        <v>0</v>
      </c>
      <c r="P613" s="257" t="str">
        <f t="shared" si="57"/>
        <v>×</v>
      </c>
      <c r="Q613" s="272" t="str">
        <f t="shared" si="59"/>
        <v/>
      </c>
    </row>
    <row r="614" spans="2:17">
      <c r="B614" s="65"/>
      <c r="C614" s="54"/>
      <c r="D614" s="261" t="str">
        <f t="shared" si="55"/>
        <v/>
      </c>
      <c r="E614" s="262" t="str">
        <f t="shared" si="60"/>
        <v/>
      </c>
      <c r="F614" s="125" t="str">
        <f>IF(G614="","",VLOOKUP(G614,プルダウン用リスト!$K$1:$M$16,2,FALSE))</f>
        <v/>
      </c>
      <c r="G614" s="67"/>
      <c r="H614" s="55"/>
      <c r="I614" s="67"/>
      <c r="J614" s="134"/>
      <c r="K614" s="68"/>
      <c r="L614" s="69"/>
      <c r="M614" s="69"/>
      <c r="N614" s="260" t="str">
        <f t="shared" si="56"/>
        <v/>
      </c>
      <c r="O614" s="256">
        <f t="shared" si="58"/>
        <v>0</v>
      </c>
      <c r="P614" s="257" t="str">
        <f t="shared" si="57"/>
        <v>×</v>
      </c>
      <c r="Q614" s="272" t="str">
        <f t="shared" si="59"/>
        <v/>
      </c>
    </row>
    <row r="615" spans="2:17">
      <c r="B615" s="65"/>
      <c r="C615" s="54"/>
      <c r="D615" s="261" t="str">
        <f t="shared" si="55"/>
        <v/>
      </c>
      <c r="E615" s="262" t="str">
        <f t="shared" si="60"/>
        <v/>
      </c>
      <c r="F615" s="125" t="str">
        <f>IF(G615="","",VLOOKUP(G615,プルダウン用リスト!$K$1:$M$16,2,FALSE))</f>
        <v/>
      </c>
      <c r="G615" s="67"/>
      <c r="H615" s="67"/>
      <c r="I615" s="67"/>
      <c r="J615" s="134"/>
      <c r="K615" s="68"/>
      <c r="L615" s="69"/>
      <c r="M615" s="69"/>
      <c r="N615" s="260" t="str">
        <f t="shared" si="56"/>
        <v/>
      </c>
      <c r="O615" s="256">
        <f t="shared" si="58"/>
        <v>0</v>
      </c>
      <c r="P615" s="257" t="str">
        <f t="shared" si="57"/>
        <v>×</v>
      </c>
      <c r="Q615" s="272" t="str">
        <f t="shared" si="59"/>
        <v/>
      </c>
    </row>
    <row r="616" spans="2:17">
      <c r="B616" s="65"/>
      <c r="C616" s="54"/>
      <c r="D616" s="261" t="str">
        <f t="shared" si="55"/>
        <v/>
      </c>
      <c r="E616" s="262" t="str">
        <f t="shared" si="60"/>
        <v/>
      </c>
      <c r="F616" s="125" t="str">
        <f>IF(G616="","",VLOOKUP(G616,プルダウン用リスト!$K$1:$M$16,2,FALSE))</f>
        <v/>
      </c>
      <c r="G616" s="67"/>
      <c r="H616" s="55"/>
      <c r="I616" s="67"/>
      <c r="J616" s="134"/>
      <c r="K616" s="68"/>
      <c r="L616" s="69"/>
      <c r="M616" s="69"/>
      <c r="N616" s="260" t="str">
        <f t="shared" si="56"/>
        <v/>
      </c>
      <c r="O616" s="256">
        <f t="shared" si="58"/>
        <v>0</v>
      </c>
      <c r="P616" s="257" t="str">
        <f t="shared" si="57"/>
        <v>×</v>
      </c>
      <c r="Q616" s="272" t="str">
        <f t="shared" si="59"/>
        <v/>
      </c>
    </row>
    <row r="617" spans="2:17">
      <c r="B617" s="65"/>
      <c r="C617" s="54"/>
      <c r="D617" s="261" t="str">
        <f t="shared" si="55"/>
        <v/>
      </c>
      <c r="E617" s="262" t="str">
        <f t="shared" si="60"/>
        <v/>
      </c>
      <c r="F617" s="125" t="str">
        <f>IF(G617="","",VLOOKUP(G617,プルダウン用リスト!$K$1:$M$16,2,FALSE))</f>
        <v/>
      </c>
      <c r="G617" s="67"/>
      <c r="H617" s="55"/>
      <c r="I617" s="67"/>
      <c r="J617" s="134"/>
      <c r="K617" s="68"/>
      <c r="L617" s="69"/>
      <c r="M617" s="69"/>
      <c r="N617" s="260" t="str">
        <f t="shared" si="56"/>
        <v/>
      </c>
      <c r="O617" s="256">
        <f t="shared" si="58"/>
        <v>0</v>
      </c>
      <c r="P617" s="257" t="str">
        <f t="shared" si="57"/>
        <v>×</v>
      </c>
      <c r="Q617" s="272" t="str">
        <f t="shared" si="59"/>
        <v/>
      </c>
    </row>
    <row r="618" spans="2:17">
      <c r="B618" s="65"/>
      <c r="C618" s="66"/>
      <c r="D618" s="261" t="str">
        <f t="shared" si="55"/>
        <v/>
      </c>
      <c r="E618" s="262" t="str">
        <f t="shared" si="60"/>
        <v/>
      </c>
      <c r="F618" s="125" t="str">
        <f>IF(G618="","",VLOOKUP(G618,プルダウン用リスト!$K$1:$M$16,2,FALSE))</f>
        <v/>
      </c>
      <c r="G618" s="67"/>
      <c r="H618" s="67"/>
      <c r="I618" s="67"/>
      <c r="J618" s="134"/>
      <c r="K618" s="68"/>
      <c r="L618" s="69"/>
      <c r="M618" s="69"/>
      <c r="N618" s="260" t="str">
        <f t="shared" si="56"/>
        <v/>
      </c>
      <c r="O618" s="256">
        <f t="shared" si="58"/>
        <v>0</v>
      </c>
      <c r="P618" s="257" t="str">
        <f t="shared" si="57"/>
        <v>×</v>
      </c>
      <c r="Q618" s="272" t="str">
        <f t="shared" si="59"/>
        <v/>
      </c>
    </row>
    <row r="619" spans="2:17">
      <c r="B619" s="65"/>
      <c r="C619" s="54"/>
      <c r="D619" s="261" t="str">
        <f t="shared" si="55"/>
        <v/>
      </c>
      <c r="E619" s="262" t="str">
        <f t="shared" si="60"/>
        <v/>
      </c>
      <c r="F619" s="125" t="str">
        <f>IF(G619="","",VLOOKUP(G619,プルダウン用リスト!$K$1:$M$16,2,FALSE))</f>
        <v/>
      </c>
      <c r="G619" s="67"/>
      <c r="H619" s="55"/>
      <c r="I619" s="67"/>
      <c r="J619" s="134"/>
      <c r="K619" s="68"/>
      <c r="L619" s="69"/>
      <c r="M619" s="69"/>
      <c r="N619" s="260" t="str">
        <f t="shared" si="56"/>
        <v/>
      </c>
      <c r="O619" s="256">
        <f t="shared" si="58"/>
        <v>0</v>
      </c>
      <c r="P619" s="257" t="str">
        <f t="shared" si="57"/>
        <v>×</v>
      </c>
      <c r="Q619" s="272" t="str">
        <f t="shared" si="59"/>
        <v/>
      </c>
    </row>
    <row r="620" spans="2:17">
      <c r="B620" s="65"/>
      <c r="C620" s="54"/>
      <c r="D620" s="261" t="str">
        <f t="shared" si="55"/>
        <v/>
      </c>
      <c r="E620" s="262" t="str">
        <f t="shared" si="60"/>
        <v/>
      </c>
      <c r="F620" s="125" t="str">
        <f>IF(G620="","",VLOOKUP(G620,プルダウン用リスト!$K$1:$M$16,2,FALSE))</f>
        <v/>
      </c>
      <c r="G620" s="67"/>
      <c r="H620" s="55"/>
      <c r="I620" s="67"/>
      <c r="J620" s="134"/>
      <c r="K620" s="68"/>
      <c r="L620" s="69"/>
      <c r="M620" s="69"/>
      <c r="N620" s="260" t="str">
        <f t="shared" si="56"/>
        <v/>
      </c>
      <c r="O620" s="256">
        <f t="shared" si="58"/>
        <v>0</v>
      </c>
      <c r="P620" s="257" t="str">
        <f t="shared" si="57"/>
        <v>×</v>
      </c>
      <c r="Q620" s="272" t="str">
        <f t="shared" si="59"/>
        <v/>
      </c>
    </row>
    <row r="621" spans="2:17">
      <c r="B621" s="65"/>
      <c r="C621" s="54"/>
      <c r="D621" s="261" t="str">
        <f t="shared" si="55"/>
        <v/>
      </c>
      <c r="E621" s="262" t="str">
        <f t="shared" si="60"/>
        <v/>
      </c>
      <c r="F621" s="125" t="str">
        <f>IF(G621="","",VLOOKUP(G621,プルダウン用リスト!$K$1:$M$16,2,FALSE))</f>
        <v/>
      </c>
      <c r="G621" s="67"/>
      <c r="H621" s="67"/>
      <c r="I621" s="67"/>
      <c r="J621" s="134"/>
      <c r="K621" s="68"/>
      <c r="L621" s="69"/>
      <c r="M621" s="69"/>
      <c r="N621" s="260" t="str">
        <f t="shared" si="56"/>
        <v/>
      </c>
      <c r="O621" s="256">
        <f t="shared" si="58"/>
        <v>0</v>
      </c>
      <c r="P621" s="257" t="str">
        <f t="shared" si="57"/>
        <v>×</v>
      </c>
      <c r="Q621" s="272" t="str">
        <f t="shared" si="59"/>
        <v/>
      </c>
    </row>
    <row r="622" spans="2:17">
      <c r="B622" s="65"/>
      <c r="C622" s="54"/>
      <c r="D622" s="261" t="str">
        <f t="shared" si="55"/>
        <v/>
      </c>
      <c r="E622" s="262" t="str">
        <f t="shared" si="60"/>
        <v/>
      </c>
      <c r="F622" s="125" t="str">
        <f>IF(G622="","",VLOOKUP(G622,プルダウン用リスト!$K$1:$M$16,2,FALSE))</f>
        <v/>
      </c>
      <c r="G622" s="67"/>
      <c r="H622" s="55"/>
      <c r="I622" s="67"/>
      <c r="J622" s="134"/>
      <c r="K622" s="68"/>
      <c r="L622" s="69"/>
      <c r="M622" s="69"/>
      <c r="N622" s="260" t="str">
        <f t="shared" si="56"/>
        <v/>
      </c>
      <c r="O622" s="256">
        <f t="shared" si="58"/>
        <v>0</v>
      </c>
      <c r="P622" s="257" t="str">
        <f t="shared" si="57"/>
        <v>×</v>
      </c>
      <c r="Q622" s="272" t="str">
        <f t="shared" si="59"/>
        <v/>
      </c>
    </row>
    <row r="623" spans="2:17">
      <c r="B623" s="65"/>
      <c r="C623" s="54"/>
      <c r="D623" s="261" t="str">
        <f t="shared" si="55"/>
        <v/>
      </c>
      <c r="E623" s="262" t="str">
        <f t="shared" si="60"/>
        <v/>
      </c>
      <c r="F623" s="125" t="str">
        <f>IF(G623="","",VLOOKUP(G623,プルダウン用リスト!$K$1:$M$16,2,FALSE))</f>
        <v/>
      </c>
      <c r="G623" s="67"/>
      <c r="H623" s="55"/>
      <c r="I623" s="67"/>
      <c r="J623" s="134"/>
      <c r="K623" s="68"/>
      <c r="L623" s="69"/>
      <c r="M623" s="69"/>
      <c r="N623" s="260" t="str">
        <f t="shared" si="56"/>
        <v/>
      </c>
      <c r="O623" s="256">
        <f t="shared" si="58"/>
        <v>0</v>
      </c>
      <c r="P623" s="257" t="str">
        <f t="shared" si="57"/>
        <v>×</v>
      </c>
      <c r="Q623" s="272" t="str">
        <f t="shared" si="59"/>
        <v/>
      </c>
    </row>
    <row r="624" spans="2:17">
      <c r="B624" s="65"/>
      <c r="C624" s="54"/>
      <c r="D624" s="261" t="str">
        <f t="shared" si="55"/>
        <v/>
      </c>
      <c r="E624" s="262" t="str">
        <f t="shared" si="60"/>
        <v/>
      </c>
      <c r="F624" s="125" t="str">
        <f>IF(G624="","",VLOOKUP(G624,プルダウン用リスト!$K$1:$M$16,2,FALSE))</f>
        <v/>
      </c>
      <c r="G624" s="67"/>
      <c r="H624" s="67"/>
      <c r="I624" s="67"/>
      <c r="J624" s="134"/>
      <c r="K624" s="68"/>
      <c r="L624" s="69"/>
      <c r="M624" s="69"/>
      <c r="N624" s="260" t="str">
        <f t="shared" si="56"/>
        <v/>
      </c>
      <c r="O624" s="256">
        <f t="shared" si="58"/>
        <v>0</v>
      </c>
      <c r="P624" s="257" t="str">
        <f t="shared" si="57"/>
        <v>×</v>
      </c>
      <c r="Q624" s="272" t="str">
        <f t="shared" si="59"/>
        <v/>
      </c>
    </row>
    <row r="625" spans="2:17">
      <c r="B625" s="65"/>
      <c r="C625" s="54"/>
      <c r="D625" s="261" t="str">
        <f t="shared" si="55"/>
        <v/>
      </c>
      <c r="E625" s="262" t="str">
        <f t="shared" si="60"/>
        <v/>
      </c>
      <c r="F625" s="125" t="str">
        <f>IF(G625="","",VLOOKUP(G625,プルダウン用リスト!$K$1:$M$16,2,FALSE))</f>
        <v/>
      </c>
      <c r="G625" s="67"/>
      <c r="H625" s="55"/>
      <c r="I625" s="67"/>
      <c r="J625" s="134"/>
      <c r="K625" s="68"/>
      <c r="L625" s="69"/>
      <c r="M625" s="69"/>
      <c r="N625" s="260" t="str">
        <f t="shared" si="56"/>
        <v/>
      </c>
      <c r="O625" s="256">
        <f t="shared" si="58"/>
        <v>0</v>
      </c>
      <c r="P625" s="257" t="str">
        <f t="shared" si="57"/>
        <v>×</v>
      </c>
      <c r="Q625" s="272" t="str">
        <f t="shared" si="59"/>
        <v/>
      </c>
    </row>
    <row r="626" spans="2:17">
      <c r="B626" s="65"/>
      <c r="C626" s="54"/>
      <c r="D626" s="261" t="str">
        <f t="shared" si="55"/>
        <v/>
      </c>
      <c r="E626" s="262" t="str">
        <f t="shared" si="60"/>
        <v/>
      </c>
      <c r="F626" s="125" t="str">
        <f>IF(G626="","",VLOOKUP(G626,プルダウン用リスト!$K$1:$M$16,2,FALSE))</f>
        <v/>
      </c>
      <c r="G626" s="67"/>
      <c r="H626" s="55"/>
      <c r="I626" s="67"/>
      <c r="J626" s="134"/>
      <c r="K626" s="68"/>
      <c r="L626" s="69"/>
      <c r="M626" s="69"/>
      <c r="N626" s="260" t="str">
        <f t="shared" si="56"/>
        <v/>
      </c>
      <c r="O626" s="256">
        <f t="shared" si="58"/>
        <v>0</v>
      </c>
      <c r="P626" s="257" t="str">
        <f t="shared" si="57"/>
        <v>×</v>
      </c>
      <c r="Q626" s="272" t="str">
        <f t="shared" si="59"/>
        <v/>
      </c>
    </row>
    <row r="627" spans="2:17">
      <c r="B627" s="65"/>
      <c r="C627" s="54"/>
      <c r="D627" s="261" t="str">
        <f t="shared" si="55"/>
        <v/>
      </c>
      <c r="E627" s="262" t="str">
        <f t="shared" si="60"/>
        <v/>
      </c>
      <c r="F627" s="125" t="str">
        <f>IF(G627="","",VLOOKUP(G627,プルダウン用リスト!$K$1:$M$16,2,FALSE))</f>
        <v/>
      </c>
      <c r="G627" s="67"/>
      <c r="H627" s="67"/>
      <c r="I627" s="67"/>
      <c r="J627" s="134"/>
      <c r="K627" s="68"/>
      <c r="L627" s="69"/>
      <c r="M627" s="69"/>
      <c r="N627" s="260" t="str">
        <f t="shared" si="56"/>
        <v/>
      </c>
      <c r="O627" s="256">
        <f t="shared" si="58"/>
        <v>0</v>
      </c>
      <c r="P627" s="257" t="str">
        <f t="shared" si="57"/>
        <v>×</v>
      </c>
      <c r="Q627" s="272" t="str">
        <f t="shared" si="59"/>
        <v/>
      </c>
    </row>
    <row r="628" spans="2:17">
      <c r="B628" s="65"/>
      <c r="C628" s="54"/>
      <c r="D628" s="261" t="str">
        <f t="shared" si="55"/>
        <v/>
      </c>
      <c r="E628" s="262" t="str">
        <f t="shared" si="60"/>
        <v/>
      </c>
      <c r="F628" s="125" t="str">
        <f>IF(G628="","",VLOOKUP(G628,プルダウン用リスト!$K$1:$M$16,2,FALSE))</f>
        <v/>
      </c>
      <c r="G628" s="67"/>
      <c r="H628" s="55"/>
      <c r="I628" s="67"/>
      <c r="J628" s="134"/>
      <c r="K628" s="68"/>
      <c r="L628" s="69"/>
      <c r="M628" s="69"/>
      <c r="N628" s="260" t="str">
        <f t="shared" si="56"/>
        <v/>
      </c>
      <c r="O628" s="256">
        <f t="shared" si="58"/>
        <v>0</v>
      </c>
      <c r="P628" s="257" t="str">
        <f t="shared" si="57"/>
        <v>×</v>
      </c>
      <c r="Q628" s="272" t="str">
        <f t="shared" si="59"/>
        <v/>
      </c>
    </row>
    <row r="629" spans="2:17">
      <c r="B629" s="65"/>
      <c r="C629" s="54"/>
      <c r="D629" s="261" t="str">
        <f t="shared" si="55"/>
        <v/>
      </c>
      <c r="E629" s="262" t="str">
        <f t="shared" si="60"/>
        <v/>
      </c>
      <c r="F629" s="125" t="str">
        <f>IF(G629="","",VLOOKUP(G629,プルダウン用リスト!$K$1:$M$16,2,FALSE))</f>
        <v/>
      </c>
      <c r="G629" s="67"/>
      <c r="H629" s="55"/>
      <c r="I629" s="67"/>
      <c r="J629" s="134"/>
      <c r="K629" s="68"/>
      <c r="L629" s="69"/>
      <c r="M629" s="69"/>
      <c r="N629" s="260" t="str">
        <f t="shared" si="56"/>
        <v/>
      </c>
      <c r="O629" s="256">
        <f t="shared" si="58"/>
        <v>0</v>
      </c>
      <c r="P629" s="257" t="str">
        <f t="shared" si="57"/>
        <v>×</v>
      </c>
      <c r="Q629" s="272" t="str">
        <f t="shared" si="59"/>
        <v/>
      </c>
    </row>
    <row r="630" spans="2:17">
      <c r="B630" s="65"/>
      <c r="C630" s="66"/>
      <c r="D630" s="261" t="str">
        <f t="shared" si="55"/>
        <v/>
      </c>
      <c r="E630" s="262" t="str">
        <f t="shared" si="60"/>
        <v/>
      </c>
      <c r="F630" s="125" t="str">
        <f>IF(G630="","",VLOOKUP(G630,プルダウン用リスト!$K$1:$M$16,2,FALSE))</f>
        <v/>
      </c>
      <c r="G630" s="67"/>
      <c r="H630" s="67"/>
      <c r="I630" s="67"/>
      <c r="J630" s="134"/>
      <c r="K630" s="68"/>
      <c r="L630" s="69"/>
      <c r="M630" s="69"/>
      <c r="N630" s="260" t="str">
        <f t="shared" si="56"/>
        <v/>
      </c>
      <c r="O630" s="256">
        <f t="shared" si="58"/>
        <v>0</v>
      </c>
      <c r="P630" s="257" t="str">
        <f t="shared" si="57"/>
        <v>×</v>
      </c>
      <c r="Q630" s="272" t="str">
        <f t="shared" si="59"/>
        <v/>
      </c>
    </row>
    <row r="631" spans="2:17">
      <c r="B631" s="65"/>
      <c r="C631" s="54"/>
      <c r="D631" s="261" t="str">
        <f t="shared" si="55"/>
        <v/>
      </c>
      <c r="E631" s="262" t="str">
        <f t="shared" si="60"/>
        <v/>
      </c>
      <c r="F631" s="125" t="str">
        <f>IF(G631="","",VLOOKUP(G631,プルダウン用リスト!$K$1:$M$16,2,FALSE))</f>
        <v/>
      </c>
      <c r="G631" s="67"/>
      <c r="H631" s="55"/>
      <c r="I631" s="67"/>
      <c r="J631" s="134"/>
      <c r="K631" s="68"/>
      <c r="L631" s="69"/>
      <c r="M631" s="69"/>
      <c r="N631" s="260" t="str">
        <f t="shared" si="56"/>
        <v/>
      </c>
      <c r="O631" s="256">
        <f t="shared" si="58"/>
        <v>0</v>
      </c>
      <c r="P631" s="257" t="str">
        <f t="shared" si="57"/>
        <v>×</v>
      </c>
      <c r="Q631" s="272" t="str">
        <f t="shared" si="59"/>
        <v/>
      </c>
    </row>
    <row r="632" spans="2:17">
      <c r="B632" s="65"/>
      <c r="C632" s="54"/>
      <c r="D632" s="261" t="str">
        <f t="shared" si="55"/>
        <v/>
      </c>
      <c r="E632" s="262" t="str">
        <f t="shared" si="60"/>
        <v/>
      </c>
      <c r="F632" s="125" t="str">
        <f>IF(G632="","",VLOOKUP(G632,プルダウン用リスト!$K$1:$M$16,2,FALSE))</f>
        <v/>
      </c>
      <c r="G632" s="67"/>
      <c r="H632" s="55"/>
      <c r="I632" s="67"/>
      <c r="J632" s="134"/>
      <c r="K632" s="68"/>
      <c r="L632" s="69"/>
      <c r="M632" s="69"/>
      <c r="N632" s="260" t="str">
        <f t="shared" si="56"/>
        <v/>
      </c>
      <c r="O632" s="256">
        <f t="shared" si="58"/>
        <v>0</v>
      </c>
      <c r="P632" s="257" t="str">
        <f t="shared" si="57"/>
        <v>×</v>
      </c>
      <c r="Q632" s="272" t="str">
        <f t="shared" si="59"/>
        <v/>
      </c>
    </row>
    <row r="633" spans="2:17">
      <c r="B633" s="65"/>
      <c r="C633" s="54"/>
      <c r="D633" s="261" t="str">
        <f t="shared" si="55"/>
        <v/>
      </c>
      <c r="E633" s="262" t="str">
        <f t="shared" si="60"/>
        <v/>
      </c>
      <c r="F633" s="125" t="str">
        <f>IF(G633="","",VLOOKUP(G633,プルダウン用リスト!$K$1:$M$16,2,FALSE))</f>
        <v/>
      </c>
      <c r="G633" s="67"/>
      <c r="H633" s="67"/>
      <c r="I633" s="67"/>
      <c r="J633" s="134"/>
      <c r="K633" s="68"/>
      <c r="L633" s="69"/>
      <c r="M633" s="69"/>
      <c r="N633" s="260" t="str">
        <f t="shared" si="56"/>
        <v/>
      </c>
      <c r="O633" s="256">
        <f t="shared" si="58"/>
        <v>0</v>
      </c>
      <c r="P633" s="257" t="str">
        <f t="shared" si="57"/>
        <v>×</v>
      </c>
      <c r="Q633" s="272" t="str">
        <f t="shared" si="59"/>
        <v/>
      </c>
    </row>
    <row r="634" spans="2:17">
      <c r="B634" s="65"/>
      <c r="C634" s="54"/>
      <c r="D634" s="261" t="str">
        <f t="shared" si="55"/>
        <v/>
      </c>
      <c r="E634" s="262" t="str">
        <f t="shared" si="60"/>
        <v/>
      </c>
      <c r="F634" s="125" t="str">
        <f>IF(G634="","",VLOOKUP(G634,プルダウン用リスト!$K$1:$M$16,2,FALSE))</f>
        <v/>
      </c>
      <c r="G634" s="67"/>
      <c r="H634" s="55"/>
      <c r="I634" s="67"/>
      <c r="J634" s="134"/>
      <c r="K634" s="68"/>
      <c r="L634" s="69"/>
      <c r="M634" s="69"/>
      <c r="N634" s="260" t="str">
        <f t="shared" si="56"/>
        <v/>
      </c>
      <c r="O634" s="256">
        <f t="shared" si="58"/>
        <v>0</v>
      </c>
      <c r="P634" s="257" t="str">
        <f t="shared" si="57"/>
        <v>×</v>
      </c>
      <c r="Q634" s="272" t="str">
        <f t="shared" si="59"/>
        <v/>
      </c>
    </row>
    <row r="635" spans="2:17">
      <c r="B635" s="65"/>
      <c r="C635" s="54"/>
      <c r="D635" s="261" t="str">
        <f t="shared" si="55"/>
        <v/>
      </c>
      <c r="E635" s="262" t="str">
        <f t="shared" si="60"/>
        <v/>
      </c>
      <c r="F635" s="125" t="str">
        <f>IF(G635="","",VLOOKUP(G635,プルダウン用リスト!$K$1:$M$16,2,FALSE))</f>
        <v/>
      </c>
      <c r="G635" s="67"/>
      <c r="H635" s="55"/>
      <c r="I635" s="67"/>
      <c r="J635" s="134"/>
      <c r="K635" s="68"/>
      <c r="L635" s="69"/>
      <c r="M635" s="69"/>
      <c r="N635" s="260" t="str">
        <f t="shared" si="56"/>
        <v/>
      </c>
      <c r="O635" s="256">
        <f t="shared" si="58"/>
        <v>0</v>
      </c>
      <c r="P635" s="257" t="str">
        <f t="shared" si="57"/>
        <v>×</v>
      </c>
      <c r="Q635" s="272" t="str">
        <f t="shared" si="59"/>
        <v/>
      </c>
    </row>
    <row r="636" spans="2:17">
      <c r="B636" s="65"/>
      <c r="C636" s="54"/>
      <c r="D636" s="261" t="str">
        <f t="shared" si="55"/>
        <v/>
      </c>
      <c r="E636" s="262" t="str">
        <f t="shared" si="60"/>
        <v/>
      </c>
      <c r="F636" s="125" t="str">
        <f>IF(G636="","",VLOOKUP(G636,プルダウン用リスト!$K$1:$M$16,2,FALSE))</f>
        <v/>
      </c>
      <c r="G636" s="67"/>
      <c r="H636" s="67"/>
      <c r="I636" s="67"/>
      <c r="J636" s="134"/>
      <c r="K636" s="68"/>
      <c r="L636" s="69"/>
      <c r="M636" s="69"/>
      <c r="N636" s="260" t="str">
        <f t="shared" si="56"/>
        <v/>
      </c>
      <c r="O636" s="256">
        <f t="shared" si="58"/>
        <v>0</v>
      </c>
      <c r="P636" s="257" t="str">
        <f t="shared" si="57"/>
        <v>×</v>
      </c>
      <c r="Q636" s="272" t="str">
        <f t="shared" si="59"/>
        <v/>
      </c>
    </row>
    <row r="637" spans="2:17">
      <c r="B637" s="65"/>
      <c r="C637" s="54"/>
      <c r="D637" s="261" t="str">
        <f t="shared" si="55"/>
        <v/>
      </c>
      <c r="E637" s="262" t="str">
        <f t="shared" si="60"/>
        <v/>
      </c>
      <c r="F637" s="125" t="str">
        <f>IF(G637="","",VLOOKUP(G637,プルダウン用リスト!$K$1:$M$16,2,FALSE))</f>
        <v/>
      </c>
      <c r="G637" s="67"/>
      <c r="H637" s="55"/>
      <c r="I637" s="67"/>
      <c r="J637" s="134"/>
      <c r="K637" s="68"/>
      <c r="L637" s="69"/>
      <c r="M637" s="69"/>
      <c r="N637" s="260" t="str">
        <f t="shared" si="56"/>
        <v/>
      </c>
      <c r="O637" s="256">
        <f t="shared" si="58"/>
        <v>0</v>
      </c>
      <c r="P637" s="257" t="str">
        <f t="shared" si="57"/>
        <v>×</v>
      </c>
      <c r="Q637" s="272" t="str">
        <f t="shared" si="59"/>
        <v/>
      </c>
    </row>
    <row r="638" spans="2:17">
      <c r="B638" s="65"/>
      <c r="C638" s="54"/>
      <c r="D638" s="261" t="str">
        <f t="shared" si="55"/>
        <v/>
      </c>
      <c r="E638" s="262" t="str">
        <f t="shared" si="60"/>
        <v/>
      </c>
      <c r="F638" s="125" t="str">
        <f>IF(G638="","",VLOOKUP(G638,プルダウン用リスト!$K$1:$M$16,2,FALSE))</f>
        <v/>
      </c>
      <c r="G638" s="67"/>
      <c r="H638" s="55"/>
      <c r="I638" s="67"/>
      <c r="J638" s="134"/>
      <c r="K638" s="68"/>
      <c r="L638" s="69"/>
      <c r="M638" s="69"/>
      <c r="N638" s="260" t="str">
        <f t="shared" si="56"/>
        <v/>
      </c>
      <c r="O638" s="256">
        <f t="shared" si="58"/>
        <v>0</v>
      </c>
      <c r="P638" s="257" t="str">
        <f t="shared" si="57"/>
        <v>×</v>
      </c>
      <c r="Q638" s="272" t="str">
        <f t="shared" si="59"/>
        <v/>
      </c>
    </row>
    <row r="639" spans="2:17">
      <c r="B639" s="65"/>
      <c r="C639" s="54"/>
      <c r="D639" s="261" t="str">
        <f t="shared" si="55"/>
        <v/>
      </c>
      <c r="E639" s="262" t="str">
        <f t="shared" si="60"/>
        <v/>
      </c>
      <c r="F639" s="125" t="str">
        <f>IF(G639="","",VLOOKUP(G639,プルダウン用リスト!$K$1:$M$16,2,FALSE))</f>
        <v/>
      </c>
      <c r="G639" s="67"/>
      <c r="H639" s="67"/>
      <c r="I639" s="67"/>
      <c r="J639" s="134"/>
      <c r="K639" s="68"/>
      <c r="L639" s="69"/>
      <c r="M639" s="69"/>
      <c r="N639" s="260" t="str">
        <f t="shared" si="56"/>
        <v/>
      </c>
      <c r="O639" s="256">
        <f t="shared" si="58"/>
        <v>0</v>
      </c>
      <c r="P639" s="257" t="str">
        <f t="shared" si="57"/>
        <v>×</v>
      </c>
      <c r="Q639" s="272" t="str">
        <f t="shared" si="59"/>
        <v/>
      </c>
    </row>
    <row r="640" spans="2:17">
      <c r="B640" s="65"/>
      <c r="C640" s="54"/>
      <c r="D640" s="261" t="str">
        <f t="shared" si="55"/>
        <v/>
      </c>
      <c r="E640" s="262" t="str">
        <f t="shared" si="60"/>
        <v/>
      </c>
      <c r="F640" s="125" t="str">
        <f>IF(G640="","",VLOOKUP(G640,プルダウン用リスト!$K$1:$M$16,2,FALSE))</f>
        <v/>
      </c>
      <c r="G640" s="67"/>
      <c r="H640" s="55"/>
      <c r="I640" s="67"/>
      <c r="J640" s="134"/>
      <c r="K640" s="68"/>
      <c r="L640" s="69"/>
      <c r="M640" s="69"/>
      <c r="N640" s="260" t="str">
        <f t="shared" si="56"/>
        <v/>
      </c>
      <c r="O640" s="256">
        <f t="shared" si="58"/>
        <v>0</v>
      </c>
      <c r="P640" s="257" t="str">
        <f t="shared" si="57"/>
        <v>×</v>
      </c>
      <c r="Q640" s="272" t="str">
        <f t="shared" si="59"/>
        <v/>
      </c>
    </row>
    <row r="641" spans="2:17">
      <c r="B641" s="65"/>
      <c r="C641" s="54"/>
      <c r="D641" s="261" t="str">
        <f t="shared" si="55"/>
        <v/>
      </c>
      <c r="E641" s="262" t="str">
        <f t="shared" si="60"/>
        <v/>
      </c>
      <c r="F641" s="125" t="str">
        <f>IF(G641="","",VLOOKUP(G641,プルダウン用リスト!$K$1:$M$16,2,FALSE))</f>
        <v/>
      </c>
      <c r="G641" s="67"/>
      <c r="H641" s="55"/>
      <c r="I641" s="67"/>
      <c r="J641" s="134"/>
      <c r="K641" s="68"/>
      <c r="L641" s="69"/>
      <c r="M641" s="69"/>
      <c r="N641" s="260" t="str">
        <f t="shared" si="56"/>
        <v/>
      </c>
      <c r="O641" s="256">
        <f t="shared" si="58"/>
        <v>0</v>
      </c>
      <c r="P641" s="257" t="str">
        <f t="shared" si="57"/>
        <v>×</v>
      </c>
      <c r="Q641" s="272" t="str">
        <f t="shared" si="59"/>
        <v/>
      </c>
    </row>
    <row r="642" spans="2:17">
      <c r="B642" s="65"/>
      <c r="C642" s="66"/>
      <c r="D642" s="261" t="str">
        <f t="shared" si="55"/>
        <v/>
      </c>
      <c r="E642" s="262" t="str">
        <f t="shared" si="60"/>
        <v/>
      </c>
      <c r="F642" s="125" t="str">
        <f>IF(G642="","",VLOOKUP(G642,プルダウン用リスト!$K$1:$M$16,2,FALSE))</f>
        <v/>
      </c>
      <c r="G642" s="67"/>
      <c r="H642" s="67"/>
      <c r="I642" s="67"/>
      <c r="J642" s="134"/>
      <c r="K642" s="68"/>
      <c r="L642" s="69"/>
      <c r="M642" s="69"/>
      <c r="N642" s="260" t="str">
        <f t="shared" si="56"/>
        <v/>
      </c>
      <c r="O642" s="256">
        <f t="shared" si="58"/>
        <v>0</v>
      </c>
      <c r="P642" s="257" t="str">
        <f t="shared" si="57"/>
        <v>×</v>
      </c>
      <c r="Q642" s="272" t="str">
        <f t="shared" si="59"/>
        <v/>
      </c>
    </row>
    <row r="643" spans="2:17">
      <c r="B643" s="65"/>
      <c r="C643" s="54"/>
      <c r="D643" s="261" t="str">
        <f t="shared" si="55"/>
        <v/>
      </c>
      <c r="E643" s="262" t="str">
        <f t="shared" si="60"/>
        <v/>
      </c>
      <c r="F643" s="125" t="str">
        <f>IF(G643="","",VLOOKUP(G643,プルダウン用リスト!$K$1:$M$16,2,FALSE))</f>
        <v/>
      </c>
      <c r="G643" s="67"/>
      <c r="H643" s="55"/>
      <c r="I643" s="67"/>
      <c r="J643" s="134"/>
      <c r="K643" s="68"/>
      <c r="L643" s="69"/>
      <c r="M643" s="69"/>
      <c r="N643" s="260" t="str">
        <f t="shared" si="56"/>
        <v/>
      </c>
      <c r="O643" s="256">
        <f t="shared" si="58"/>
        <v>0</v>
      </c>
      <c r="P643" s="257" t="str">
        <f t="shared" si="57"/>
        <v>×</v>
      </c>
      <c r="Q643" s="272" t="str">
        <f t="shared" si="59"/>
        <v/>
      </c>
    </row>
    <row r="644" spans="2:17">
      <c r="B644" s="65"/>
      <c r="C644" s="54"/>
      <c r="D644" s="261" t="str">
        <f t="shared" si="55"/>
        <v/>
      </c>
      <c r="E644" s="262" t="str">
        <f t="shared" si="60"/>
        <v/>
      </c>
      <c r="F644" s="125" t="str">
        <f>IF(G644="","",VLOOKUP(G644,プルダウン用リスト!$K$1:$M$16,2,FALSE))</f>
        <v/>
      </c>
      <c r="G644" s="67"/>
      <c r="H644" s="55"/>
      <c r="I644" s="67"/>
      <c r="J644" s="134"/>
      <c r="K644" s="68"/>
      <c r="L644" s="69"/>
      <c r="M644" s="69"/>
      <c r="N644" s="260" t="str">
        <f t="shared" si="56"/>
        <v/>
      </c>
      <c r="O644" s="256">
        <f t="shared" si="58"/>
        <v>0</v>
      </c>
      <c r="P644" s="257" t="str">
        <f t="shared" si="57"/>
        <v>×</v>
      </c>
      <c r="Q644" s="272" t="str">
        <f t="shared" si="59"/>
        <v/>
      </c>
    </row>
    <row r="645" spans="2:17">
      <c r="B645" s="65"/>
      <c r="C645" s="54"/>
      <c r="D645" s="261" t="str">
        <f t="shared" si="55"/>
        <v/>
      </c>
      <c r="E645" s="262" t="str">
        <f t="shared" si="60"/>
        <v/>
      </c>
      <c r="F645" s="125" t="str">
        <f>IF(G645="","",VLOOKUP(G645,プルダウン用リスト!$K$1:$M$16,2,FALSE))</f>
        <v/>
      </c>
      <c r="G645" s="67"/>
      <c r="H645" s="67"/>
      <c r="I645" s="67"/>
      <c r="J645" s="134"/>
      <c r="K645" s="68"/>
      <c r="L645" s="69"/>
      <c r="M645" s="69"/>
      <c r="N645" s="260" t="str">
        <f t="shared" si="56"/>
        <v/>
      </c>
      <c r="O645" s="256">
        <f t="shared" si="58"/>
        <v>0</v>
      </c>
      <c r="P645" s="257" t="str">
        <f t="shared" si="57"/>
        <v>×</v>
      </c>
      <c r="Q645" s="272" t="str">
        <f t="shared" si="59"/>
        <v/>
      </c>
    </row>
    <row r="646" spans="2:17">
      <c r="B646" s="65"/>
      <c r="C646" s="54"/>
      <c r="D646" s="261" t="str">
        <f t="shared" si="55"/>
        <v/>
      </c>
      <c r="E646" s="262" t="str">
        <f t="shared" si="60"/>
        <v/>
      </c>
      <c r="F646" s="125" t="str">
        <f>IF(G646="","",VLOOKUP(G646,プルダウン用リスト!$K$1:$M$16,2,FALSE))</f>
        <v/>
      </c>
      <c r="G646" s="67"/>
      <c r="H646" s="55"/>
      <c r="I646" s="67"/>
      <c r="J646" s="134"/>
      <c r="K646" s="68"/>
      <c r="L646" s="69"/>
      <c r="M646" s="69"/>
      <c r="N646" s="260" t="str">
        <f t="shared" si="56"/>
        <v/>
      </c>
      <c r="O646" s="256">
        <f t="shared" si="58"/>
        <v>0</v>
      </c>
      <c r="P646" s="257" t="str">
        <f t="shared" si="57"/>
        <v>×</v>
      </c>
      <c r="Q646" s="272" t="str">
        <f t="shared" si="59"/>
        <v/>
      </c>
    </row>
    <row r="647" spans="2:17">
      <c r="B647" s="65"/>
      <c r="C647" s="54"/>
      <c r="D647" s="261" t="str">
        <f t="shared" ref="D647:D710" si="61">IF(E647="","",IF(E647="謝金","01.",IF(E647="旅費","02.",IF(E647="その他","04.","03."))))</f>
        <v/>
      </c>
      <c r="E647" s="262" t="str">
        <f t="shared" si="60"/>
        <v/>
      </c>
      <c r="F647" s="125" t="str">
        <f>IF(G647="","",VLOOKUP(G647,プルダウン用リスト!$K$1:$M$16,2,FALSE))</f>
        <v/>
      </c>
      <c r="G647" s="67"/>
      <c r="H647" s="55"/>
      <c r="I647" s="67"/>
      <c r="J647" s="134"/>
      <c r="K647" s="68"/>
      <c r="L647" s="69"/>
      <c r="M647" s="69"/>
      <c r="N647" s="260" t="str">
        <f t="shared" ref="N647:N710" si="62">IF(G647="16.対象外経費",L647,IF(M647="","",L647-M647))</f>
        <v/>
      </c>
      <c r="O647" s="256">
        <f t="shared" si="58"/>
        <v>0</v>
      </c>
      <c r="P647" s="257" t="str">
        <f t="shared" ref="P647:P710" si="63">IF(G647="2.旅費","〇","×")</f>
        <v>×</v>
      </c>
      <c r="Q647" s="272" t="str">
        <f t="shared" si="59"/>
        <v/>
      </c>
    </row>
    <row r="648" spans="2:17">
      <c r="B648" s="65"/>
      <c r="C648" s="54"/>
      <c r="D648" s="261" t="str">
        <f t="shared" si="61"/>
        <v/>
      </c>
      <c r="E648" s="262" t="str">
        <f t="shared" si="60"/>
        <v/>
      </c>
      <c r="F648" s="125" t="str">
        <f>IF(G648="","",VLOOKUP(G648,プルダウン用リスト!$K$1:$M$16,2,FALSE))</f>
        <v/>
      </c>
      <c r="G648" s="67"/>
      <c r="H648" s="67"/>
      <c r="I648" s="67"/>
      <c r="J648" s="134"/>
      <c r="K648" s="68"/>
      <c r="L648" s="69"/>
      <c r="M648" s="69"/>
      <c r="N648" s="260" t="str">
        <f t="shared" si="62"/>
        <v/>
      </c>
      <c r="O648" s="256">
        <f t="shared" ref="O648:O711" si="64">IF(L648&gt;0,COUNTA(B648,C648,G648,H648,I648,K648,,L648,J648),0)</f>
        <v>0</v>
      </c>
      <c r="P648" s="257" t="str">
        <f t="shared" si="63"/>
        <v>×</v>
      </c>
      <c r="Q648" s="272" t="str">
        <f t="shared" ref="Q648:Q711" si="65">_xlfn.IFS(O648=0,"",AND(G648="16.対象外経費",O648=7),"OK",O648&lt;=7,"ピンク色のセルを全て入力してください",O648=9,"OK",P648="〇","旅行区間および宿泊地を入力してください",O648=8,"OK")</f>
        <v/>
      </c>
    </row>
    <row r="649" spans="2:17">
      <c r="B649" s="65"/>
      <c r="C649" s="54"/>
      <c r="D649" s="261" t="str">
        <f t="shared" si="61"/>
        <v/>
      </c>
      <c r="E649" s="262" t="str">
        <f t="shared" si="60"/>
        <v/>
      </c>
      <c r="F649" s="125" t="str">
        <f>IF(G649="","",VLOOKUP(G649,プルダウン用リスト!$K$1:$M$16,2,FALSE))</f>
        <v/>
      </c>
      <c r="G649" s="67"/>
      <c r="H649" s="55"/>
      <c r="I649" s="67"/>
      <c r="J649" s="134"/>
      <c r="K649" s="68"/>
      <c r="L649" s="69"/>
      <c r="M649" s="69"/>
      <c r="N649" s="260" t="str">
        <f t="shared" si="62"/>
        <v/>
      </c>
      <c r="O649" s="256">
        <f t="shared" si="64"/>
        <v>0</v>
      </c>
      <c r="P649" s="257" t="str">
        <f t="shared" si="63"/>
        <v>×</v>
      </c>
      <c r="Q649" s="272" t="str">
        <f t="shared" si="65"/>
        <v/>
      </c>
    </row>
    <row r="650" spans="2:17">
      <c r="B650" s="65"/>
      <c r="C650" s="54"/>
      <c r="D650" s="261" t="str">
        <f t="shared" si="61"/>
        <v/>
      </c>
      <c r="E650" s="262" t="str">
        <f t="shared" si="60"/>
        <v/>
      </c>
      <c r="F650" s="125" t="str">
        <f>IF(G650="","",VLOOKUP(G650,プルダウン用リスト!$K$1:$M$16,2,FALSE))</f>
        <v/>
      </c>
      <c r="G650" s="67"/>
      <c r="H650" s="55"/>
      <c r="I650" s="67"/>
      <c r="J650" s="134"/>
      <c r="K650" s="68"/>
      <c r="L650" s="69"/>
      <c r="M650" s="69"/>
      <c r="N650" s="260" t="str">
        <f t="shared" si="62"/>
        <v/>
      </c>
      <c r="O650" s="256">
        <f t="shared" si="64"/>
        <v>0</v>
      </c>
      <c r="P650" s="257" t="str">
        <f t="shared" si="63"/>
        <v>×</v>
      </c>
      <c r="Q650" s="272" t="str">
        <f t="shared" si="65"/>
        <v/>
      </c>
    </row>
    <row r="651" spans="2:17">
      <c r="B651" s="65"/>
      <c r="C651" s="54"/>
      <c r="D651" s="261" t="str">
        <f t="shared" si="61"/>
        <v/>
      </c>
      <c r="E651" s="262" t="str">
        <f t="shared" si="60"/>
        <v/>
      </c>
      <c r="F651" s="125" t="str">
        <f>IF(G651="","",VLOOKUP(G651,プルダウン用リスト!$K$1:$M$16,2,FALSE))</f>
        <v/>
      </c>
      <c r="G651" s="67"/>
      <c r="H651" s="67"/>
      <c r="I651" s="67"/>
      <c r="J651" s="134"/>
      <c r="K651" s="68"/>
      <c r="L651" s="69"/>
      <c r="M651" s="69"/>
      <c r="N651" s="260" t="str">
        <f t="shared" si="62"/>
        <v/>
      </c>
      <c r="O651" s="256">
        <f t="shared" si="64"/>
        <v>0</v>
      </c>
      <c r="P651" s="257" t="str">
        <f t="shared" si="63"/>
        <v>×</v>
      </c>
      <c r="Q651" s="272" t="str">
        <f t="shared" si="65"/>
        <v/>
      </c>
    </row>
    <row r="652" spans="2:17">
      <c r="B652" s="65"/>
      <c r="C652" s="54"/>
      <c r="D652" s="261" t="str">
        <f t="shared" si="61"/>
        <v/>
      </c>
      <c r="E652" s="262" t="str">
        <f t="shared" si="60"/>
        <v/>
      </c>
      <c r="F652" s="125" t="str">
        <f>IF(G652="","",VLOOKUP(G652,プルダウン用リスト!$K$1:$M$16,2,FALSE))</f>
        <v/>
      </c>
      <c r="G652" s="67"/>
      <c r="H652" s="55"/>
      <c r="I652" s="67"/>
      <c r="J652" s="134"/>
      <c r="K652" s="68"/>
      <c r="L652" s="69"/>
      <c r="M652" s="69"/>
      <c r="N652" s="260" t="str">
        <f t="shared" si="62"/>
        <v/>
      </c>
      <c r="O652" s="256">
        <f t="shared" si="64"/>
        <v>0</v>
      </c>
      <c r="P652" s="257" t="str">
        <f t="shared" si="63"/>
        <v>×</v>
      </c>
      <c r="Q652" s="272" t="str">
        <f t="shared" si="65"/>
        <v/>
      </c>
    </row>
    <row r="653" spans="2:17">
      <c r="B653" s="65"/>
      <c r="C653" s="54"/>
      <c r="D653" s="261" t="str">
        <f t="shared" si="61"/>
        <v/>
      </c>
      <c r="E653" s="262" t="str">
        <f t="shared" si="60"/>
        <v/>
      </c>
      <c r="F653" s="125" t="str">
        <f>IF(G653="","",VLOOKUP(G653,プルダウン用リスト!$K$1:$M$16,2,FALSE))</f>
        <v/>
      </c>
      <c r="G653" s="67"/>
      <c r="H653" s="55"/>
      <c r="I653" s="67"/>
      <c r="J653" s="134"/>
      <c r="K653" s="68"/>
      <c r="L653" s="69"/>
      <c r="M653" s="69"/>
      <c r="N653" s="260" t="str">
        <f t="shared" si="62"/>
        <v/>
      </c>
      <c r="O653" s="256">
        <f t="shared" si="64"/>
        <v>0</v>
      </c>
      <c r="P653" s="257" t="str">
        <f t="shared" si="63"/>
        <v>×</v>
      </c>
      <c r="Q653" s="272" t="str">
        <f t="shared" si="65"/>
        <v/>
      </c>
    </row>
    <row r="654" spans="2:17">
      <c r="B654" s="65"/>
      <c r="C654" s="66"/>
      <c r="D654" s="261" t="str">
        <f t="shared" si="61"/>
        <v/>
      </c>
      <c r="E654" s="262" t="str">
        <f t="shared" si="60"/>
        <v/>
      </c>
      <c r="F654" s="125" t="str">
        <f>IF(G654="","",VLOOKUP(G654,プルダウン用リスト!$K$1:$M$16,2,FALSE))</f>
        <v/>
      </c>
      <c r="G654" s="67"/>
      <c r="H654" s="67"/>
      <c r="I654" s="67"/>
      <c r="J654" s="134"/>
      <c r="K654" s="68"/>
      <c r="L654" s="69"/>
      <c r="M654" s="69"/>
      <c r="N654" s="260" t="str">
        <f t="shared" si="62"/>
        <v/>
      </c>
      <c r="O654" s="256">
        <f t="shared" si="64"/>
        <v>0</v>
      </c>
      <c r="P654" s="257" t="str">
        <f t="shared" si="63"/>
        <v>×</v>
      </c>
      <c r="Q654" s="272" t="str">
        <f t="shared" si="65"/>
        <v/>
      </c>
    </row>
    <row r="655" spans="2:17">
      <c r="B655" s="65"/>
      <c r="C655" s="54"/>
      <c r="D655" s="261" t="str">
        <f t="shared" si="61"/>
        <v/>
      </c>
      <c r="E655" s="262" t="str">
        <f t="shared" si="60"/>
        <v/>
      </c>
      <c r="F655" s="125" t="str">
        <f>IF(G655="","",VLOOKUP(G655,プルダウン用リスト!$K$1:$M$16,2,FALSE))</f>
        <v/>
      </c>
      <c r="G655" s="67"/>
      <c r="H655" s="55"/>
      <c r="I655" s="67"/>
      <c r="J655" s="134"/>
      <c r="K655" s="68"/>
      <c r="L655" s="69"/>
      <c r="M655" s="69"/>
      <c r="N655" s="260" t="str">
        <f t="shared" si="62"/>
        <v/>
      </c>
      <c r="O655" s="256">
        <f t="shared" si="64"/>
        <v>0</v>
      </c>
      <c r="P655" s="257" t="str">
        <f t="shared" si="63"/>
        <v>×</v>
      </c>
      <c r="Q655" s="272" t="str">
        <f t="shared" si="65"/>
        <v/>
      </c>
    </row>
    <row r="656" spans="2:17">
      <c r="B656" s="65"/>
      <c r="C656" s="54"/>
      <c r="D656" s="261" t="str">
        <f t="shared" si="61"/>
        <v/>
      </c>
      <c r="E656" s="262" t="str">
        <f t="shared" si="60"/>
        <v/>
      </c>
      <c r="F656" s="125" t="str">
        <f>IF(G656="","",VLOOKUP(G656,プルダウン用リスト!$K$1:$M$16,2,FALSE))</f>
        <v/>
      </c>
      <c r="G656" s="67"/>
      <c r="H656" s="55"/>
      <c r="I656" s="67"/>
      <c r="J656" s="134"/>
      <c r="K656" s="68"/>
      <c r="L656" s="69"/>
      <c r="M656" s="69"/>
      <c r="N656" s="260" t="str">
        <f t="shared" si="62"/>
        <v/>
      </c>
      <c r="O656" s="256">
        <f t="shared" si="64"/>
        <v>0</v>
      </c>
      <c r="P656" s="257" t="str">
        <f t="shared" si="63"/>
        <v>×</v>
      </c>
      <c r="Q656" s="272" t="str">
        <f t="shared" si="65"/>
        <v/>
      </c>
    </row>
    <row r="657" spans="2:17">
      <c r="B657" s="65"/>
      <c r="C657" s="54"/>
      <c r="D657" s="261" t="str">
        <f t="shared" si="61"/>
        <v/>
      </c>
      <c r="E657" s="262" t="str">
        <f t="shared" si="60"/>
        <v/>
      </c>
      <c r="F657" s="125" t="str">
        <f>IF(G657="","",VLOOKUP(G657,プルダウン用リスト!$K$1:$M$16,2,FALSE))</f>
        <v/>
      </c>
      <c r="G657" s="67"/>
      <c r="H657" s="67"/>
      <c r="I657" s="67"/>
      <c r="J657" s="134"/>
      <c r="K657" s="68"/>
      <c r="L657" s="69"/>
      <c r="M657" s="69"/>
      <c r="N657" s="260" t="str">
        <f t="shared" si="62"/>
        <v/>
      </c>
      <c r="O657" s="256">
        <f t="shared" si="64"/>
        <v>0</v>
      </c>
      <c r="P657" s="257" t="str">
        <f t="shared" si="63"/>
        <v>×</v>
      </c>
      <c r="Q657" s="272" t="str">
        <f t="shared" si="65"/>
        <v/>
      </c>
    </row>
    <row r="658" spans="2:17">
      <c r="B658" s="65"/>
      <c r="C658" s="54"/>
      <c r="D658" s="261" t="str">
        <f t="shared" si="61"/>
        <v/>
      </c>
      <c r="E658" s="262" t="str">
        <f t="shared" si="60"/>
        <v/>
      </c>
      <c r="F658" s="125" t="str">
        <f>IF(G658="","",VLOOKUP(G658,プルダウン用リスト!$K$1:$M$16,2,FALSE))</f>
        <v/>
      </c>
      <c r="G658" s="67"/>
      <c r="H658" s="55"/>
      <c r="I658" s="67"/>
      <c r="J658" s="134"/>
      <c r="K658" s="68"/>
      <c r="L658" s="69"/>
      <c r="M658" s="69"/>
      <c r="N658" s="260" t="str">
        <f t="shared" si="62"/>
        <v/>
      </c>
      <c r="O658" s="256">
        <f t="shared" si="64"/>
        <v>0</v>
      </c>
      <c r="P658" s="257" t="str">
        <f t="shared" si="63"/>
        <v>×</v>
      </c>
      <c r="Q658" s="272" t="str">
        <f t="shared" si="65"/>
        <v/>
      </c>
    </row>
    <row r="659" spans="2:17">
      <c r="B659" s="65"/>
      <c r="C659" s="54"/>
      <c r="D659" s="261" t="str">
        <f t="shared" si="61"/>
        <v/>
      </c>
      <c r="E659" s="262" t="str">
        <f t="shared" si="60"/>
        <v/>
      </c>
      <c r="F659" s="125" t="str">
        <f>IF(G659="","",VLOOKUP(G659,プルダウン用リスト!$K$1:$M$16,2,FALSE))</f>
        <v/>
      </c>
      <c r="G659" s="67"/>
      <c r="H659" s="55"/>
      <c r="I659" s="67"/>
      <c r="J659" s="134"/>
      <c r="K659" s="68"/>
      <c r="L659" s="69"/>
      <c r="M659" s="69"/>
      <c r="N659" s="260" t="str">
        <f t="shared" si="62"/>
        <v/>
      </c>
      <c r="O659" s="256">
        <f t="shared" si="64"/>
        <v>0</v>
      </c>
      <c r="P659" s="257" t="str">
        <f t="shared" si="63"/>
        <v>×</v>
      </c>
      <c r="Q659" s="272" t="str">
        <f t="shared" si="65"/>
        <v/>
      </c>
    </row>
    <row r="660" spans="2:17">
      <c r="B660" s="65"/>
      <c r="C660" s="54"/>
      <c r="D660" s="261" t="str">
        <f t="shared" si="61"/>
        <v/>
      </c>
      <c r="E660" s="262" t="str">
        <f t="shared" si="60"/>
        <v/>
      </c>
      <c r="F660" s="125" t="str">
        <f>IF(G660="","",VLOOKUP(G660,プルダウン用リスト!$K$1:$M$16,2,FALSE))</f>
        <v/>
      </c>
      <c r="G660" s="67"/>
      <c r="H660" s="67"/>
      <c r="I660" s="67"/>
      <c r="J660" s="134"/>
      <c r="K660" s="68"/>
      <c r="L660" s="69"/>
      <c r="M660" s="69"/>
      <c r="N660" s="260" t="str">
        <f t="shared" si="62"/>
        <v/>
      </c>
      <c r="O660" s="256">
        <f t="shared" si="64"/>
        <v>0</v>
      </c>
      <c r="P660" s="257" t="str">
        <f t="shared" si="63"/>
        <v>×</v>
      </c>
      <c r="Q660" s="272" t="str">
        <f t="shared" si="65"/>
        <v/>
      </c>
    </row>
    <row r="661" spans="2:17">
      <c r="B661" s="65"/>
      <c r="C661" s="54"/>
      <c r="D661" s="261" t="str">
        <f t="shared" si="61"/>
        <v/>
      </c>
      <c r="E661" s="262" t="str">
        <f t="shared" si="60"/>
        <v/>
      </c>
      <c r="F661" s="125" t="str">
        <f>IF(G661="","",VLOOKUP(G661,プルダウン用リスト!$K$1:$M$16,2,FALSE))</f>
        <v/>
      </c>
      <c r="G661" s="67"/>
      <c r="H661" s="55"/>
      <c r="I661" s="67"/>
      <c r="J661" s="134"/>
      <c r="K661" s="68"/>
      <c r="L661" s="69"/>
      <c r="M661" s="69"/>
      <c r="N661" s="260" t="str">
        <f t="shared" si="62"/>
        <v/>
      </c>
      <c r="O661" s="256">
        <f t="shared" si="64"/>
        <v>0</v>
      </c>
      <c r="P661" s="257" t="str">
        <f t="shared" si="63"/>
        <v>×</v>
      </c>
      <c r="Q661" s="272" t="str">
        <f t="shared" si="65"/>
        <v/>
      </c>
    </row>
    <row r="662" spans="2:17">
      <c r="B662" s="65"/>
      <c r="C662" s="54"/>
      <c r="D662" s="261" t="str">
        <f t="shared" si="61"/>
        <v/>
      </c>
      <c r="E662" s="262" t="str">
        <f t="shared" si="60"/>
        <v/>
      </c>
      <c r="F662" s="125" t="str">
        <f>IF(G662="","",VLOOKUP(G662,プルダウン用リスト!$K$1:$M$16,2,FALSE))</f>
        <v/>
      </c>
      <c r="G662" s="67"/>
      <c r="H662" s="55"/>
      <c r="I662" s="67"/>
      <c r="J662" s="134"/>
      <c r="K662" s="68"/>
      <c r="L662" s="69"/>
      <c r="M662" s="69"/>
      <c r="N662" s="260" t="str">
        <f t="shared" si="62"/>
        <v/>
      </c>
      <c r="O662" s="256">
        <f t="shared" si="64"/>
        <v>0</v>
      </c>
      <c r="P662" s="257" t="str">
        <f t="shared" si="63"/>
        <v>×</v>
      </c>
      <c r="Q662" s="272" t="str">
        <f t="shared" si="65"/>
        <v/>
      </c>
    </row>
    <row r="663" spans="2:17">
      <c r="B663" s="65"/>
      <c r="C663" s="54"/>
      <c r="D663" s="261" t="str">
        <f t="shared" si="61"/>
        <v/>
      </c>
      <c r="E663" s="262" t="str">
        <f t="shared" ref="E663:E726" si="66">IF(G663="","",IF(OR(G663="1.謝金（内部）",G663="1.謝金（外部）"),"謝金",IF(G663="2.旅費","旅費",IF(G663="16.対象外経費","その他","所費"))))</f>
        <v/>
      </c>
      <c r="F663" s="125" t="str">
        <f>IF(G663="","",VLOOKUP(G663,プルダウン用リスト!$K$1:$M$16,2,FALSE))</f>
        <v/>
      </c>
      <c r="G663" s="67"/>
      <c r="H663" s="67"/>
      <c r="I663" s="67"/>
      <c r="J663" s="134"/>
      <c r="K663" s="68"/>
      <c r="L663" s="69"/>
      <c r="M663" s="69"/>
      <c r="N663" s="260" t="str">
        <f t="shared" si="62"/>
        <v/>
      </c>
      <c r="O663" s="256">
        <f t="shared" si="64"/>
        <v>0</v>
      </c>
      <c r="P663" s="257" t="str">
        <f t="shared" si="63"/>
        <v>×</v>
      </c>
      <c r="Q663" s="272" t="str">
        <f t="shared" si="65"/>
        <v/>
      </c>
    </row>
    <row r="664" spans="2:17">
      <c r="B664" s="65"/>
      <c r="C664" s="54"/>
      <c r="D664" s="261" t="str">
        <f t="shared" si="61"/>
        <v/>
      </c>
      <c r="E664" s="262" t="str">
        <f t="shared" si="66"/>
        <v/>
      </c>
      <c r="F664" s="125" t="str">
        <f>IF(G664="","",VLOOKUP(G664,プルダウン用リスト!$K$1:$M$16,2,FALSE))</f>
        <v/>
      </c>
      <c r="G664" s="67"/>
      <c r="H664" s="55"/>
      <c r="I664" s="67"/>
      <c r="J664" s="134"/>
      <c r="K664" s="68"/>
      <c r="L664" s="69"/>
      <c r="M664" s="69"/>
      <c r="N664" s="260" t="str">
        <f t="shared" si="62"/>
        <v/>
      </c>
      <c r="O664" s="256">
        <f t="shared" si="64"/>
        <v>0</v>
      </c>
      <c r="P664" s="257" t="str">
        <f t="shared" si="63"/>
        <v>×</v>
      </c>
      <c r="Q664" s="272" t="str">
        <f t="shared" si="65"/>
        <v/>
      </c>
    </row>
    <row r="665" spans="2:17">
      <c r="B665" s="65"/>
      <c r="C665" s="54"/>
      <c r="D665" s="261" t="str">
        <f t="shared" si="61"/>
        <v/>
      </c>
      <c r="E665" s="262" t="str">
        <f t="shared" si="66"/>
        <v/>
      </c>
      <c r="F665" s="125" t="str">
        <f>IF(G665="","",VLOOKUP(G665,プルダウン用リスト!$K$1:$M$16,2,FALSE))</f>
        <v/>
      </c>
      <c r="G665" s="67"/>
      <c r="H665" s="55"/>
      <c r="I665" s="67"/>
      <c r="J665" s="134"/>
      <c r="K665" s="68"/>
      <c r="L665" s="69"/>
      <c r="M665" s="69"/>
      <c r="N665" s="260" t="str">
        <f t="shared" si="62"/>
        <v/>
      </c>
      <c r="O665" s="256">
        <f t="shared" si="64"/>
        <v>0</v>
      </c>
      <c r="P665" s="257" t="str">
        <f t="shared" si="63"/>
        <v>×</v>
      </c>
      <c r="Q665" s="272" t="str">
        <f t="shared" si="65"/>
        <v/>
      </c>
    </row>
    <row r="666" spans="2:17">
      <c r="B666" s="65"/>
      <c r="C666" s="66"/>
      <c r="D666" s="261" t="str">
        <f t="shared" si="61"/>
        <v/>
      </c>
      <c r="E666" s="262" t="str">
        <f t="shared" si="66"/>
        <v/>
      </c>
      <c r="F666" s="125" t="str">
        <f>IF(G666="","",VLOOKUP(G666,プルダウン用リスト!$K$1:$M$16,2,FALSE))</f>
        <v/>
      </c>
      <c r="G666" s="67"/>
      <c r="H666" s="67"/>
      <c r="I666" s="67"/>
      <c r="J666" s="134"/>
      <c r="K666" s="68"/>
      <c r="L666" s="69"/>
      <c r="M666" s="69"/>
      <c r="N666" s="260" t="str">
        <f t="shared" si="62"/>
        <v/>
      </c>
      <c r="O666" s="256">
        <f t="shared" si="64"/>
        <v>0</v>
      </c>
      <c r="P666" s="257" t="str">
        <f t="shared" si="63"/>
        <v>×</v>
      </c>
      <c r="Q666" s="272" t="str">
        <f t="shared" si="65"/>
        <v/>
      </c>
    </row>
    <row r="667" spans="2:17">
      <c r="B667" s="65"/>
      <c r="C667" s="54"/>
      <c r="D667" s="261" t="str">
        <f t="shared" si="61"/>
        <v/>
      </c>
      <c r="E667" s="262" t="str">
        <f t="shared" si="66"/>
        <v/>
      </c>
      <c r="F667" s="125" t="str">
        <f>IF(G667="","",VLOOKUP(G667,プルダウン用リスト!$K$1:$M$16,2,FALSE))</f>
        <v/>
      </c>
      <c r="G667" s="67"/>
      <c r="H667" s="55"/>
      <c r="I667" s="67"/>
      <c r="J667" s="134"/>
      <c r="K667" s="68"/>
      <c r="L667" s="69"/>
      <c r="M667" s="69"/>
      <c r="N667" s="260" t="str">
        <f t="shared" si="62"/>
        <v/>
      </c>
      <c r="O667" s="256">
        <f t="shared" si="64"/>
        <v>0</v>
      </c>
      <c r="P667" s="257" t="str">
        <f t="shared" si="63"/>
        <v>×</v>
      </c>
      <c r="Q667" s="272" t="str">
        <f t="shared" si="65"/>
        <v/>
      </c>
    </row>
    <row r="668" spans="2:17">
      <c r="B668" s="65"/>
      <c r="C668" s="54"/>
      <c r="D668" s="261" t="str">
        <f t="shared" si="61"/>
        <v/>
      </c>
      <c r="E668" s="262" t="str">
        <f t="shared" si="66"/>
        <v/>
      </c>
      <c r="F668" s="125" t="str">
        <f>IF(G668="","",VLOOKUP(G668,プルダウン用リスト!$K$1:$M$16,2,FALSE))</f>
        <v/>
      </c>
      <c r="G668" s="67"/>
      <c r="H668" s="55"/>
      <c r="I668" s="67"/>
      <c r="J668" s="134"/>
      <c r="K668" s="68"/>
      <c r="L668" s="69"/>
      <c r="M668" s="69"/>
      <c r="N668" s="260" t="str">
        <f t="shared" si="62"/>
        <v/>
      </c>
      <c r="O668" s="256">
        <f t="shared" si="64"/>
        <v>0</v>
      </c>
      <c r="P668" s="257" t="str">
        <f t="shared" si="63"/>
        <v>×</v>
      </c>
      <c r="Q668" s="272" t="str">
        <f t="shared" si="65"/>
        <v/>
      </c>
    </row>
    <row r="669" spans="2:17">
      <c r="B669" s="65"/>
      <c r="C669" s="54"/>
      <c r="D669" s="261" t="str">
        <f t="shared" si="61"/>
        <v/>
      </c>
      <c r="E669" s="262" t="str">
        <f t="shared" si="66"/>
        <v/>
      </c>
      <c r="F669" s="125" t="str">
        <f>IF(G669="","",VLOOKUP(G669,プルダウン用リスト!$K$1:$M$16,2,FALSE))</f>
        <v/>
      </c>
      <c r="G669" s="67"/>
      <c r="H669" s="67"/>
      <c r="I669" s="67"/>
      <c r="J669" s="134"/>
      <c r="K669" s="68"/>
      <c r="L669" s="69"/>
      <c r="M669" s="69"/>
      <c r="N669" s="260" t="str">
        <f t="shared" si="62"/>
        <v/>
      </c>
      <c r="O669" s="256">
        <f t="shared" si="64"/>
        <v>0</v>
      </c>
      <c r="P669" s="257" t="str">
        <f t="shared" si="63"/>
        <v>×</v>
      </c>
      <c r="Q669" s="272" t="str">
        <f t="shared" si="65"/>
        <v/>
      </c>
    </row>
    <row r="670" spans="2:17">
      <c r="B670" s="65"/>
      <c r="C670" s="54"/>
      <c r="D670" s="261" t="str">
        <f t="shared" si="61"/>
        <v/>
      </c>
      <c r="E670" s="262" t="str">
        <f t="shared" si="66"/>
        <v/>
      </c>
      <c r="F670" s="125" t="str">
        <f>IF(G670="","",VLOOKUP(G670,プルダウン用リスト!$K$1:$M$16,2,FALSE))</f>
        <v/>
      </c>
      <c r="G670" s="67"/>
      <c r="H670" s="55"/>
      <c r="I670" s="67"/>
      <c r="J670" s="134"/>
      <c r="K670" s="68"/>
      <c r="L670" s="69"/>
      <c r="M670" s="69"/>
      <c r="N670" s="260" t="str">
        <f t="shared" si="62"/>
        <v/>
      </c>
      <c r="O670" s="256">
        <f t="shared" si="64"/>
        <v>0</v>
      </c>
      <c r="P670" s="257" t="str">
        <f t="shared" si="63"/>
        <v>×</v>
      </c>
      <c r="Q670" s="272" t="str">
        <f t="shared" si="65"/>
        <v/>
      </c>
    </row>
    <row r="671" spans="2:17">
      <c r="B671" s="65"/>
      <c r="C671" s="54"/>
      <c r="D671" s="261" t="str">
        <f t="shared" si="61"/>
        <v/>
      </c>
      <c r="E671" s="262" t="str">
        <f t="shared" si="66"/>
        <v/>
      </c>
      <c r="F671" s="125" t="str">
        <f>IF(G671="","",VLOOKUP(G671,プルダウン用リスト!$K$1:$M$16,2,FALSE))</f>
        <v/>
      </c>
      <c r="G671" s="67"/>
      <c r="H671" s="55"/>
      <c r="I671" s="67"/>
      <c r="J671" s="134"/>
      <c r="K671" s="68"/>
      <c r="L671" s="69"/>
      <c r="M671" s="69"/>
      <c r="N671" s="260" t="str">
        <f t="shared" si="62"/>
        <v/>
      </c>
      <c r="O671" s="256">
        <f t="shared" si="64"/>
        <v>0</v>
      </c>
      <c r="P671" s="257" t="str">
        <f t="shared" si="63"/>
        <v>×</v>
      </c>
      <c r="Q671" s="272" t="str">
        <f t="shared" si="65"/>
        <v/>
      </c>
    </row>
    <row r="672" spans="2:17">
      <c r="B672" s="65"/>
      <c r="C672" s="54"/>
      <c r="D672" s="261" t="str">
        <f t="shared" si="61"/>
        <v/>
      </c>
      <c r="E672" s="262" t="str">
        <f t="shared" si="66"/>
        <v/>
      </c>
      <c r="F672" s="125" t="str">
        <f>IF(G672="","",VLOOKUP(G672,プルダウン用リスト!$K$1:$M$16,2,FALSE))</f>
        <v/>
      </c>
      <c r="G672" s="67"/>
      <c r="H672" s="67"/>
      <c r="I672" s="67"/>
      <c r="J672" s="134"/>
      <c r="K672" s="68"/>
      <c r="L672" s="69"/>
      <c r="M672" s="69"/>
      <c r="N672" s="260" t="str">
        <f t="shared" si="62"/>
        <v/>
      </c>
      <c r="O672" s="256">
        <f t="shared" si="64"/>
        <v>0</v>
      </c>
      <c r="P672" s="257" t="str">
        <f t="shared" si="63"/>
        <v>×</v>
      </c>
      <c r="Q672" s="272" t="str">
        <f t="shared" si="65"/>
        <v/>
      </c>
    </row>
    <row r="673" spans="2:17">
      <c r="B673" s="65"/>
      <c r="C673" s="54"/>
      <c r="D673" s="261" t="str">
        <f t="shared" si="61"/>
        <v/>
      </c>
      <c r="E673" s="262" t="str">
        <f t="shared" si="66"/>
        <v/>
      </c>
      <c r="F673" s="125" t="str">
        <f>IF(G673="","",VLOOKUP(G673,プルダウン用リスト!$K$1:$M$16,2,FALSE))</f>
        <v/>
      </c>
      <c r="G673" s="67"/>
      <c r="H673" s="55"/>
      <c r="I673" s="67"/>
      <c r="J673" s="134"/>
      <c r="K673" s="68"/>
      <c r="L673" s="69"/>
      <c r="M673" s="69"/>
      <c r="N673" s="260" t="str">
        <f t="shared" si="62"/>
        <v/>
      </c>
      <c r="O673" s="256">
        <f t="shared" si="64"/>
        <v>0</v>
      </c>
      <c r="P673" s="257" t="str">
        <f t="shared" si="63"/>
        <v>×</v>
      </c>
      <c r="Q673" s="272" t="str">
        <f t="shared" si="65"/>
        <v/>
      </c>
    </row>
    <row r="674" spans="2:17">
      <c r="B674" s="65"/>
      <c r="C674" s="54"/>
      <c r="D674" s="261" t="str">
        <f t="shared" si="61"/>
        <v/>
      </c>
      <c r="E674" s="262" t="str">
        <f t="shared" si="66"/>
        <v/>
      </c>
      <c r="F674" s="125" t="str">
        <f>IF(G674="","",VLOOKUP(G674,プルダウン用リスト!$K$1:$M$16,2,FALSE))</f>
        <v/>
      </c>
      <c r="G674" s="67"/>
      <c r="H674" s="55"/>
      <c r="I674" s="67"/>
      <c r="J674" s="134"/>
      <c r="K674" s="68"/>
      <c r="L674" s="69"/>
      <c r="M674" s="69"/>
      <c r="N674" s="260" t="str">
        <f t="shared" si="62"/>
        <v/>
      </c>
      <c r="O674" s="256">
        <f t="shared" si="64"/>
        <v>0</v>
      </c>
      <c r="P674" s="257" t="str">
        <f t="shared" si="63"/>
        <v>×</v>
      </c>
      <c r="Q674" s="272" t="str">
        <f t="shared" si="65"/>
        <v/>
      </c>
    </row>
    <row r="675" spans="2:17">
      <c r="B675" s="65"/>
      <c r="C675" s="54"/>
      <c r="D675" s="261" t="str">
        <f t="shared" si="61"/>
        <v/>
      </c>
      <c r="E675" s="262" t="str">
        <f t="shared" si="66"/>
        <v/>
      </c>
      <c r="F675" s="125" t="str">
        <f>IF(G675="","",VLOOKUP(G675,プルダウン用リスト!$K$1:$M$16,2,FALSE))</f>
        <v/>
      </c>
      <c r="G675" s="67"/>
      <c r="H675" s="67"/>
      <c r="I675" s="67"/>
      <c r="J675" s="134"/>
      <c r="K675" s="68"/>
      <c r="L675" s="69"/>
      <c r="M675" s="69"/>
      <c r="N675" s="260" t="str">
        <f t="shared" si="62"/>
        <v/>
      </c>
      <c r="O675" s="256">
        <f t="shared" si="64"/>
        <v>0</v>
      </c>
      <c r="P675" s="257" t="str">
        <f t="shared" si="63"/>
        <v>×</v>
      </c>
      <c r="Q675" s="272" t="str">
        <f t="shared" si="65"/>
        <v/>
      </c>
    </row>
    <row r="676" spans="2:17">
      <c r="B676" s="65"/>
      <c r="C676" s="54"/>
      <c r="D676" s="261" t="str">
        <f t="shared" si="61"/>
        <v/>
      </c>
      <c r="E676" s="262" t="str">
        <f t="shared" si="66"/>
        <v/>
      </c>
      <c r="F676" s="125" t="str">
        <f>IF(G676="","",VLOOKUP(G676,プルダウン用リスト!$K$1:$M$16,2,FALSE))</f>
        <v/>
      </c>
      <c r="G676" s="67"/>
      <c r="H676" s="55"/>
      <c r="I676" s="67"/>
      <c r="J676" s="134"/>
      <c r="K676" s="68"/>
      <c r="L676" s="69"/>
      <c r="M676" s="69"/>
      <c r="N676" s="260" t="str">
        <f t="shared" si="62"/>
        <v/>
      </c>
      <c r="O676" s="256">
        <f t="shared" si="64"/>
        <v>0</v>
      </c>
      <c r="P676" s="257" t="str">
        <f t="shared" si="63"/>
        <v>×</v>
      </c>
      <c r="Q676" s="272" t="str">
        <f t="shared" si="65"/>
        <v/>
      </c>
    </row>
    <row r="677" spans="2:17">
      <c r="B677" s="65"/>
      <c r="C677" s="54"/>
      <c r="D677" s="261" t="str">
        <f t="shared" si="61"/>
        <v/>
      </c>
      <c r="E677" s="262" t="str">
        <f t="shared" si="66"/>
        <v/>
      </c>
      <c r="F677" s="125" t="str">
        <f>IF(G677="","",VLOOKUP(G677,プルダウン用リスト!$K$1:$M$16,2,FALSE))</f>
        <v/>
      </c>
      <c r="G677" s="67"/>
      <c r="H677" s="55"/>
      <c r="I677" s="67"/>
      <c r="J677" s="134"/>
      <c r="K677" s="68"/>
      <c r="L677" s="69"/>
      <c r="M677" s="69"/>
      <c r="N677" s="260" t="str">
        <f t="shared" si="62"/>
        <v/>
      </c>
      <c r="O677" s="256">
        <f t="shared" si="64"/>
        <v>0</v>
      </c>
      <c r="P677" s="257" t="str">
        <f t="shared" si="63"/>
        <v>×</v>
      </c>
      <c r="Q677" s="272" t="str">
        <f t="shared" si="65"/>
        <v/>
      </c>
    </row>
    <row r="678" spans="2:17">
      <c r="B678" s="65"/>
      <c r="C678" s="66"/>
      <c r="D678" s="261" t="str">
        <f t="shared" si="61"/>
        <v/>
      </c>
      <c r="E678" s="262" t="str">
        <f t="shared" si="66"/>
        <v/>
      </c>
      <c r="F678" s="125" t="str">
        <f>IF(G678="","",VLOOKUP(G678,プルダウン用リスト!$K$1:$M$16,2,FALSE))</f>
        <v/>
      </c>
      <c r="G678" s="67"/>
      <c r="H678" s="67"/>
      <c r="I678" s="67"/>
      <c r="J678" s="134"/>
      <c r="K678" s="68"/>
      <c r="L678" s="69"/>
      <c r="M678" s="69"/>
      <c r="N678" s="260" t="str">
        <f t="shared" si="62"/>
        <v/>
      </c>
      <c r="O678" s="256">
        <f t="shared" si="64"/>
        <v>0</v>
      </c>
      <c r="P678" s="257" t="str">
        <f t="shared" si="63"/>
        <v>×</v>
      </c>
      <c r="Q678" s="272" t="str">
        <f t="shared" si="65"/>
        <v/>
      </c>
    </row>
    <row r="679" spans="2:17">
      <c r="B679" s="65"/>
      <c r="C679" s="54"/>
      <c r="D679" s="261" t="str">
        <f t="shared" si="61"/>
        <v/>
      </c>
      <c r="E679" s="262" t="str">
        <f t="shared" si="66"/>
        <v/>
      </c>
      <c r="F679" s="125" t="str">
        <f>IF(G679="","",VLOOKUP(G679,プルダウン用リスト!$K$1:$M$16,2,FALSE))</f>
        <v/>
      </c>
      <c r="G679" s="67"/>
      <c r="H679" s="55"/>
      <c r="I679" s="67"/>
      <c r="J679" s="134"/>
      <c r="K679" s="68"/>
      <c r="L679" s="69"/>
      <c r="M679" s="69"/>
      <c r="N679" s="260" t="str">
        <f t="shared" si="62"/>
        <v/>
      </c>
      <c r="O679" s="256">
        <f t="shared" si="64"/>
        <v>0</v>
      </c>
      <c r="P679" s="257" t="str">
        <f t="shared" si="63"/>
        <v>×</v>
      </c>
      <c r="Q679" s="272" t="str">
        <f t="shared" si="65"/>
        <v/>
      </c>
    </row>
    <row r="680" spans="2:17">
      <c r="B680" s="65"/>
      <c r="C680" s="54"/>
      <c r="D680" s="261" t="str">
        <f t="shared" si="61"/>
        <v/>
      </c>
      <c r="E680" s="262" t="str">
        <f t="shared" si="66"/>
        <v/>
      </c>
      <c r="F680" s="125" t="str">
        <f>IF(G680="","",VLOOKUP(G680,プルダウン用リスト!$K$1:$M$16,2,FALSE))</f>
        <v/>
      </c>
      <c r="G680" s="67"/>
      <c r="H680" s="55"/>
      <c r="I680" s="67"/>
      <c r="J680" s="134"/>
      <c r="K680" s="68"/>
      <c r="L680" s="69"/>
      <c r="M680" s="69"/>
      <c r="N680" s="260" t="str">
        <f t="shared" si="62"/>
        <v/>
      </c>
      <c r="O680" s="256">
        <f t="shared" si="64"/>
        <v>0</v>
      </c>
      <c r="P680" s="257" t="str">
        <f t="shared" si="63"/>
        <v>×</v>
      </c>
      <c r="Q680" s="272" t="str">
        <f t="shared" si="65"/>
        <v/>
      </c>
    </row>
    <row r="681" spans="2:17">
      <c r="B681" s="65"/>
      <c r="C681" s="54"/>
      <c r="D681" s="261" t="str">
        <f t="shared" si="61"/>
        <v/>
      </c>
      <c r="E681" s="262" t="str">
        <f t="shared" si="66"/>
        <v/>
      </c>
      <c r="F681" s="125" t="str">
        <f>IF(G681="","",VLOOKUP(G681,プルダウン用リスト!$K$1:$M$16,2,FALSE))</f>
        <v/>
      </c>
      <c r="G681" s="67"/>
      <c r="H681" s="67"/>
      <c r="I681" s="67"/>
      <c r="J681" s="134"/>
      <c r="K681" s="68"/>
      <c r="L681" s="69"/>
      <c r="M681" s="69"/>
      <c r="N681" s="260" t="str">
        <f t="shared" si="62"/>
        <v/>
      </c>
      <c r="O681" s="256">
        <f t="shared" si="64"/>
        <v>0</v>
      </c>
      <c r="P681" s="257" t="str">
        <f t="shared" si="63"/>
        <v>×</v>
      </c>
      <c r="Q681" s="272" t="str">
        <f t="shared" si="65"/>
        <v/>
      </c>
    </row>
    <row r="682" spans="2:17">
      <c r="B682" s="65"/>
      <c r="C682" s="54"/>
      <c r="D682" s="261" t="str">
        <f t="shared" si="61"/>
        <v/>
      </c>
      <c r="E682" s="262" t="str">
        <f t="shared" si="66"/>
        <v/>
      </c>
      <c r="F682" s="125" t="str">
        <f>IF(G682="","",VLOOKUP(G682,プルダウン用リスト!$K$1:$M$16,2,FALSE))</f>
        <v/>
      </c>
      <c r="G682" s="67"/>
      <c r="H682" s="55"/>
      <c r="I682" s="67"/>
      <c r="J682" s="134"/>
      <c r="K682" s="68"/>
      <c r="L682" s="69"/>
      <c r="M682" s="69"/>
      <c r="N682" s="260" t="str">
        <f t="shared" si="62"/>
        <v/>
      </c>
      <c r="O682" s="256">
        <f t="shared" si="64"/>
        <v>0</v>
      </c>
      <c r="P682" s="257" t="str">
        <f t="shared" si="63"/>
        <v>×</v>
      </c>
      <c r="Q682" s="272" t="str">
        <f t="shared" si="65"/>
        <v/>
      </c>
    </row>
    <row r="683" spans="2:17">
      <c r="B683" s="65"/>
      <c r="C683" s="54"/>
      <c r="D683" s="261" t="str">
        <f t="shared" si="61"/>
        <v/>
      </c>
      <c r="E683" s="262" t="str">
        <f t="shared" si="66"/>
        <v/>
      </c>
      <c r="F683" s="125" t="str">
        <f>IF(G683="","",VLOOKUP(G683,プルダウン用リスト!$K$1:$M$16,2,FALSE))</f>
        <v/>
      </c>
      <c r="G683" s="67"/>
      <c r="H683" s="55"/>
      <c r="I683" s="67"/>
      <c r="J683" s="134"/>
      <c r="K683" s="68"/>
      <c r="L683" s="69"/>
      <c r="M683" s="69"/>
      <c r="N683" s="260" t="str">
        <f t="shared" si="62"/>
        <v/>
      </c>
      <c r="O683" s="256">
        <f t="shared" si="64"/>
        <v>0</v>
      </c>
      <c r="P683" s="257" t="str">
        <f t="shared" si="63"/>
        <v>×</v>
      </c>
      <c r="Q683" s="272" t="str">
        <f t="shared" si="65"/>
        <v/>
      </c>
    </row>
    <row r="684" spans="2:17">
      <c r="B684" s="65"/>
      <c r="C684" s="54"/>
      <c r="D684" s="261" t="str">
        <f t="shared" si="61"/>
        <v/>
      </c>
      <c r="E684" s="262" t="str">
        <f t="shared" si="66"/>
        <v/>
      </c>
      <c r="F684" s="125" t="str">
        <f>IF(G684="","",VLOOKUP(G684,プルダウン用リスト!$K$1:$M$16,2,FALSE))</f>
        <v/>
      </c>
      <c r="G684" s="67"/>
      <c r="H684" s="67"/>
      <c r="I684" s="67"/>
      <c r="J684" s="134"/>
      <c r="K684" s="68"/>
      <c r="L684" s="69"/>
      <c r="M684" s="69"/>
      <c r="N684" s="260" t="str">
        <f t="shared" si="62"/>
        <v/>
      </c>
      <c r="O684" s="256">
        <f t="shared" si="64"/>
        <v>0</v>
      </c>
      <c r="P684" s="257" t="str">
        <f t="shared" si="63"/>
        <v>×</v>
      </c>
      <c r="Q684" s="272" t="str">
        <f t="shared" si="65"/>
        <v/>
      </c>
    </row>
    <row r="685" spans="2:17">
      <c r="B685" s="65"/>
      <c r="C685" s="54"/>
      <c r="D685" s="261" t="str">
        <f t="shared" si="61"/>
        <v/>
      </c>
      <c r="E685" s="262" t="str">
        <f t="shared" si="66"/>
        <v/>
      </c>
      <c r="F685" s="125" t="str">
        <f>IF(G685="","",VLOOKUP(G685,プルダウン用リスト!$K$1:$M$16,2,FALSE))</f>
        <v/>
      </c>
      <c r="G685" s="67"/>
      <c r="H685" s="55"/>
      <c r="I685" s="67"/>
      <c r="J685" s="134"/>
      <c r="K685" s="68"/>
      <c r="L685" s="69"/>
      <c r="M685" s="69"/>
      <c r="N685" s="260" t="str">
        <f t="shared" si="62"/>
        <v/>
      </c>
      <c r="O685" s="256">
        <f t="shared" si="64"/>
        <v>0</v>
      </c>
      <c r="P685" s="257" t="str">
        <f t="shared" si="63"/>
        <v>×</v>
      </c>
      <c r="Q685" s="272" t="str">
        <f t="shared" si="65"/>
        <v/>
      </c>
    </row>
    <row r="686" spans="2:17">
      <c r="B686" s="65"/>
      <c r="C686" s="54"/>
      <c r="D686" s="261" t="str">
        <f t="shared" si="61"/>
        <v/>
      </c>
      <c r="E686" s="262" t="str">
        <f t="shared" si="66"/>
        <v/>
      </c>
      <c r="F686" s="125" t="str">
        <f>IF(G686="","",VLOOKUP(G686,プルダウン用リスト!$K$1:$M$16,2,FALSE))</f>
        <v/>
      </c>
      <c r="G686" s="67"/>
      <c r="H686" s="55"/>
      <c r="I686" s="67"/>
      <c r="J686" s="134"/>
      <c r="K686" s="68"/>
      <c r="L686" s="69"/>
      <c r="M686" s="69"/>
      <c r="N686" s="260" t="str">
        <f t="shared" si="62"/>
        <v/>
      </c>
      <c r="O686" s="256">
        <f t="shared" si="64"/>
        <v>0</v>
      </c>
      <c r="P686" s="257" t="str">
        <f t="shared" si="63"/>
        <v>×</v>
      </c>
      <c r="Q686" s="272" t="str">
        <f t="shared" si="65"/>
        <v/>
      </c>
    </row>
    <row r="687" spans="2:17">
      <c r="B687" s="65"/>
      <c r="C687" s="54"/>
      <c r="D687" s="261" t="str">
        <f t="shared" si="61"/>
        <v/>
      </c>
      <c r="E687" s="262" t="str">
        <f t="shared" si="66"/>
        <v/>
      </c>
      <c r="F687" s="125" t="str">
        <f>IF(G687="","",VLOOKUP(G687,プルダウン用リスト!$K$1:$M$16,2,FALSE))</f>
        <v/>
      </c>
      <c r="G687" s="67"/>
      <c r="H687" s="67"/>
      <c r="I687" s="67"/>
      <c r="J687" s="134"/>
      <c r="K687" s="68"/>
      <c r="L687" s="69"/>
      <c r="M687" s="69"/>
      <c r="N687" s="260" t="str">
        <f t="shared" si="62"/>
        <v/>
      </c>
      <c r="O687" s="256">
        <f t="shared" si="64"/>
        <v>0</v>
      </c>
      <c r="P687" s="257" t="str">
        <f t="shared" si="63"/>
        <v>×</v>
      </c>
      <c r="Q687" s="272" t="str">
        <f t="shared" si="65"/>
        <v/>
      </c>
    </row>
    <row r="688" spans="2:17">
      <c r="B688" s="65"/>
      <c r="C688" s="54"/>
      <c r="D688" s="261" t="str">
        <f t="shared" si="61"/>
        <v/>
      </c>
      <c r="E688" s="262" t="str">
        <f t="shared" si="66"/>
        <v/>
      </c>
      <c r="F688" s="125" t="str">
        <f>IF(G688="","",VLOOKUP(G688,プルダウン用リスト!$K$1:$M$16,2,FALSE))</f>
        <v/>
      </c>
      <c r="G688" s="67"/>
      <c r="H688" s="55"/>
      <c r="I688" s="67"/>
      <c r="J688" s="134"/>
      <c r="K688" s="68"/>
      <c r="L688" s="69"/>
      <c r="M688" s="69"/>
      <c r="N688" s="260" t="str">
        <f t="shared" si="62"/>
        <v/>
      </c>
      <c r="O688" s="256">
        <f t="shared" si="64"/>
        <v>0</v>
      </c>
      <c r="P688" s="257" t="str">
        <f t="shared" si="63"/>
        <v>×</v>
      </c>
      <c r="Q688" s="272" t="str">
        <f t="shared" si="65"/>
        <v/>
      </c>
    </row>
    <row r="689" spans="2:17">
      <c r="B689" s="65"/>
      <c r="C689" s="54"/>
      <c r="D689" s="261" t="str">
        <f t="shared" si="61"/>
        <v/>
      </c>
      <c r="E689" s="262" t="str">
        <f t="shared" si="66"/>
        <v/>
      </c>
      <c r="F689" s="125" t="str">
        <f>IF(G689="","",VLOOKUP(G689,プルダウン用リスト!$K$1:$M$16,2,FALSE))</f>
        <v/>
      </c>
      <c r="G689" s="67"/>
      <c r="H689" s="55"/>
      <c r="I689" s="67"/>
      <c r="J689" s="134"/>
      <c r="K689" s="68"/>
      <c r="L689" s="69"/>
      <c r="M689" s="69"/>
      <c r="N689" s="260" t="str">
        <f t="shared" si="62"/>
        <v/>
      </c>
      <c r="O689" s="256">
        <f t="shared" si="64"/>
        <v>0</v>
      </c>
      <c r="P689" s="257" t="str">
        <f t="shared" si="63"/>
        <v>×</v>
      </c>
      <c r="Q689" s="272" t="str">
        <f t="shared" si="65"/>
        <v/>
      </c>
    </row>
    <row r="690" spans="2:17">
      <c r="B690" s="65"/>
      <c r="C690" s="66"/>
      <c r="D690" s="261" t="str">
        <f t="shared" si="61"/>
        <v/>
      </c>
      <c r="E690" s="262" t="str">
        <f t="shared" si="66"/>
        <v/>
      </c>
      <c r="F690" s="125" t="str">
        <f>IF(G690="","",VLOOKUP(G690,プルダウン用リスト!$K$1:$M$16,2,FALSE))</f>
        <v/>
      </c>
      <c r="G690" s="67"/>
      <c r="H690" s="67"/>
      <c r="I690" s="67"/>
      <c r="J690" s="134"/>
      <c r="K690" s="68"/>
      <c r="L690" s="69"/>
      <c r="M690" s="69"/>
      <c r="N690" s="260" t="str">
        <f t="shared" si="62"/>
        <v/>
      </c>
      <c r="O690" s="256">
        <f t="shared" si="64"/>
        <v>0</v>
      </c>
      <c r="P690" s="257" t="str">
        <f t="shared" si="63"/>
        <v>×</v>
      </c>
      <c r="Q690" s="272" t="str">
        <f t="shared" si="65"/>
        <v/>
      </c>
    </row>
    <row r="691" spans="2:17">
      <c r="B691" s="65"/>
      <c r="C691" s="54"/>
      <c r="D691" s="261" t="str">
        <f t="shared" si="61"/>
        <v/>
      </c>
      <c r="E691" s="262" t="str">
        <f t="shared" si="66"/>
        <v/>
      </c>
      <c r="F691" s="125" t="str">
        <f>IF(G691="","",VLOOKUP(G691,プルダウン用リスト!$K$1:$M$16,2,FALSE))</f>
        <v/>
      </c>
      <c r="G691" s="67"/>
      <c r="H691" s="55"/>
      <c r="I691" s="67"/>
      <c r="J691" s="134"/>
      <c r="K691" s="68"/>
      <c r="L691" s="69"/>
      <c r="M691" s="69"/>
      <c r="N691" s="260" t="str">
        <f t="shared" si="62"/>
        <v/>
      </c>
      <c r="O691" s="256">
        <f t="shared" si="64"/>
        <v>0</v>
      </c>
      <c r="P691" s="257" t="str">
        <f t="shared" si="63"/>
        <v>×</v>
      </c>
      <c r="Q691" s="272" t="str">
        <f t="shared" si="65"/>
        <v/>
      </c>
    </row>
    <row r="692" spans="2:17">
      <c r="B692" s="65"/>
      <c r="C692" s="54"/>
      <c r="D692" s="261" t="str">
        <f t="shared" si="61"/>
        <v/>
      </c>
      <c r="E692" s="262" t="str">
        <f t="shared" si="66"/>
        <v/>
      </c>
      <c r="F692" s="125" t="str">
        <f>IF(G692="","",VLOOKUP(G692,プルダウン用リスト!$K$1:$M$16,2,FALSE))</f>
        <v/>
      </c>
      <c r="G692" s="67"/>
      <c r="H692" s="55"/>
      <c r="I692" s="67"/>
      <c r="J692" s="134"/>
      <c r="K692" s="68"/>
      <c r="L692" s="69"/>
      <c r="M692" s="69"/>
      <c r="N692" s="260" t="str">
        <f t="shared" si="62"/>
        <v/>
      </c>
      <c r="O692" s="256">
        <f t="shared" si="64"/>
        <v>0</v>
      </c>
      <c r="P692" s="257" t="str">
        <f t="shared" si="63"/>
        <v>×</v>
      </c>
      <c r="Q692" s="272" t="str">
        <f t="shared" si="65"/>
        <v/>
      </c>
    </row>
    <row r="693" spans="2:17">
      <c r="B693" s="65"/>
      <c r="C693" s="54"/>
      <c r="D693" s="261" t="str">
        <f t="shared" si="61"/>
        <v/>
      </c>
      <c r="E693" s="262" t="str">
        <f t="shared" si="66"/>
        <v/>
      </c>
      <c r="F693" s="125" t="str">
        <f>IF(G693="","",VLOOKUP(G693,プルダウン用リスト!$K$1:$M$16,2,FALSE))</f>
        <v/>
      </c>
      <c r="G693" s="67"/>
      <c r="H693" s="67"/>
      <c r="I693" s="67"/>
      <c r="J693" s="134"/>
      <c r="K693" s="68"/>
      <c r="L693" s="69"/>
      <c r="M693" s="69"/>
      <c r="N693" s="260" t="str">
        <f t="shared" si="62"/>
        <v/>
      </c>
      <c r="O693" s="256">
        <f t="shared" si="64"/>
        <v>0</v>
      </c>
      <c r="P693" s="257" t="str">
        <f t="shared" si="63"/>
        <v>×</v>
      </c>
      <c r="Q693" s="272" t="str">
        <f t="shared" si="65"/>
        <v/>
      </c>
    </row>
    <row r="694" spans="2:17">
      <c r="B694" s="65"/>
      <c r="C694" s="54"/>
      <c r="D694" s="261" t="str">
        <f t="shared" si="61"/>
        <v/>
      </c>
      <c r="E694" s="262" t="str">
        <f t="shared" si="66"/>
        <v/>
      </c>
      <c r="F694" s="125" t="str">
        <f>IF(G694="","",VLOOKUP(G694,プルダウン用リスト!$K$1:$M$16,2,FALSE))</f>
        <v/>
      </c>
      <c r="G694" s="67"/>
      <c r="H694" s="55"/>
      <c r="I694" s="67"/>
      <c r="J694" s="134"/>
      <c r="K694" s="68"/>
      <c r="L694" s="69"/>
      <c r="M694" s="69"/>
      <c r="N694" s="260" t="str">
        <f t="shared" si="62"/>
        <v/>
      </c>
      <c r="O694" s="256">
        <f t="shared" si="64"/>
        <v>0</v>
      </c>
      <c r="P694" s="257" t="str">
        <f t="shared" si="63"/>
        <v>×</v>
      </c>
      <c r="Q694" s="272" t="str">
        <f t="shared" si="65"/>
        <v/>
      </c>
    </row>
    <row r="695" spans="2:17">
      <c r="B695" s="65"/>
      <c r="C695" s="54"/>
      <c r="D695" s="261" t="str">
        <f t="shared" si="61"/>
        <v/>
      </c>
      <c r="E695" s="262" t="str">
        <f t="shared" si="66"/>
        <v/>
      </c>
      <c r="F695" s="125" t="str">
        <f>IF(G695="","",VLOOKUP(G695,プルダウン用リスト!$K$1:$M$16,2,FALSE))</f>
        <v/>
      </c>
      <c r="G695" s="67"/>
      <c r="H695" s="55"/>
      <c r="I695" s="67"/>
      <c r="J695" s="134"/>
      <c r="K695" s="68"/>
      <c r="L695" s="69"/>
      <c r="M695" s="69"/>
      <c r="N695" s="260" t="str">
        <f t="shared" si="62"/>
        <v/>
      </c>
      <c r="O695" s="256">
        <f t="shared" si="64"/>
        <v>0</v>
      </c>
      <c r="P695" s="257" t="str">
        <f t="shared" si="63"/>
        <v>×</v>
      </c>
      <c r="Q695" s="272" t="str">
        <f t="shared" si="65"/>
        <v/>
      </c>
    </row>
    <row r="696" spans="2:17">
      <c r="B696" s="65"/>
      <c r="C696" s="54"/>
      <c r="D696" s="261" t="str">
        <f t="shared" si="61"/>
        <v/>
      </c>
      <c r="E696" s="262" t="str">
        <f t="shared" si="66"/>
        <v/>
      </c>
      <c r="F696" s="125" t="str">
        <f>IF(G696="","",VLOOKUP(G696,プルダウン用リスト!$K$1:$M$16,2,FALSE))</f>
        <v/>
      </c>
      <c r="G696" s="67"/>
      <c r="H696" s="67"/>
      <c r="I696" s="67"/>
      <c r="J696" s="134"/>
      <c r="K696" s="68"/>
      <c r="L696" s="69"/>
      <c r="M696" s="69"/>
      <c r="N696" s="260" t="str">
        <f t="shared" si="62"/>
        <v/>
      </c>
      <c r="O696" s="256">
        <f t="shared" si="64"/>
        <v>0</v>
      </c>
      <c r="P696" s="257" t="str">
        <f t="shared" si="63"/>
        <v>×</v>
      </c>
      <c r="Q696" s="272" t="str">
        <f t="shared" si="65"/>
        <v/>
      </c>
    </row>
    <row r="697" spans="2:17">
      <c r="B697" s="65"/>
      <c r="C697" s="54"/>
      <c r="D697" s="261" t="str">
        <f t="shared" si="61"/>
        <v/>
      </c>
      <c r="E697" s="262" t="str">
        <f t="shared" si="66"/>
        <v/>
      </c>
      <c r="F697" s="125" t="str">
        <f>IF(G697="","",VLOOKUP(G697,プルダウン用リスト!$K$1:$M$16,2,FALSE))</f>
        <v/>
      </c>
      <c r="G697" s="67"/>
      <c r="H697" s="55"/>
      <c r="I697" s="67"/>
      <c r="J697" s="134"/>
      <c r="K697" s="68"/>
      <c r="L697" s="69"/>
      <c r="M697" s="69"/>
      <c r="N697" s="260" t="str">
        <f t="shared" si="62"/>
        <v/>
      </c>
      <c r="O697" s="256">
        <f t="shared" si="64"/>
        <v>0</v>
      </c>
      <c r="P697" s="257" t="str">
        <f t="shared" si="63"/>
        <v>×</v>
      </c>
      <c r="Q697" s="272" t="str">
        <f t="shared" si="65"/>
        <v/>
      </c>
    </row>
    <row r="698" spans="2:17">
      <c r="B698" s="65"/>
      <c r="C698" s="54"/>
      <c r="D698" s="261" t="str">
        <f t="shared" si="61"/>
        <v/>
      </c>
      <c r="E698" s="262" t="str">
        <f t="shared" si="66"/>
        <v/>
      </c>
      <c r="F698" s="125" t="str">
        <f>IF(G698="","",VLOOKUP(G698,プルダウン用リスト!$K$1:$M$16,2,FALSE))</f>
        <v/>
      </c>
      <c r="G698" s="67"/>
      <c r="H698" s="55"/>
      <c r="I698" s="67"/>
      <c r="J698" s="134"/>
      <c r="K698" s="68"/>
      <c r="L698" s="69"/>
      <c r="M698" s="69"/>
      <c r="N698" s="260" t="str">
        <f t="shared" si="62"/>
        <v/>
      </c>
      <c r="O698" s="256">
        <f t="shared" si="64"/>
        <v>0</v>
      </c>
      <c r="P698" s="257" t="str">
        <f t="shared" si="63"/>
        <v>×</v>
      </c>
      <c r="Q698" s="272" t="str">
        <f t="shared" si="65"/>
        <v/>
      </c>
    </row>
    <row r="699" spans="2:17">
      <c r="B699" s="65"/>
      <c r="C699" s="54"/>
      <c r="D699" s="261" t="str">
        <f t="shared" si="61"/>
        <v/>
      </c>
      <c r="E699" s="262" t="str">
        <f t="shared" si="66"/>
        <v/>
      </c>
      <c r="F699" s="125" t="str">
        <f>IF(G699="","",VLOOKUP(G699,プルダウン用リスト!$K$1:$M$16,2,FALSE))</f>
        <v/>
      </c>
      <c r="G699" s="67"/>
      <c r="H699" s="67"/>
      <c r="I699" s="67"/>
      <c r="J699" s="134"/>
      <c r="K699" s="68"/>
      <c r="L699" s="69"/>
      <c r="M699" s="69"/>
      <c r="N699" s="260" t="str">
        <f t="shared" si="62"/>
        <v/>
      </c>
      <c r="O699" s="256">
        <f t="shared" si="64"/>
        <v>0</v>
      </c>
      <c r="P699" s="257" t="str">
        <f t="shared" si="63"/>
        <v>×</v>
      </c>
      <c r="Q699" s="272" t="str">
        <f t="shared" si="65"/>
        <v/>
      </c>
    </row>
    <row r="700" spans="2:17">
      <c r="B700" s="65"/>
      <c r="C700" s="54"/>
      <c r="D700" s="261" t="str">
        <f t="shared" si="61"/>
        <v/>
      </c>
      <c r="E700" s="262" t="str">
        <f t="shared" si="66"/>
        <v/>
      </c>
      <c r="F700" s="125" t="str">
        <f>IF(G700="","",VLOOKUP(G700,プルダウン用リスト!$K$1:$M$16,2,FALSE))</f>
        <v/>
      </c>
      <c r="G700" s="67"/>
      <c r="H700" s="55"/>
      <c r="I700" s="67"/>
      <c r="J700" s="134"/>
      <c r="K700" s="68"/>
      <c r="L700" s="69"/>
      <c r="M700" s="69"/>
      <c r="N700" s="260" t="str">
        <f t="shared" si="62"/>
        <v/>
      </c>
      <c r="O700" s="256">
        <f t="shared" si="64"/>
        <v>0</v>
      </c>
      <c r="P700" s="257" t="str">
        <f t="shared" si="63"/>
        <v>×</v>
      </c>
      <c r="Q700" s="272" t="str">
        <f t="shared" si="65"/>
        <v/>
      </c>
    </row>
    <row r="701" spans="2:17">
      <c r="B701" s="65"/>
      <c r="C701" s="54"/>
      <c r="D701" s="261" t="str">
        <f t="shared" si="61"/>
        <v/>
      </c>
      <c r="E701" s="262" t="str">
        <f t="shared" si="66"/>
        <v/>
      </c>
      <c r="F701" s="125" t="str">
        <f>IF(G701="","",VLOOKUP(G701,プルダウン用リスト!$K$1:$M$16,2,FALSE))</f>
        <v/>
      </c>
      <c r="G701" s="67"/>
      <c r="H701" s="55"/>
      <c r="I701" s="67"/>
      <c r="J701" s="134"/>
      <c r="K701" s="68"/>
      <c r="L701" s="69"/>
      <c r="M701" s="69"/>
      <c r="N701" s="260" t="str">
        <f t="shared" si="62"/>
        <v/>
      </c>
      <c r="O701" s="256">
        <f t="shared" si="64"/>
        <v>0</v>
      </c>
      <c r="P701" s="257" t="str">
        <f t="shared" si="63"/>
        <v>×</v>
      </c>
      <c r="Q701" s="272" t="str">
        <f t="shared" si="65"/>
        <v/>
      </c>
    </row>
    <row r="702" spans="2:17">
      <c r="B702" s="65"/>
      <c r="C702" s="66"/>
      <c r="D702" s="261" t="str">
        <f t="shared" si="61"/>
        <v/>
      </c>
      <c r="E702" s="262" t="str">
        <f t="shared" si="66"/>
        <v/>
      </c>
      <c r="F702" s="125" t="str">
        <f>IF(G702="","",VLOOKUP(G702,プルダウン用リスト!$K$1:$M$16,2,FALSE))</f>
        <v/>
      </c>
      <c r="G702" s="67"/>
      <c r="H702" s="67"/>
      <c r="I702" s="67"/>
      <c r="J702" s="134"/>
      <c r="K702" s="68"/>
      <c r="L702" s="69"/>
      <c r="M702" s="69"/>
      <c r="N702" s="260" t="str">
        <f t="shared" si="62"/>
        <v/>
      </c>
      <c r="O702" s="256">
        <f t="shared" si="64"/>
        <v>0</v>
      </c>
      <c r="P702" s="257" t="str">
        <f t="shared" si="63"/>
        <v>×</v>
      </c>
      <c r="Q702" s="272" t="str">
        <f t="shared" si="65"/>
        <v/>
      </c>
    </row>
    <row r="703" spans="2:17">
      <c r="B703" s="65"/>
      <c r="C703" s="54"/>
      <c r="D703" s="261" t="str">
        <f t="shared" si="61"/>
        <v/>
      </c>
      <c r="E703" s="262" t="str">
        <f t="shared" si="66"/>
        <v/>
      </c>
      <c r="F703" s="125" t="str">
        <f>IF(G703="","",VLOOKUP(G703,プルダウン用リスト!$K$1:$M$16,2,FALSE))</f>
        <v/>
      </c>
      <c r="G703" s="67"/>
      <c r="H703" s="55"/>
      <c r="I703" s="67"/>
      <c r="J703" s="134"/>
      <c r="K703" s="68"/>
      <c r="L703" s="69"/>
      <c r="M703" s="69"/>
      <c r="N703" s="260" t="str">
        <f t="shared" si="62"/>
        <v/>
      </c>
      <c r="O703" s="256">
        <f t="shared" si="64"/>
        <v>0</v>
      </c>
      <c r="P703" s="257" t="str">
        <f t="shared" si="63"/>
        <v>×</v>
      </c>
      <c r="Q703" s="272" t="str">
        <f t="shared" si="65"/>
        <v/>
      </c>
    </row>
    <row r="704" spans="2:17">
      <c r="B704" s="65"/>
      <c r="C704" s="54"/>
      <c r="D704" s="261" t="str">
        <f t="shared" si="61"/>
        <v/>
      </c>
      <c r="E704" s="262" t="str">
        <f t="shared" si="66"/>
        <v/>
      </c>
      <c r="F704" s="125" t="str">
        <f>IF(G704="","",VLOOKUP(G704,プルダウン用リスト!$K$1:$M$16,2,FALSE))</f>
        <v/>
      </c>
      <c r="G704" s="67"/>
      <c r="H704" s="55"/>
      <c r="I704" s="67"/>
      <c r="J704" s="134"/>
      <c r="K704" s="68"/>
      <c r="L704" s="69"/>
      <c r="M704" s="69"/>
      <c r="N704" s="260" t="str">
        <f t="shared" si="62"/>
        <v/>
      </c>
      <c r="O704" s="256">
        <f t="shared" si="64"/>
        <v>0</v>
      </c>
      <c r="P704" s="257" t="str">
        <f t="shared" si="63"/>
        <v>×</v>
      </c>
      <c r="Q704" s="272" t="str">
        <f t="shared" si="65"/>
        <v/>
      </c>
    </row>
    <row r="705" spans="2:17">
      <c r="B705" s="65"/>
      <c r="C705" s="54"/>
      <c r="D705" s="261" t="str">
        <f t="shared" si="61"/>
        <v/>
      </c>
      <c r="E705" s="262" t="str">
        <f t="shared" si="66"/>
        <v/>
      </c>
      <c r="F705" s="125" t="str">
        <f>IF(G705="","",VLOOKUP(G705,プルダウン用リスト!$K$1:$M$16,2,FALSE))</f>
        <v/>
      </c>
      <c r="G705" s="67"/>
      <c r="H705" s="67"/>
      <c r="I705" s="67"/>
      <c r="J705" s="134"/>
      <c r="K705" s="68"/>
      <c r="L705" s="69"/>
      <c r="M705" s="69"/>
      <c r="N705" s="260" t="str">
        <f t="shared" si="62"/>
        <v/>
      </c>
      <c r="O705" s="256">
        <f t="shared" si="64"/>
        <v>0</v>
      </c>
      <c r="P705" s="257" t="str">
        <f t="shared" si="63"/>
        <v>×</v>
      </c>
      <c r="Q705" s="272" t="str">
        <f t="shared" si="65"/>
        <v/>
      </c>
    </row>
    <row r="706" spans="2:17">
      <c r="B706" s="65"/>
      <c r="C706" s="54"/>
      <c r="D706" s="261" t="str">
        <f t="shared" si="61"/>
        <v/>
      </c>
      <c r="E706" s="262" t="str">
        <f t="shared" si="66"/>
        <v/>
      </c>
      <c r="F706" s="125" t="str">
        <f>IF(G706="","",VLOOKUP(G706,プルダウン用リスト!$K$1:$M$16,2,FALSE))</f>
        <v/>
      </c>
      <c r="G706" s="67"/>
      <c r="H706" s="55"/>
      <c r="I706" s="67"/>
      <c r="J706" s="134"/>
      <c r="K706" s="68"/>
      <c r="L706" s="69"/>
      <c r="M706" s="69"/>
      <c r="N706" s="260" t="str">
        <f t="shared" si="62"/>
        <v/>
      </c>
      <c r="O706" s="256">
        <f t="shared" si="64"/>
        <v>0</v>
      </c>
      <c r="P706" s="257" t="str">
        <f t="shared" si="63"/>
        <v>×</v>
      </c>
      <c r="Q706" s="272" t="str">
        <f t="shared" si="65"/>
        <v/>
      </c>
    </row>
    <row r="707" spans="2:17">
      <c r="B707" s="65"/>
      <c r="C707" s="54"/>
      <c r="D707" s="261" t="str">
        <f t="shared" si="61"/>
        <v/>
      </c>
      <c r="E707" s="262" t="str">
        <f t="shared" si="66"/>
        <v/>
      </c>
      <c r="F707" s="125" t="str">
        <f>IF(G707="","",VLOOKUP(G707,プルダウン用リスト!$K$1:$M$16,2,FALSE))</f>
        <v/>
      </c>
      <c r="G707" s="67"/>
      <c r="H707" s="55"/>
      <c r="I707" s="67"/>
      <c r="J707" s="134"/>
      <c r="K707" s="68"/>
      <c r="L707" s="69"/>
      <c r="M707" s="69"/>
      <c r="N707" s="260" t="str">
        <f t="shared" si="62"/>
        <v/>
      </c>
      <c r="O707" s="256">
        <f t="shared" si="64"/>
        <v>0</v>
      </c>
      <c r="P707" s="257" t="str">
        <f t="shared" si="63"/>
        <v>×</v>
      </c>
      <c r="Q707" s="272" t="str">
        <f t="shared" si="65"/>
        <v/>
      </c>
    </row>
    <row r="708" spans="2:17">
      <c r="B708" s="65"/>
      <c r="C708" s="54"/>
      <c r="D708" s="261" t="str">
        <f t="shared" si="61"/>
        <v/>
      </c>
      <c r="E708" s="262" t="str">
        <f t="shared" si="66"/>
        <v/>
      </c>
      <c r="F708" s="125" t="str">
        <f>IF(G708="","",VLOOKUP(G708,プルダウン用リスト!$K$1:$M$16,2,FALSE))</f>
        <v/>
      </c>
      <c r="G708" s="67"/>
      <c r="H708" s="67"/>
      <c r="I708" s="67"/>
      <c r="J708" s="134"/>
      <c r="K708" s="68"/>
      <c r="L708" s="69"/>
      <c r="M708" s="69"/>
      <c r="N708" s="260" t="str">
        <f t="shared" si="62"/>
        <v/>
      </c>
      <c r="O708" s="256">
        <f t="shared" si="64"/>
        <v>0</v>
      </c>
      <c r="P708" s="257" t="str">
        <f t="shared" si="63"/>
        <v>×</v>
      </c>
      <c r="Q708" s="272" t="str">
        <f t="shared" si="65"/>
        <v/>
      </c>
    </row>
    <row r="709" spans="2:17">
      <c r="B709" s="65"/>
      <c r="C709" s="54"/>
      <c r="D709" s="261" t="str">
        <f t="shared" si="61"/>
        <v/>
      </c>
      <c r="E709" s="262" t="str">
        <f t="shared" si="66"/>
        <v/>
      </c>
      <c r="F709" s="125" t="str">
        <f>IF(G709="","",VLOOKUP(G709,プルダウン用リスト!$K$1:$M$16,2,FALSE))</f>
        <v/>
      </c>
      <c r="G709" s="67"/>
      <c r="H709" s="55"/>
      <c r="I709" s="67"/>
      <c r="J709" s="134"/>
      <c r="K709" s="68"/>
      <c r="L709" s="69"/>
      <c r="M709" s="69"/>
      <c r="N709" s="260" t="str">
        <f t="shared" si="62"/>
        <v/>
      </c>
      <c r="O709" s="256">
        <f t="shared" si="64"/>
        <v>0</v>
      </c>
      <c r="P709" s="257" t="str">
        <f t="shared" si="63"/>
        <v>×</v>
      </c>
      <c r="Q709" s="272" t="str">
        <f t="shared" si="65"/>
        <v/>
      </c>
    </row>
    <row r="710" spans="2:17">
      <c r="B710" s="65"/>
      <c r="C710" s="54"/>
      <c r="D710" s="261" t="str">
        <f t="shared" si="61"/>
        <v/>
      </c>
      <c r="E710" s="262" t="str">
        <f t="shared" si="66"/>
        <v/>
      </c>
      <c r="F710" s="125" t="str">
        <f>IF(G710="","",VLOOKUP(G710,プルダウン用リスト!$K$1:$M$16,2,FALSE))</f>
        <v/>
      </c>
      <c r="G710" s="67"/>
      <c r="H710" s="55"/>
      <c r="I710" s="67"/>
      <c r="J710" s="134"/>
      <c r="K710" s="68"/>
      <c r="L710" s="69"/>
      <c r="M710" s="69"/>
      <c r="N710" s="260" t="str">
        <f t="shared" si="62"/>
        <v/>
      </c>
      <c r="O710" s="256">
        <f t="shared" si="64"/>
        <v>0</v>
      </c>
      <c r="P710" s="257" t="str">
        <f t="shared" si="63"/>
        <v>×</v>
      </c>
      <c r="Q710" s="272" t="str">
        <f t="shared" si="65"/>
        <v/>
      </c>
    </row>
    <row r="711" spans="2:17">
      <c r="B711" s="65"/>
      <c r="C711" s="54"/>
      <c r="D711" s="261" t="str">
        <f t="shared" ref="D711:D774" si="67">IF(E711="","",IF(E711="謝金","01.",IF(E711="旅費","02.",IF(E711="その他","04.","03."))))</f>
        <v/>
      </c>
      <c r="E711" s="262" t="str">
        <f t="shared" si="66"/>
        <v/>
      </c>
      <c r="F711" s="125" t="str">
        <f>IF(G711="","",VLOOKUP(G711,プルダウン用リスト!$K$1:$M$16,2,FALSE))</f>
        <v/>
      </c>
      <c r="G711" s="67"/>
      <c r="H711" s="67"/>
      <c r="I711" s="67"/>
      <c r="J711" s="134"/>
      <c r="K711" s="68"/>
      <c r="L711" s="69"/>
      <c r="M711" s="69"/>
      <c r="N711" s="260" t="str">
        <f t="shared" ref="N711:N774" si="68">IF(G711="16.対象外経費",L711,IF(M711="","",L711-M711))</f>
        <v/>
      </c>
      <c r="O711" s="256">
        <f t="shared" si="64"/>
        <v>0</v>
      </c>
      <c r="P711" s="257" t="str">
        <f t="shared" ref="P711:P774" si="69">IF(G711="2.旅費","〇","×")</f>
        <v>×</v>
      </c>
      <c r="Q711" s="272" t="str">
        <f t="shared" si="65"/>
        <v/>
      </c>
    </row>
    <row r="712" spans="2:17">
      <c r="B712" s="65"/>
      <c r="C712" s="54"/>
      <c r="D712" s="261" t="str">
        <f t="shared" si="67"/>
        <v/>
      </c>
      <c r="E712" s="262" t="str">
        <f t="shared" si="66"/>
        <v/>
      </c>
      <c r="F712" s="125" t="str">
        <f>IF(G712="","",VLOOKUP(G712,プルダウン用リスト!$K$1:$M$16,2,FALSE))</f>
        <v/>
      </c>
      <c r="G712" s="67"/>
      <c r="H712" s="55"/>
      <c r="I712" s="67"/>
      <c r="J712" s="134"/>
      <c r="K712" s="68"/>
      <c r="L712" s="69"/>
      <c r="M712" s="69"/>
      <c r="N712" s="260" t="str">
        <f t="shared" si="68"/>
        <v/>
      </c>
      <c r="O712" s="256">
        <f t="shared" ref="O712:O775" si="70">IF(L712&gt;0,COUNTA(B712,C712,G712,H712,I712,K712,,L712,J712),0)</f>
        <v>0</v>
      </c>
      <c r="P712" s="257" t="str">
        <f t="shared" si="69"/>
        <v>×</v>
      </c>
      <c r="Q712" s="272" t="str">
        <f t="shared" ref="Q712:Q775" si="71">_xlfn.IFS(O712=0,"",AND(G712="16.対象外経費",O712=7),"OK",O712&lt;=7,"ピンク色のセルを全て入力してください",O712=9,"OK",P712="〇","旅行区間および宿泊地を入力してください",O712=8,"OK")</f>
        <v/>
      </c>
    </row>
    <row r="713" spans="2:17">
      <c r="B713" s="65"/>
      <c r="C713" s="54"/>
      <c r="D713" s="261" t="str">
        <f t="shared" si="67"/>
        <v/>
      </c>
      <c r="E713" s="262" t="str">
        <f t="shared" si="66"/>
        <v/>
      </c>
      <c r="F713" s="125" t="str">
        <f>IF(G713="","",VLOOKUP(G713,プルダウン用リスト!$K$1:$M$16,2,FALSE))</f>
        <v/>
      </c>
      <c r="G713" s="67"/>
      <c r="H713" s="55"/>
      <c r="I713" s="67"/>
      <c r="J713" s="134"/>
      <c r="K713" s="68"/>
      <c r="L713" s="69"/>
      <c r="M713" s="69"/>
      <c r="N713" s="260" t="str">
        <f t="shared" si="68"/>
        <v/>
      </c>
      <c r="O713" s="256">
        <f t="shared" si="70"/>
        <v>0</v>
      </c>
      <c r="P713" s="257" t="str">
        <f t="shared" si="69"/>
        <v>×</v>
      </c>
      <c r="Q713" s="272" t="str">
        <f t="shared" si="71"/>
        <v/>
      </c>
    </row>
    <row r="714" spans="2:17">
      <c r="B714" s="65"/>
      <c r="C714" s="66"/>
      <c r="D714" s="261" t="str">
        <f t="shared" si="67"/>
        <v/>
      </c>
      <c r="E714" s="262" t="str">
        <f t="shared" si="66"/>
        <v/>
      </c>
      <c r="F714" s="125" t="str">
        <f>IF(G714="","",VLOOKUP(G714,プルダウン用リスト!$K$1:$M$16,2,FALSE))</f>
        <v/>
      </c>
      <c r="G714" s="67"/>
      <c r="H714" s="67"/>
      <c r="I714" s="67"/>
      <c r="J714" s="134"/>
      <c r="K714" s="68"/>
      <c r="L714" s="69"/>
      <c r="M714" s="69"/>
      <c r="N714" s="260" t="str">
        <f t="shared" si="68"/>
        <v/>
      </c>
      <c r="O714" s="256">
        <f t="shared" si="70"/>
        <v>0</v>
      </c>
      <c r="P714" s="257" t="str">
        <f t="shared" si="69"/>
        <v>×</v>
      </c>
      <c r="Q714" s="272" t="str">
        <f t="shared" si="71"/>
        <v/>
      </c>
    </row>
    <row r="715" spans="2:17">
      <c r="B715" s="65"/>
      <c r="C715" s="54"/>
      <c r="D715" s="261" t="str">
        <f t="shared" si="67"/>
        <v/>
      </c>
      <c r="E715" s="262" t="str">
        <f t="shared" si="66"/>
        <v/>
      </c>
      <c r="F715" s="125" t="str">
        <f>IF(G715="","",VLOOKUP(G715,プルダウン用リスト!$K$1:$M$16,2,FALSE))</f>
        <v/>
      </c>
      <c r="G715" s="67"/>
      <c r="H715" s="55"/>
      <c r="I715" s="67"/>
      <c r="J715" s="134"/>
      <c r="K715" s="68"/>
      <c r="L715" s="69"/>
      <c r="M715" s="69"/>
      <c r="N715" s="260" t="str">
        <f t="shared" si="68"/>
        <v/>
      </c>
      <c r="O715" s="256">
        <f t="shared" si="70"/>
        <v>0</v>
      </c>
      <c r="P715" s="257" t="str">
        <f t="shared" si="69"/>
        <v>×</v>
      </c>
      <c r="Q715" s="272" t="str">
        <f t="shared" si="71"/>
        <v/>
      </c>
    </row>
    <row r="716" spans="2:17">
      <c r="B716" s="65"/>
      <c r="C716" s="54"/>
      <c r="D716" s="261" t="str">
        <f t="shared" si="67"/>
        <v/>
      </c>
      <c r="E716" s="262" t="str">
        <f t="shared" si="66"/>
        <v/>
      </c>
      <c r="F716" s="125" t="str">
        <f>IF(G716="","",VLOOKUP(G716,プルダウン用リスト!$K$1:$M$16,2,FALSE))</f>
        <v/>
      </c>
      <c r="G716" s="67"/>
      <c r="H716" s="55"/>
      <c r="I716" s="67"/>
      <c r="J716" s="134"/>
      <c r="K716" s="68"/>
      <c r="L716" s="69"/>
      <c r="M716" s="69"/>
      <c r="N716" s="260" t="str">
        <f t="shared" si="68"/>
        <v/>
      </c>
      <c r="O716" s="256">
        <f t="shared" si="70"/>
        <v>0</v>
      </c>
      <c r="P716" s="257" t="str">
        <f t="shared" si="69"/>
        <v>×</v>
      </c>
      <c r="Q716" s="272" t="str">
        <f t="shared" si="71"/>
        <v/>
      </c>
    </row>
    <row r="717" spans="2:17">
      <c r="B717" s="65"/>
      <c r="C717" s="54"/>
      <c r="D717" s="261" t="str">
        <f t="shared" si="67"/>
        <v/>
      </c>
      <c r="E717" s="262" t="str">
        <f t="shared" si="66"/>
        <v/>
      </c>
      <c r="F717" s="125" t="str">
        <f>IF(G717="","",VLOOKUP(G717,プルダウン用リスト!$K$1:$M$16,2,FALSE))</f>
        <v/>
      </c>
      <c r="G717" s="67"/>
      <c r="H717" s="67"/>
      <c r="I717" s="67"/>
      <c r="J717" s="134"/>
      <c r="K717" s="68"/>
      <c r="L717" s="69"/>
      <c r="M717" s="69"/>
      <c r="N717" s="260" t="str">
        <f t="shared" si="68"/>
        <v/>
      </c>
      <c r="O717" s="256">
        <f t="shared" si="70"/>
        <v>0</v>
      </c>
      <c r="P717" s="257" t="str">
        <f t="shared" si="69"/>
        <v>×</v>
      </c>
      <c r="Q717" s="272" t="str">
        <f t="shared" si="71"/>
        <v/>
      </c>
    </row>
    <row r="718" spans="2:17">
      <c r="B718" s="65"/>
      <c r="C718" s="54"/>
      <c r="D718" s="261" t="str">
        <f t="shared" si="67"/>
        <v/>
      </c>
      <c r="E718" s="262" t="str">
        <f t="shared" si="66"/>
        <v/>
      </c>
      <c r="F718" s="125" t="str">
        <f>IF(G718="","",VLOOKUP(G718,プルダウン用リスト!$K$1:$M$16,2,FALSE))</f>
        <v/>
      </c>
      <c r="G718" s="67"/>
      <c r="H718" s="55"/>
      <c r="I718" s="67"/>
      <c r="J718" s="134"/>
      <c r="K718" s="68"/>
      <c r="L718" s="69"/>
      <c r="M718" s="69"/>
      <c r="N718" s="260" t="str">
        <f t="shared" si="68"/>
        <v/>
      </c>
      <c r="O718" s="256">
        <f t="shared" si="70"/>
        <v>0</v>
      </c>
      <c r="P718" s="257" t="str">
        <f t="shared" si="69"/>
        <v>×</v>
      </c>
      <c r="Q718" s="272" t="str">
        <f t="shared" si="71"/>
        <v/>
      </c>
    </row>
    <row r="719" spans="2:17">
      <c r="B719" s="65"/>
      <c r="C719" s="54"/>
      <c r="D719" s="261" t="str">
        <f t="shared" si="67"/>
        <v/>
      </c>
      <c r="E719" s="262" t="str">
        <f t="shared" si="66"/>
        <v/>
      </c>
      <c r="F719" s="125" t="str">
        <f>IF(G719="","",VLOOKUP(G719,プルダウン用リスト!$K$1:$M$16,2,FALSE))</f>
        <v/>
      </c>
      <c r="G719" s="67"/>
      <c r="H719" s="55"/>
      <c r="I719" s="67"/>
      <c r="J719" s="134"/>
      <c r="K719" s="68"/>
      <c r="L719" s="69"/>
      <c r="M719" s="69"/>
      <c r="N719" s="260" t="str">
        <f t="shared" si="68"/>
        <v/>
      </c>
      <c r="O719" s="256">
        <f t="shared" si="70"/>
        <v>0</v>
      </c>
      <c r="P719" s="257" t="str">
        <f t="shared" si="69"/>
        <v>×</v>
      </c>
      <c r="Q719" s="272" t="str">
        <f t="shared" si="71"/>
        <v/>
      </c>
    </row>
    <row r="720" spans="2:17">
      <c r="B720" s="65"/>
      <c r="C720" s="54"/>
      <c r="D720" s="261" t="str">
        <f t="shared" si="67"/>
        <v/>
      </c>
      <c r="E720" s="262" t="str">
        <f t="shared" si="66"/>
        <v/>
      </c>
      <c r="F720" s="125" t="str">
        <f>IF(G720="","",VLOOKUP(G720,プルダウン用リスト!$K$1:$M$16,2,FALSE))</f>
        <v/>
      </c>
      <c r="G720" s="67"/>
      <c r="H720" s="67"/>
      <c r="I720" s="67"/>
      <c r="J720" s="134"/>
      <c r="K720" s="68"/>
      <c r="L720" s="69"/>
      <c r="M720" s="69"/>
      <c r="N720" s="260" t="str">
        <f t="shared" si="68"/>
        <v/>
      </c>
      <c r="O720" s="256">
        <f t="shared" si="70"/>
        <v>0</v>
      </c>
      <c r="P720" s="257" t="str">
        <f t="shared" si="69"/>
        <v>×</v>
      </c>
      <c r="Q720" s="272" t="str">
        <f t="shared" si="71"/>
        <v/>
      </c>
    </row>
    <row r="721" spans="2:17">
      <c r="B721" s="65"/>
      <c r="C721" s="54"/>
      <c r="D721" s="261" t="str">
        <f t="shared" si="67"/>
        <v/>
      </c>
      <c r="E721" s="262" t="str">
        <f t="shared" si="66"/>
        <v/>
      </c>
      <c r="F721" s="125" t="str">
        <f>IF(G721="","",VLOOKUP(G721,プルダウン用リスト!$K$1:$M$16,2,FALSE))</f>
        <v/>
      </c>
      <c r="G721" s="67"/>
      <c r="H721" s="55"/>
      <c r="I721" s="67"/>
      <c r="J721" s="134"/>
      <c r="K721" s="68"/>
      <c r="L721" s="69"/>
      <c r="M721" s="69"/>
      <c r="N721" s="260" t="str">
        <f t="shared" si="68"/>
        <v/>
      </c>
      <c r="O721" s="256">
        <f t="shared" si="70"/>
        <v>0</v>
      </c>
      <c r="P721" s="257" t="str">
        <f t="shared" si="69"/>
        <v>×</v>
      </c>
      <c r="Q721" s="272" t="str">
        <f t="shared" si="71"/>
        <v/>
      </c>
    </row>
    <row r="722" spans="2:17">
      <c r="B722" s="65"/>
      <c r="C722" s="54"/>
      <c r="D722" s="261" t="str">
        <f t="shared" si="67"/>
        <v/>
      </c>
      <c r="E722" s="262" t="str">
        <f t="shared" si="66"/>
        <v/>
      </c>
      <c r="F722" s="125" t="str">
        <f>IF(G722="","",VLOOKUP(G722,プルダウン用リスト!$K$1:$M$16,2,FALSE))</f>
        <v/>
      </c>
      <c r="G722" s="67"/>
      <c r="H722" s="55"/>
      <c r="I722" s="67"/>
      <c r="J722" s="134"/>
      <c r="K722" s="68"/>
      <c r="L722" s="69"/>
      <c r="M722" s="69"/>
      <c r="N722" s="260" t="str">
        <f t="shared" si="68"/>
        <v/>
      </c>
      <c r="O722" s="256">
        <f t="shared" si="70"/>
        <v>0</v>
      </c>
      <c r="P722" s="257" t="str">
        <f t="shared" si="69"/>
        <v>×</v>
      </c>
      <c r="Q722" s="272" t="str">
        <f t="shared" si="71"/>
        <v/>
      </c>
    </row>
    <row r="723" spans="2:17">
      <c r="B723" s="65"/>
      <c r="C723" s="54"/>
      <c r="D723" s="261" t="str">
        <f t="shared" si="67"/>
        <v/>
      </c>
      <c r="E723" s="262" t="str">
        <f t="shared" si="66"/>
        <v/>
      </c>
      <c r="F723" s="125" t="str">
        <f>IF(G723="","",VLOOKUP(G723,プルダウン用リスト!$K$1:$M$16,2,FALSE))</f>
        <v/>
      </c>
      <c r="G723" s="67"/>
      <c r="H723" s="67"/>
      <c r="I723" s="67"/>
      <c r="J723" s="134"/>
      <c r="K723" s="68"/>
      <c r="L723" s="69"/>
      <c r="M723" s="69"/>
      <c r="N723" s="260" t="str">
        <f t="shared" si="68"/>
        <v/>
      </c>
      <c r="O723" s="256">
        <f t="shared" si="70"/>
        <v>0</v>
      </c>
      <c r="P723" s="257" t="str">
        <f t="shared" si="69"/>
        <v>×</v>
      </c>
      <c r="Q723" s="272" t="str">
        <f t="shared" si="71"/>
        <v/>
      </c>
    </row>
    <row r="724" spans="2:17">
      <c r="B724" s="65"/>
      <c r="C724" s="54"/>
      <c r="D724" s="261" t="str">
        <f t="shared" si="67"/>
        <v/>
      </c>
      <c r="E724" s="262" t="str">
        <f t="shared" si="66"/>
        <v/>
      </c>
      <c r="F724" s="125" t="str">
        <f>IF(G724="","",VLOOKUP(G724,プルダウン用リスト!$K$1:$M$16,2,FALSE))</f>
        <v/>
      </c>
      <c r="G724" s="67"/>
      <c r="H724" s="55"/>
      <c r="I724" s="67"/>
      <c r="J724" s="134"/>
      <c r="K724" s="68"/>
      <c r="L724" s="69"/>
      <c r="M724" s="69"/>
      <c r="N724" s="260" t="str">
        <f t="shared" si="68"/>
        <v/>
      </c>
      <c r="O724" s="256">
        <f t="shared" si="70"/>
        <v>0</v>
      </c>
      <c r="P724" s="257" t="str">
        <f t="shared" si="69"/>
        <v>×</v>
      </c>
      <c r="Q724" s="272" t="str">
        <f t="shared" si="71"/>
        <v/>
      </c>
    </row>
    <row r="725" spans="2:17">
      <c r="B725" s="65"/>
      <c r="C725" s="54"/>
      <c r="D725" s="261" t="str">
        <f t="shared" si="67"/>
        <v/>
      </c>
      <c r="E725" s="262" t="str">
        <f t="shared" si="66"/>
        <v/>
      </c>
      <c r="F725" s="125" t="str">
        <f>IF(G725="","",VLOOKUP(G725,プルダウン用リスト!$K$1:$M$16,2,FALSE))</f>
        <v/>
      </c>
      <c r="G725" s="67"/>
      <c r="H725" s="55"/>
      <c r="I725" s="67"/>
      <c r="J725" s="134"/>
      <c r="K725" s="68"/>
      <c r="L725" s="69"/>
      <c r="M725" s="69"/>
      <c r="N725" s="260" t="str">
        <f t="shared" si="68"/>
        <v/>
      </c>
      <c r="O725" s="256">
        <f t="shared" si="70"/>
        <v>0</v>
      </c>
      <c r="P725" s="257" t="str">
        <f t="shared" si="69"/>
        <v>×</v>
      </c>
      <c r="Q725" s="272" t="str">
        <f t="shared" si="71"/>
        <v/>
      </c>
    </row>
    <row r="726" spans="2:17">
      <c r="B726" s="65"/>
      <c r="C726" s="66"/>
      <c r="D726" s="261" t="str">
        <f t="shared" si="67"/>
        <v/>
      </c>
      <c r="E726" s="262" t="str">
        <f t="shared" si="66"/>
        <v/>
      </c>
      <c r="F726" s="125" t="str">
        <f>IF(G726="","",VLOOKUP(G726,プルダウン用リスト!$K$1:$M$16,2,FALSE))</f>
        <v/>
      </c>
      <c r="G726" s="67"/>
      <c r="H726" s="67"/>
      <c r="I726" s="67"/>
      <c r="J726" s="134"/>
      <c r="K726" s="68"/>
      <c r="L726" s="69"/>
      <c r="M726" s="69"/>
      <c r="N726" s="260" t="str">
        <f t="shared" si="68"/>
        <v/>
      </c>
      <c r="O726" s="256">
        <f t="shared" si="70"/>
        <v>0</v>
      </c>
      <c r="P726" s="257" t="str">
        <f t="shared" si="69"/>
        <v>×</v>
      </c>
      <c r="Q726" s="272" t="str">
        <f t="shared" si="71"/>
        <v/>
      </c>
    </row>
    <row r="727" spans="2:17">
      <c r="B727" s="65"/>
      <c r="C727" s="54"/>
      <c r="D727" s="261" t="str">
        <f t="shared" si="67"/>
        <v/>
      </c>
      <c r="E727" s="262" t="str">
        <f t="shared" ref="E727:E790" si="72">IF(G727="","",IF(OR(G727="1.謝金（内部）",G727="1.謝金（外部）"),"謝金",IF(G727="2.旅費","旅費",IF(G727="16.対象外経費","その他","所費"))))</f>
        <v/>
      </c>
      <c r="F727" s="125" t="str">
        <f>IF(G727="","",VLOOKUP(G727,プルダウン用リスト!$K$1:$M$16,2,FALSE))</f>
        <v/>
      </c>
      <c r="G727" s="67"/>
      <c r="H727" s="55"/>
      <c r="I727" s="67"/>
      <c r="J727" s="134"/>
      <c r="K727" s="68"/>
      <c r="L727" s="69"/>
      <c r="M727" s="69"/>
      <c r="N727" s="260" t="str">
        <f t="shared" si="68"/>
        <v/>
      </c>
      <c r="O727" s="256">
        <f t="shared" si="70"/>
        <v>0</v>
      </c>
      <c r="P727" s="257" t="str">
        <f t="shared" si="69"/>
        <v>×</v>
      </c>
      <c r="Q727" s="272" t="str">
        <f t="shared" si="71"/>
        <v/>
      </c>
    </row>
    <row r="728" spans="2:17">
      <c r="B728" s="65"/>
      <c r="C728" s="54"/>
      <c r="D728" s="261" t="str">
        <f t="shared" si="67"/>
        <v/>
      </c>
      <c r="E728" s="262" t="str">
        <f t="shared" si="72"/>
        <v/>
      </c>
      <c r="F728" s="125" t="str">
        <f>IF(G728="","",VLOOKUP(G728,プルダウン用リスト!$K$1:$M$16,2,FALSE))</f>
        <v/>
      </c>
      <c r="G728" s="67"/>
      <c r="H728" s="55"/>
      <c r="I728" s="67"/>
      <c r="J728" s="134"/>
      <c r="K728" s="68"/>
      <c r="L728" s="69"/>
      <c r="M728" s="69"/>
      <c r="N728" s="260" t="str">
        <f t="shared" si="68"/>
        <v/>
      </c>
      <c r="O728" s="256">
        <f t="shared" si="70"/>
        <v>0</v>
      </c>
      <c r="P728" s="257" t="str">
        <f t="shared" si="69"/>
        <v>×</v>
      </c>
      <c r="Q728" s="272" t="str">
        <f t="shared" si="71"/>
        <v/>
      </c>
    </row>
    <row r="729" spans="2:17">
      <c r="B729" s="65"/>
      <c r="C729" s="54"/>
      <c r="D729" s="261" t="str">
        <f t="shared" si="67"/>
        <v/>
      </c>
      <c r="E729" s="262" t="str">
        <f t="shared" si="72"/>
        <v/>
      </c>
      <c r="F729" s="125" t="str">
        <f>IF(G729="","",VLOOKUP(G729,プルダウン用リスト!$K$1:$M$16,2,FALSE))</f>
        <v/>
      </c>
      <c r="G729" s="67"/>
      <c r="H729" s="67"/>
      <c r="I729" s="67"/>
      <c r="J729" s="134"/>
      <c r="K729" s="68"/>
      <c r="L729" s="69"/>
      <c r="M729" s="69"/>
      <c r="N729" s="260" t="str">
        <f t="shared" si="68"/>
        <v/>
      </c>
      <c r="O729" s="256">
        <f t="shared" si="70"/>
        <v>0</v>
      </c>
      <c r="P729" s="257" t="str">
        <f t="shared" si="69"/>
        <v>×</v>
      </c>
      <c r="Q729" s="272" t="str">
        <f t="shared" si="71"/>
        <v/>
      </c>
    </row>
    <row r="730" spans="2:17">
      <c r="B730" s="65"/>
      <c r="C730" s="54"/>
      <c r="D730" s="261" t="str">
        <f t="shared" si="67"/>
        <v/>
      </c>
      <c r="E730" s="262" t="str">
        <f t="shared" si="72"/>
        <v/>
      </c>
      <c r="F730" s="125" t="str">
        <f>IF(G730="","",VLOOKUP(G730,プルダウン用リスト!$K$1:$M$16,2,FALSE))</f>
        <v/>
      </c>
      <c r="G730" s="67"/>
      <c r="H730" s="55"/>
      <c r="I730" s="67"/>
      <c r="J730" s="134"/>
      <c r="K730" s="68"/>
      <c r="L730" s="69"/>
      <c r="M730" s="69"/>
      <c r="N730" s="260" t="str">
        <f t="shared" si="68"/>
        <v/>
      </c>
      <c r="O730" s="256">
        <f t="shared" si="70"/>
        <v>0</v>
      </c>
      <c r="P730" s="257" t="str">
        <f t="shared" si="69"/>
        <v>×</v>
      </c>
      <c r="Q730" s="272" t="str">
        <f t="shared" si="71"/>
        <v/>
      </c>
    </row>
    <row r="731" spans="2:17">
      <c r="B731" s="65"/>
      <c r="C731" s="54"/>
      <c r="D731" s="261" t="str">
        <f t="shared" si="67"/>
        <v/>
      </c>
      <c r="E731" s="262" t="str">
        <f t="shared" si="72"/>
        <v/>
      </c>
      <c r="F731" s="125" t="str">
        <f>IF(G731="","",VLOOKUP(G731,プルダウン用リスト!$K$1:$M$16,2,FALSE))</f>
        <v/>
      </c>
      <c r="G731" s="67"/>
      <c r="H731" s="55"/>
      <c r="I731" s="67"/>
      <c r="J731" s="134"/>
      <c r="K731" s="68"/>
      <c r="L731" s="69"/>
      <c r="M731" s="69"/>
      <c r="N731" s="260" t="str">
        <f t="shared" si="68"/>
        <v/>
      </c>
      <c r="O731" s="256">
        <f t="shared" si="70"/>
        <v>0</v>
      </c>
      <c r="P731" s="257" t="str">
        <f t="shared" si="69"/>
        <v>×</v>
      </c>
      <c r="Q731" s="272" t="str">
        <f t="shared" si="71"/>
        <v/>
      </c>
    </row>
    <row r="732" spans="2:17">
      <c r="B732" s="65"/>
      <c r="C732" s="54"/>
      <c r="D732" s="261" t="str">
        <f t="shared" si="67"/>
        <v/>
      </c>
      <c r="E732" s="262" t="str">
        <f t="shared" si="72"/>
        <v/>
      </c>
      <c r="F732" s="125" t="str">
        <f>IF(G732="","",VLOOKUP(G732,プルダウン用リスト!$K$1:$M$16,2,FALSE))</f>
        <v/>
      </c>
      <c r="G732" s="67"/>
      <c r="H732" s="67"/>
      <c r="I732" s="67"/>
      <c r="J732" s="134"/>
      <c r="K732" s="68"/>
      <c r="L732" s="69"/>
      <c r="M732" s="69"/>
      <c r="N732" s="260" t="str">
        <f t="shared" si="68"/>
        <v/>
      </c>
      <c r="O732" s="256">
        <f t="shared" si="70"/>
        <v>0</v>
      </c>
      <c r="P732" s="257" t="str">
        <f t="shared" si="69"/>
        <v>×</v>
      </c>
      <c r="Q732" s="272" t="str">
        <f t="shared" si="71"/>
        <v/>
      </c>
    </row>
    <row r="733" spans="2:17">
      <c r="B733" s="65"/>
      <c r="C733" s="54"/>
      <c r="D733" s="261" t="str">
        <f t="shared" si="67"/>
        <v/>
      </c>
      <c r="E733" s="262" t="str">
        <f t="shared" si="72"/>
        <v/>
      </c>
      <c r="F733" s="125" t="str">
        <f>IF(G733="","",VLOOKUP(G733,プルダウン用リスト!$K$1:$M$16,2,FALSE))</f>
        <v/>
      </c>
      <c r="G733" s="67"/>
      <c r="H733" s="55"/>
      <c r="I733" s="67"/>
      <c r="J733" s="134"/>
      <c r="K733" s="68"/>
      <c r="L733" s="69"/>
      <c r="M733" s="69"/>
      <c r="N733" s="260" t="str">
        <f t="shared" si="68"/>
        <v/>
      </c>
      <c r="O733" s="256">
        <f t="shared" si="70"/>
        <v>0</v>
      </c>
      <c r="P733" s="257" t="str">
        <f t="shared" si="69"/>
        <v>×</v>
      </c>
      <c r="Q733" s="272" t="str">
        <f t="shared" si="71"/>
        <v/>
      </c>
    </row>
    <row r="734" spans="2:17">
      <c r="B734" s="65"/>
      <c r="C734" s="54"/>
      <c r="D734" s="261" t="str">
        <f t="shared" si="67"/>
        <v/>
      </c>
      <c r="E734" s="262" t="str">
        <f t="shared" si="72"/>
        <v/>
      </c>
      <c r="F734" s="125" t="str">
        <f>IF(G734="","",VLOOKUP(G734,プルダウン用リスト!$K$1:$M$16,2,FALSE))</f>
        <v/>
      </c>
      <c r="G734" s="67"/>
      <c r="H734" s="55"/>
      <c r="I734" s="67"/>
      <c r="J734" s="134"/>
      <c r="K734" s="68"/>
      <c r="L734" s="69"/>
      <c r="M734" s="69"/>
      <c r="N734" s="260" t="str">
        <f t="shared" si="68"/>
        <v/>
      </c>
      <c r="O734" s="256">
        <f t="shared" si="70"/>
        <v>0</v>
      </c>
      <c r="P734" s="257" t="str">
        <f t="shared" si="69"/>
        <v>×</v>
      </c>
      <c r="Q734" s="272" t="str">
        <f t="shared" si="71"/>
        <v/>
      </c>
    </row>
    <row r="735" spans="2:17">
      <c r="B735" s="65"/>
      <c r="C735" s="54"/>
      <c r="D735" s="261" t="str">
        <f t="shared" si="67"/>
        <v/>
      </c>
      <c r="E735" s="262" t="str">
        <f t="shared" si="72"/>
        <v/>
      </c>
      <c r="F735" s="125" t="str">
        <f>IF(G735="","",VLOOKUP(G735,プルダウン用リスト!$K$1:$M$16,2,FALSE))</f>
        <v/>
      </c>
      <c r="G735" s="67"/>
      <c r="H735" s="67"/>
      <c r="I735" s="67"/>
      <c r="J735" s="134"/>
      <c r="K735" s="68"/>
      <c r="L735" s="69"/>
      <c r="M735" s="69"/>
      <c r="N735" s="260" t="str">
        <f t="shared" si="68"/>
        <v/>
      </c>
      <c r="O735" s="256">
        <f t="shared" si="70"/>
        <v>0</v>
      </c>
      <c r="P735" s="257" t="str">
        <f t="shared" si="69"/>
        <v>×</v>
      </c>
      <c r="Q735" s="272" t="str">
        <f t="shared" si="71"/>
        <v/>
      </c>
    </row>
    <row r="736" spans="2:17">
      <c r="B736" s="65"/>
      <c r="C736" s="54"/>
      <c r="D736" s="261" t="str">
        <f t="shared" si="67"/>
        <v/>
      </c>
      <c r="E736" s="262" t="str">
        <f t="shared" si="72"/>
        <v/>
      </c>
      <c r="F736" s="125" t="str">
        <f>IF(G736="","",VLOOKUP(G736,プルダウン用リスト!$K$1:$M$16,2,FALSE))</f>
        <v/>
      </c>
      <c r="G736" s="67"/>
      <c r="H736" s="55"/>
      <c r="I736" s="67"/>
      <c r="J736" s="134"/>
      <c r="K736" s="68"/>
      <c r="L736" s="69"/>
      <c r="M736" s="69"/>
      <c r="N736" s="260" t="str">
        <f t="shared" si="68"/>
        <v/>
      </c>
      <c r="O736" s="256">
        <f t="shared" si="70"/>
        <v>0</v>
      </c>
      <c r="P736" s="257" t="str">
        <f t="shared" si="69"/>
        <v>×</v>
      </c>
      <c r="Q736" s="272" t="str">
        <f t="shared" si="71"/>
        <v/>
      </c>
    </row>
    <row r="737" spans="2:17">
      <c r="B737" s="65"/>
      <c r="C737" s="54"/>
      <c r="D737" s="261" t="str">
        <f t="shared" si="67"/>
        <v/>
      </c>
      <c r="E737" s="262" t="str">
        <f t="shared" si="72"/>
        <v/>
      </c>
      <c r="F737" s="125" t="str">
        <f>IF(G737="","",VLOOKUP(G737,プルダウン用リスト!$K$1:$M$16,2,FALSE))</f>
        <v/>
      </c>
      <c r="G737" s="67"/>
      <c r="H737" s="55"/>
      <c r="I737" s="67"/>
      <c r="J737" s="134"/>
      <c r="K737" s="68"/>
      <c r="L737" s="69"/>
      <c r="M737" s="69"/>
      <c r="N737" s="260" t="str">
        <f t="shared" si="68"/>
        <v/>
      </c>
      <c r="O737" s="256">
        <f t="shared" si="70"/>
        <v>0</v>
      </c>
      <c r="P737" s="257" t="str">
        <f t="shared" si="69"/>
        <v>×</v>
      </c>
      <c r="Q737" s="272" t="str">
        <f t="shared" si="71"/>
        <v/>
      </c>
    </row>
    <row r="738" spans="2:17">
      <c r="B738" s="65"/>
      <c r="C738" s="66"/>
      <c r="D738" s="261" t="str">
        <f t="shared" si="67"/>
        <v/>
      </c>
      <c r="E738" s="262" t="str">
        <f t="shared" si="72"/>
        <v/>
      </c>
      <c r="F738" s="125" t="str">
        <f>IF(G738="","",VLOOKUP(G738,プルダウン用リスト!$K$1:$M$16,2,FALSE))</f>
        <v/>
      </c>
      <c r="G738" s="67"/>
      <c r="H738" s="67"/>
      <c r="I738" s="67"/>
      <c r="J738" s="134"/>
      <c r="K738" s="68"/>
      <c r="L738" s="69"/>
      <c r="M738" s="69"/>
      <c r="N738" s="260" t="str">
        <f t="shared" si="68"/>
        <v/>
      </c>
      <c r="O738" s="256">
        <f t="shared" si="70"/>
        <v>0</v>
      </c>
      <c r="P738" s="257" t="str">
        <f t="shared" si="69"/>
        <v>×</v>
      </c>
      <c r="Q738" s="272" t="str">
        <f t="shared" si="71"/>
        <v/>
      </c>
    </row>
    <row r="739" spans="2:17">
      <c r="B739" s="65"/>
      <c r="C739" s="54"/>
      <c r="D739" s="261" t="str">
        <f t="shared" si="67"/>
        <v/>
      </c>
      <c r="E739" s="262" t="str">
        <f t="shared" si="72"/>
        <v/>
      </c>
      <c r="F739" s="125" t="str">
        <f>IF(G739="","",VLOOKUP(G739,プルダウン用リスト!$K$1:$M$16,2,FALSE))</f>
        <v/>
      </c>
      <c r="G739" s="67"/>
      <c r="H739" s="55"/>
      <c r="I739" s="67"/>
      <c r="J739" s="134"/>
      <c r="K739" s="68"/>
      <c r="L739" s="69"/>
      <c r="M739" s="69"/>
      <c r="N739" s="260" t="str">
        <f t="shared" si="68"/>
        <v/>
      </c>
      <c r="O739" s="256">
        <f t="shared" si="70"/>
        <v>0</v>
      </c>
      <c r="P739" s="257" t="str">
        <f t="shared" si="69"/>
        <v>×</v>
      </c>
      <c r="Q739" s="272" t="str">
        <f t="shared" si="71"/>
        <v/>
      </c>
    </row>
    <row r="740" spans="2:17">
      <c r="B740" s="65"/>
      <c r="C740" s="54"/>
      <c r="D740" s="261" t="str">
        <f t="shared" si="67"/>
        <v/>
      </c>
      <c r="E740" s="262" t="str">
        <f t="shared" si="72"/>
        <v/>
      </c>
      <c r="F740" s="125" t="str">
        <f>IF(G740="","",VLOOKUP(G740,プルダウン用リスト!$K$1:$M$16,2,FALSE))</f>
        <v/>
      </c>
      <c r="G740" s="67"/>
      <c r="H740" s="55"/>
      <c r="I740" s="67"/>
      <c r="J740" s="134"/>
      <c r="K740" s="68"/>
      <c r="L740" s="69"/>
      <c r="M740" s="69"/>
      <c r="N740" s="260" t="str">
        <f t="shared" si="68"/>
        <v/>
      </c>
      <c r="O740" s="256">
        <f t="shared" si="70"/>
        <v>0</v>
      </c>
      <c r="P740" s="257" t="str">
        <f t="shared" si="69"/>
        <v>×</v>
      </c>
      <c r="Q740" s="272" t="str">
        <f t="shared" si="71"/>
        <v/>
      </c>
    </row>
    <row r="741" spans="2:17">
      <c r="B741" s="65"/>
      <c r="C741" s="54"/>
      <c r="D741" s="261" t="str">
        <f t="shared" si="67"/>
        <v/>
      </c>
      <c r="E741" s="262" t="str">
        <f t="shared" si="72"/>
        <v/>
      </c>
      <c r="F741" s="125" t="str">
        <f>IF(G741="","",VLOOKUP(G741,プルダウン用リスト!$K$1:$M$16,2,FALSE))</f>
        <v/>
      </c>
      <c r="G741" s="67"/>
      <c r="H741" s="67"/>
      <c r="I741" s="67"/>
      <c r="J741" s="134"/>
      <c r="K741" s="68"/>
      <c r="L741" s="69"/>
      <c r="M741" s="69"/>
      <c r="N741" s="260" t="str">
        <f t="shared" si="68"/>
        <v/>
      </c>
      <c r="O741" s="256">
        <f t="shared" si="70"/>
        <v>0</v>
      </c>
      <c r="P741" s="257" t="str">
        <f t="shared" si="69"/>
        <v>×</v>
      </c>
      <c r="Q741" s="272" t="str">
        <f t="shared" si="71"/>
        <v/>
      </c>
    </row>
    <row r="742" spans="2:17">
      <c r="B742" s="65"/>
      <c r="C742" s="54"/>
      <c r="D742" s="261" t="str">
        <f t="shared" si="67"/>
        <v/>
      </c>
      <c r="E742" s="262" t="str">
        <f t="shared" si="72"/>
        <v/>
      </c>
      <c r="F742" s="125" t="str">
        <f>IF(G742="","",VLOOKUP(G742,プルダウン用リスト!$K$1:$M$16,2,FALSE))</f>
        <v/>
      </c>
      <c r="G742" s="67"/>
      <c r="H742" s="55"/>
      <c r="I742" s="67"/>
      <c r="J742" s="134"/>
      <c r="K742" s="68"/>
      <c r="L742" s="69"/>
      <c r="M742" s="69"/>
      <c r="N742" s="260" t="str">
        <f t="shared" si="68"/>
        <v/>
      </c>
      <c r="O742" s="256">
        <f t="shared" si="70"/>
        <v>0</v>
      </c>
      <c r="P742" s="257" t="str">
        <f t="shared" si="69"/>
        <v>×</v>
      </c>
      <c r="Q742" s="272" t="str">
        <f t="shared" si="71"/>
        <v/>
      </c>
    </row>
    <row r="743" spans="2:17">
      <c r="B743" s="65"/>
      <c r="C743" s="54"/>
      <c r="D743" s="261" t="str">
        <f t="shared" si="67"/>
        <v/>
      </c>
      <c r="E743" s="262" t="str">
        <f t="shared" si="72"/>
        <v/>
      </c>
      <c r="F743" s="125" t="str">
        <f>IF(G743="","",VLOOKUP(G743,プルダウン用リスト!$K$1:$M$16,2,FALSE))</f>
        <v/>
      </c>
      <c r="G743" s="67"/>
      <c r="H743" s="55"/>
      <c r="I743" s="67"/>
      <c r="J743" s="134"/>
      <c r="K743" s="68"/>
      <c r="L743" s="69"/>
      <c r="M743" s="69"/>
      <c r="N743" s="260" t="str">
        <f t="shared" si="68"/>
        <v/>
      </c>
      <c r="O743" s="256">
        <f t="shared" si="70"/>
        <v>0</v>
      </c>
      <c r="P743" s="257" t="str">
        <f t="shared" si="69"/>
        <v>×</v>
      </c>
      <c r="Q743" s="272" t="str">
        <f t="shared" si="71"/>
        <v/>
      </c>
    </row>
    <row r="744" spans="2:17">
      <c r="B744" s="65"/>
      <c r="C744" s="54"/>
      <c r="D744" s="261" t="str">
        <f t="shared" si="67"/>
        <v/>
      </c>
      <c r="E744" s="262" t="str">
        <f t="shared" si="72"/>
        <v/>
      </c>
      <c r="F744" s="125" t="str">
        <f>IF(G744="","",VLOOKUP(G744,プルダウン用リスト!$K$1:$M$16,2,FALSE))</f>
        <v/>
      </c>
      <c r="G744" s="67"/>
      <c r="H744" s="67"/>
      <c r="I744" s="67"/>
      <c r="J744" s="134"/>
      <c r="K744" s="68"/>
      <c r="L744" s="69"/>
      <c r="M744" s="69"/>
      <c r="N744" s="260" t="str">
        <f t="shared" si="68"/>
        <v/>
      </c>
      <c r="O744" s="256">
        <f t="shared" si="70"/>
        <v>0</v>
      </c>
      <c r="P744" s="257" t="str">
        <f t="shared" si="69"/>
        <v>×</v>
      </c>
      <c r="Q744" s="272" t="str">
        <f t="shared" si="71"/>
        <v/>
      </c>
    </row>
    <row r="745" spans="2:17">
      <c r="B745" s="65"/>
      <c r="C745" s="54"/>
      <c r="D745" s="261" t="str">
        <f t="shared" si="67"/>
        <v/>
      </c>
      <c r="E745" s="262" t="str">
        <f t="shared" si="72"/>
        <v/>
      </c>
      <c r="F745" s="125" t="str">
        <f>IF(G745="","",VLOOKUP(G745,プルダウン用リスト!$K$1:$M$16,2,FALSE))</f>
        <v/>
      </c>
      <c r="G745" s="67"/>
      <c r="H745" s="55"/>
      <c r="I745" s="67"/>
      <c r="J745" s="134"/>
      <c r="K745" s="68"/>
      <c r="L745" s="69"/>
      <c r="M745" s="69"/>
      <c r="N745" s="260" t="str">
        <f t="shared" si="68"/>
        <v/>
      </c>
      <c r="O745" s="256">
        <f t="shared" si="70"/>
        <v>0</v>
      </c>
      <c r="P745" s="257" t="str">
        <f t="shared" si="69"/>
        <v>×</v>
      </c>
      <c r="Q745" s="272" t="str">
        <f t="shared" si="71"/>
        <v/>
      </c>
    </row>
    <row r="746" spans="2:17">
      <c r="B746" s="65"/>
      <c r="C746" s="54"/>
      <c r="D746" s="261" t="str">
        <f t="shared" si="67"/>
        <v/>
      </c>
      <c r="E746" s="262" t="str">
        <f t="shared" si="72"/>
        <v/>
      </c>
      <c r="F746" s="125" t="str">
        <f>IF(G746="","",VLOOKUP(G746,プルダウン用リスト!$K$1:$M$16,2,FALSE))</f>
        <v/>
      </c>
      <c r="G746" s="67"/>
      <c r="H746" s="55"/>
      <c r="I746" s="67"/>
      <c r="J746" s="134"/>
      <c r="K746" s="68"/>
      <c r="L746" s="69"/>
      <c r="M746" s="69"/>
      <c r="N746" s="260" t="str">
        <f t="shared" si="68"/>
        <v/>
      </c>
      <c r="O746" s="256">
        <f t="shared" si="70"/>
        <v>0</v>
      </c>
      <c r="P746" s="257" t="str">
        <f t="shared" si="69"/>
        <v>×</v>
      </c>
      <c r="Q746" s="272" t="str">
        <f t="shared" si="71"/>
        <v/>
      </c>
    </row>
    <row r="747" spans="2:17">
      <c r="B747" s="65"/>
      <c r="C747" s="54"/>
      <c r="D747" s="261" t="str">
        <f t="shared" si="67"/>
        <v/>
      </c>
      <c r="E747" s="262" t="str">
        <f t="shared" si="72"/>
        <v/>
      </c>
      <c r="F747" s="125" t="str">
        <f>IF(G747="","",VLOOKUP(G747,プルダウン用リスト!$K$1:$M$16,2,FALSE))</f>
        <v/>
      </c>
      <c r="G747" s="67"/>
      <c r="H747" s="67"/>
      <c r="I747" s="67"/>
      <c r="J747" s="134"/>
      <c r="K747" s="68"/>
      <c r="L747" s="69"/>
      <c r="M747" s="69"/>
      <c r="N747" s="260" t="str">
        <f t="shared" si="68"/>
        <v/>
      </c>
      <c r="O747" s="256">
        <f t="shared" si="70"/>
        <v>0</v>
      </c>
      <c r="P747" s="257" t="str">
        <f t="shared" si="69"/>
        <v>×</v>
      </c>
      <c r="Q747" s="272" t="str">
        <f t="shared" si="71"/>
        <v/>
      </c>
    </row>
    <row r="748" spans="2:17">
      <c r="B748" s="65"/>
      <c r="C748" s="54"/>
      <c r="D748" s="261" t="str">
        <f t="shared" si="67"/>
        <v/>
      </c>
      <c r="E748" s="262" t="str">
        <f t="shared" si="72"/>
        <v/>
      </c>
      <c r="F748" s="125" t="str">
        <f>IF(G748="","",VLOOKUP(G748,プルダウン用リスト!$K$1:$M$16,2,FALSE))</f>
        <v/>
      </c>
      <c r="G748" s="67"/>
      <c r="H748" s="55"/>
      <c r="I748" s="67"/>
      <c r="J748" s="134"/>
      <c r="K748" s="68"/>
      <c r="L748" s="69"/>
      <c r="M748" s="69"/>
      <c r="N748" s="260" t="str">
        <f t="shared" si="68"/>
        <v/>
      </c>
      <c r="O748" s="256">
        <f t="shared" si="70"/>
        <v>0</v>
      </c>
      <c r="P748" s="257" t="str">
        <f t="shared" si="69"/>
        <v>×</v>
      </c>
      <c r="Q748" s="272" t="str">
        <f t="shared" si="71"/>
        <v/>
      </c>
    </row>
    <row r="749" spans="2:17">
      <c r="B749" s="65"/>
      <c r="C749" s="54"/>
      <c r="D749" s="261" t="str">
        <f t="shared" si="67"/>
        <v/>
      </c>
      <c r="E749" s="262" t="str">
        <f t="shared" si="72"/>
        <v/>
      </c>
      <c r="F749" s="125" t="str">
        <f>IF(G749="","",VLOOKUP(G749,プルダウン用リスト!$K$1:$M$16,2,FALSE))</f>
        <v/>
      </c>
      <c r="G749" s="67"/>
      <c r="H749" s="55"/>
      <c r="I749" s="67"/>
      <c r="J749" s="134"/>
      <c r="K749" s="68"/>
      <c r="L749" s="69"/>
      <c r="M749" s="69"/>
      <c r="N749" s="260" t="str">
        <f t="shared" si="68"/>
        <v/>
      </c>
      <c r="O749" s="256">
        <f t="shared" si="70"/>
        <v>0</v>
      </c>
      <c r="P749" s="257" t="str">
        <f t="shared" si="69"/>
        <v>×</v>
      </c>
      <c r="Q749" s="272" t="str">
        <f t="shared" si="71"/>
        <v/>
      </c>
    </row>
    <row r="750" spans="2:17">
      <c r="B750" s="65"/>
      <c r="C750" s="66"/>
      <c r="D750" s="261" t="str">
        <f t="shared" si="67"/>
        <v/>
      </c>
      <c r="E750" s="262" t="str">
        <f t="shared" si="72"/>
        <v/>
      </c>
      <c r="F750" s="125" t="str">
        <f>IF(G750="","",VLOOKUP(G750,プルダウン用リスト!$K$1:$M$16,2,FALSE))</f>
        <v/>
      </c>
      <c r="G750" s="67"/>
      <c r="H750" s="67"/>
      <c r="I750" s="67"/>
      <c r="J750" s="134"/>
      <c r="K750" s="68"/>
      <c r="L750" s="69"/>
      <c r="M750" s="69"/>
      <c r="N750" s="260" t="str">
        <f t="shared" si="68"/>
        <v/>
      </c>
      <c r="O750" s="256">
        <f t="shared" si="70"/>
        <v>0</v>
      </c>
      <c r="P750" s="257" t="str">
        <f t="shared" si="69"/>
        <v>×</v>
      </c>
      <c r="Q750" s="272" t="str">
        <f t="shared" si="71"/>
        <v/>
      </c>
    </row>
    <row r="751" spans="2:17">
      <c r="B751" s="65"/>
      <c r="C751" s="54"/>
      <c r="D751" s="261" t="str">
        <f t="shared" si="67"/>
        <v/>
      </c>
      <c r="E751" s="262" t="str">
        <f t="shared" si="72"/>
        <v/>
      </c>
      <c r="F751" s="125" t="str">
        <f>IF(G751="","",VLOOKUP(G751,プルダウン用リスト!$K$1:$M$16,2,FALSE))</f>
        <v/>
      </c>
      <c r="G751" s="67"/>
      <c r="H751" s="55"/>
      <c r="I751" s="67"/>
      <c r="J751" s="134"/>
      <c r="K751" s="68"/>
      <c r="L751" s="69"/>
      <c r="M751" s="69"/>
      <c r="N751" s="260" t="str">
        <f t="shared" si="68"/>
        <v/>
      </c>
      <c r="O751" s="256">
        <f t="shared" si="70"/>
        <v>0</v>
      </c>
      <c r="P751" s="257" t="str">
        <f t="shared" si="69"/>
        <v>×</v>
      </c>
      <c r="Q751" s="272" t="str">
        <f t="shared" si="71"/>
        <v/>
      </c>
    </row>
    <row r="752" spans="2:17">
      <c r="B752" s="65"/>
      <c r="C752" s="54"/>
      <c r="D752" s="261" t="str">
        <f t="shared" si="67"/>
        <v/>
      </c>
      <c r="E752" s="262" t="str">
        <f t="shared" si="72"/>
        <v/>
      </c>
      <c r="F752" s="125" t="str">
        <f>IF(G752="","",VLOOKUP(G752,プルダウン用リスト!$K$1:$M$16,2,FALSE))</f>
        <v/>
      </c>
      <c r="G752" s="67"/>
      <c r="H752" s="55"/>
      <c r="I752" s="67"/>
      <c r="J752" s="134"/>
      <c r="K752" s="68"/>
      <c r="L752" s="69"/>
      <c r="M752" s="69"/>
      <c r="N752" s="260" t="str">
        <f t="shared" si="68"/>
        <v/>
      </c>
      <c r="O752" s="256">
        <f t="shared" si="70"/>
        <v>0</v>
      </c>
      <c r="P752" s="257" t="str">
        <f t="shared" si="69"/>
        <v>×</v>
      </c>
      <c r="Q752" s="272" t="str">
        <f t="shared" si="71"/>
        <v/>
      </c>
    </row>
    <row r="753" spans="2:17">
      <c r="B753" s="65"/>
      <c r="C753" s="54"/>
      <c r="D753" s="261" t="str">
        <f t="shared" si="67"/>
        <v/>
      </c>
      <c r="E753" s="262" t="str">
        <f t="shared" si="72"/>
        <v/>
      </c>
      <c r="F753" s="125" t="str">
        <f>IF(G753="","",VLOOKUP(G753,プルダウン用リスト!$K$1:$M$16,2,FALSE))</f>
        <v/>
      </c>
      <c r="G753" s="67"/>
      <c r="H753" s="67"/>
      <c r="I753" s="67"/>
      <c r="J753" s="134"/>
      <c r="K753" s="68"/>
      <c r="L753" s="69"/>
      <c r="M753" s="69"/>
      <c r="N753" s="260" t="str">
        <f t="shared" si="68"/>
        <v/>
      </c>
      <c r="O753" s="256">
        <f t="shared" si="70"/>
        <v>0</v>
      </c>
      <c r="P753" s="257" t="str">
        <f t="shared" si="69"/>
        <v>×</v>
      </c>
      <c r="Q753" s="272" t="str">
        <f t="shared" si="71"/>
        <v/>
      </c>
    </row>
    <row r="754" spans="2:17">
      <c r="B754" s="65"/>
      <c r="C754" s="54"/>
      <c r="D754" s="261" t="str">
        <f t="shared" si="67"/>
        <v/>
      </c>
      <c r="E754" s="262" t="str">
        <f t="shared" si="72"/>
        <v/>
      </c>
      <c r="F754" s="125" t="str">
        <f>IF(G754="","",VLOOKUP(G754,プルダウン用リスト!$K$1:$M$16,2,FALSE))</f>
        <v/>
      </c>
      <c r="G754" s="67"/>
      <c r="H754" s="55"/>
      <c r="I754" s="67"/>
      <c r="J754" s="134"/>
      <c r="K754" s="68"/>
      <c r="L754" s="69"/>
      <c r="M754" s="69"/>
      <c r="N754" s="260" t="str">
        <f t="shared" si="68"/>
        <v/>
      </c>
      <c r="O754" s="256">
        <f t="shared" si="70"/>
        <v>0</v>
      </c>
      <c r="P754" s="257" t="str">
        <f t="shared" si="69"/>
        <v>×</v>
      </c>
      <c r="Q754" s="272" t="str">
        <f t="shared" si="71"/>
        <v/>
      </c>
    </row>
    <row r="755" spans="2:17">
      <c r="B755" s="65"/>
      <c r="C755" s="54"/>
      <c r="D755" s="261" t="str">
        <f t="shared" si="67"/>
        <v/>
      </c>
      <c r="E755" s="262" t="str">
        <f t="shared" si="72"/>
        <v/>
      </c>
      <c r="F755" s="125" t="str">
        <f>IF(G755="","",VLOOKUP(G755,プルダウン用リスト!$K$1:$M$16,2,FALSE))</f>
        <v/>
      </c>
      <c r="G755" s="67"/>
      <c r="H755" s="55"/>
      <c r="I755" s="67"/>
      <c r="J755" s="134"/>
      <c r="K755" s="68"/>
      <c r="L755" s="69"/>
      <c r="M755" s="69"/>
      <c r="N755" s="260" t="str">
        <f t="shared" si="68"/>
        <v/>
      </c>
      <c r="O755" s="256">
        <f t="shared" si="70"/>
        <v>0</v>
      </c>
      <c r="P755" s="257" t="str">
        <f t="shared" si="69"/>
        <v>×</v>
      </c>
      <c r="Q755" s="272" t="str">
        <f t="shared" si="71"/>
        <v/>
      </c>
    </row>
    <row r="756" spans="2:17">
      <c r="B756" s="65"/>
      <c r="C756" s="54"/>
      <c r="D756" s="261" t="str">
        <f t="shared" si="67"/>
        <v/>
      </c>
      <c r="E756" s="262" t="str">
        <f t="shared" si="72"/>
        <v/>
      </c>
      <c r="F756" s="125" t="str">
        <f>IF(G756="","",VLOOKUP(G756,プルダウン用リスト!$K$1:$M$16,2,FALSE))</f>
        <v/>
      </c>
      <c r="G756" s="67"/>
      <c r="H756" s="67"/>
      <c r="I756" s="67"/>
      <c r="J756" s="134"/>
      <c r="K756" s="68"/>
      <c r="L756" s="69"/>
      <c r="M756" s="69"/>
      <c r="N756" s="260" t="str">
        <f t="shared" si="68"/>
        <v/>
      </c>
      <c r="O756" s="256">
        <f t="shared" si="70"/>
        <v>0</v>
      </c>
      <c r="P756" s="257" t="str">
        <f t="shared" si="69"/>
        <v>×</v>
      </c>
      <c r="Q756" s="272" t="str">
        <f t="shared" si="71"/>
        <v/>
      </c>
    </row>
    <row r="757" spans="2:17">
      <c r="B757" s="65"/>
      <c r="C757" s="54"/>
      <c r="D757" s="261" t="str">
        <f t="shared" si="67"/>
        <v/>
      </c>
      <c r="E757" s="262" t="str">
        <f t="shared" si="72"/>
        <v/>
      </c>
      <c r="F757" s="125" t="str">
        <f>IF(G757="","",VLOOKUP(G757,プルダウン用リスト!$K$1:$M$16,2,FALSE))</f>
        <v/>
      </c>
      <c r="G757" s="67"/>
      <c r="H757" s="55"/>
      <c r="I757" s="67"/>
      <c r="J757" s="134"/>
      <c r="K757" s="68"/>
      <c r="L757" s="69"/>
      <c r="M757" s="69"/>
      <c r="N757" s="260" t="str">
        <f t="shared" si="68"/>
        <v/>
      </c>
      <c r="O757" s="256">
        <f t="shared" si="70"/>
        <v>0</v>
      </c>
      <c r="P757" s="257" t="str">
        <f t="shared" si="69"/>
        <v>×</v>
      </c>
      <c r="Q757" s="272" t="str">
        <f t="shared" si="71"/>
        <v/>
      </c>
    </row>
    <row r="758" spans="2:17">
      <c r="B758" s="65"/>
      <c r="C758" s="54"/>
      <c r="D758" s="261" t="str">
        <f t="shared" si="67"/>
        <v/>
      </c>
      <c r="E758" s="262" t="str">
        <f t="shared" si="72"/>
        <v/>
      </c>
      <c r="F758" s="125" t="str">
        <f>IF(G758="","",VLOOKUP(G758,プルダウン用リスト!$K$1:$M$16,2,FALSE))</f>
        <v/>
      </c>
      <c r="G758" s="67"/>
      <c r="H758" s="55"/>
      <c r="I758" s="67"/>
      <c r="J758" s="134"/>
      <c r="K758" s="68"/>
      <c r="L758" s="69"/>
      <c r="M758" s="69"/>
      <c r="N758" s="260" t="str">
        <f t="shared" si="68"/>
        <v/>
      </c>
      <c r="O758" s="256">
        <f t="shared" si="70"/>
        <v>0</v>
      </c>
      <c r="P758" s="257" t="str">
        <f t="shared" si="69"/>
        <v>×</v>
      </c>
      <c r="Q758" s="272" t="str">
        <f t="shared" si="71"/>
        <v/>
      </c>
    </row>
    <row r="759" spans="2:17">
      <c r="B759" s="65"/>
      <c r="C759" s="54"/>
      <c r="D759" s="261" t="str">
        <f t="shared" si="67"/>
        <v/>
      </c>
      <c r="E759" s="262" t="str">
        <f t="shared" si="72"/>
        <v/>
      </c>
      <c r="F759" s="125" t="str">
        <f>IF(G759="","",VLOOKUP(G759,プルダウン用リスト!$K$1:$M$16,2,FALSE))</f>
        <v/>
      </c>
      <c r="G759" s="67"/>
      <c r="H759" s="67"/>
      <c r="I759" s="67"/>
      <c r="J759" s="134"/>
      <c r="K759" s="68"/>
      <c r="L759" s="69"/>
      <c r="M759" s="69"/>
      <c r="N759" s="260" t="str">
        <f t="shared" si="68"/>
        <v/>
      </c>
      <c r="O759" s="256">
        <f t="shared" si="70"/>
        <v>0</v>
      </c>
      <c r="P759" s="257" t="str">
        <f t="shared" si="69"/>
        <v>×</v>
      </c>
      <c r="Q759" s="272" t="str">
        <f t="shared" si="71"/>
        <v/>
      </c>
    </row>
    <row r="760" spans="2:17">
      <c r="B760" s="65"/>
      <c r="C760" s="54"/>
      <c r="D760" s="261" t="str">
        <f t="shared" si="67"/>
        <v/>
      </c>
      <c r="E760" s="262" t="str">
        <f t="shared" si="72"/>
        <v/>
      </c>
      <c r="F760" s="125" t="str">
        <f>IF(G760="","",VLOOKUP(G760,プルダウン用リスト!$K$1:$M$16,2,FALSE))</f>
        <v/>
      </c>
      <c r="G760" s="67"/>
      <c r="H760" s="55"/>
      <c r="I760" s="67"/>
      <c r="J760" s="134"/>
      <c r="K760" s="68"/>
      <c r="L760" s="69"/>
      <c r="M760" s="69"/>
      <c r="N760" s="260" t="str">
        <f t="shared" si="68"/>
        <v/>
      </c>
      <c r="O760" s="256">
        <f t="shared" si="70"/>
        <v>0</v>
      </c>
      <c r="P760" s="257" t="str">
        <f t="shared" si="69"/>
        <v>×</v>
      </c>
      <c r="Q760" s="272" t="str">
        <f t="shared" si="71"/>
        <v/>
      </c>
    </row>
    <row r="761" spans="2:17">
      <c r="B761" s="65"/>
      <c r="C761" s="54"/>
      <c r="D761" s="261" t="str">
        <f t="shared" si="67"/>
        <v/>
      </c>
      <c r="E761" s="262" t="str">
        <f t="shared" si="72"/>
        <v/>
      </c>
      <c r="F761" s="125" t="str">
        <f>IF(G761="","",VLOOKUP(G761,プルダウン用リスト!$K$1:$M$16,2,FALSE))</f>
        <v/>
      </c>
      <c r="G761" s="67"/>
      <c r="H761" s="55"/>
      <c r="I761" s="67"/>
      <c r="J761" s="134"/>
      <c r="K761" s="68"/>
      <c r="L761" s="69"/>
      <c r="M761" s="69"/>
      <c r="N761" s="260" t="str">
        <f t="shared" si="68"/>
        <v/>
      </c>
      <c r="O761" s="256">
        <f t="shared" si="70"/>
        <v>0</v>
      </c>
      <c r="P761" s="257" t="str">
        <f t="shared" si="69"/>
        <v>×</v>
      </c>
      <c r="Q761" s="272" t="str">
        <f t="shared" si="71"/>
        <v/>
      </c>
    </row>
    <row r="762" spans="2:17">
      <c r="B762" s="65"/>
      <c r="C762" s="66"/>
      <c r="D762" s="261" t="str">
        <f t="shared" si="67"/>
        <v/>
      </c>
      <c r="E762" s="262" t="str">
        <f t="shared" si="72"/>
        <v/>
      </c>
      <c r="F762" s="125" t="str">
        <f>IF(G762="","",VLOOKUP(G762,プルダウン用リスト!$K$1:$M$16,2,FALSE))</f>
        <v/>
      </c>
      <c r="G762" s="67"/>
      <c r="H762" s="67"/>
      <c r="I762" s="67"/>
      <c r="J762" s="134"/>
      <c r="K762" s="68"/>
      <c r="L762" s="69"/>
      <c r="M762" s="69"/>
      <c r="N762" s="260" t="str">
        <f t="shared" si="68"/>
        <v/>
      </c>
      <c r="O762" s="256">
        <f t="shared" si="70"/>
        <v>0</v>
      </c>
      <c r="P762" s="257" t="str">
        <f t="shared" si="69"/>
        <v>×</v>
      </c>
      <c r="Q762" s="272" t="str">
        <f t="shared" si="71"/>
        <v/>
      </c>
    </row>
    <row r="763" spans="2:17">
      <c r="B763" s="65"/>
      <c r="C763" s="54"/>
      <c r="D763" s="261" t="str">
        <f t="shared" si="67"/>
        <v/>
      </c>
      <c r="E763" s="262" t="str">
        <f t="shared" si="72"/>
        <v/>
      </c>
      <c r="F763" s="125" t="str">
        <f>IF(G763="","",VLOOKUP(G763,プルダウン用リスト!$K$1:$M$16,2,FALSE))</f>
        <v/>
      </c>
      <c r="G763" s="67"/>
      <c r="H763" s="55"/>
      <c r="I763" s="67"/>
      <c r="J763" s="134"/>
      <c r="K763" s="68"/>
      <c r="L763" s="69"/>
      <c r="M763" s="69"/>
      <c r="N763" s="260" t="str">
        <f t="shared" si="68"/>
        <v/>
      </c>
      <c r="O763" s="256">
        <f t="shared" si="70"/>
        <v>0</v>
      </c>
      <c r="P763" s="257" t="str">
        <f t="shared" si="69"/>
        <v>×</v>
      </c>
      <c r="Q763" s="272" t="str">
        <f t="shared" si="71"/>
        <v/>
      </c>
    </row>
    <row r="764" spans="2:17">
      <c r="B764" s="65"/>
      <c r="C764" s="54"/>
      <c r="D764" s="261" t="str">
        <f t="shared" si="67"/>
        <v/>
      </c>
      <c r="E764" s="262" t="str">
        <f t="shared" si="72"/>
        <v/>
      </c>
      <c r="F764" s="125" t="str">
        <f>IF(G764="","",VLOOKUP(G764,プルダウン用リスト!$K$1:$M$16,2,FALSE))</f>
        <v/>
      </c>
      <c r="G764" s="67"/>
      <c r="H764" s="55"/>
      <c r="I764" s="67"/>
      <c r="J764" s="134"/>
      <c r="K764" s="68"/>
      <c r="L764" s="69"/>
      <c r="M764" s="69"/>
      <c r="N764" s="260" t="str">
        <f t="shared" si="68"/>
        <v/>
      </c>
      <c r="O764" s="256">
        <f t="shared" si="70"/>
        <v>0</v>
      </c>
      <c r="P764" s="257" t="str">
        <f t="shared" si="69"/>
        <v>×</v>
      </c>
      <c r="Q764" s="272" t="str">
        <f t="shared" si="71"/>
        <v/>
      </c>
    </row>
    <row r="765" spans="2:17">
      <c r="B765" s="65"/>
      <c r="C765" s="54"/>
      <c r="D765" s="261" t="str">
        <f t="shared" si="67"/>
        <v/>
      </c>
      <c r="E765" s="262" t="str">
        <f t="shared" si="72"/>
        <v/>
      </c>
      <c r="F765" s="125" t="str">
        <f>IF(G765="","",VLOOKUP(G765,プルダウン用リスト!$K$1:$M$16,2,FALSE))</f>
        <v/>
      </c>
      <c r="G765" s="67"/>
      <c r="H765" s="67"/>
      <c r="I765" s="67"/>
      <c r="J765" s="134"/>
      <c r="K765" s="68"/>
      <c r="L765" s="69"/>
      <c r="M765" s="69"/>
      <c r="N765" s="260" t="str">
        <f t="shared" si="68"/>
        <v/>
      </c>
      <c r="O765" s="256">
        <f t="shared" si="70"/>
        <v>0</v>
      </c>
      <c r="P765" s="257" t="str">
        <f t="shared" si="69"/>
        <v>×</v>
      </c>
      <c r="Q765" s="272" t="str">
        <f t="shared" si="71"/>
        <v/>
      </c>
    </row>
    <row r="766" spans="2:17">
      <c r="B766" s="65"/>
      <c r="C766" s="54"/>
      <c r="D766" s="261" t="str">
        <f t="shared" si="67"/>
        <v/>
      </c>
      <c r="E766" s="262" t="str">
        <f t="shared" si="72"/>
        <v/>
      </c>
      <c r="F766" s="125" t="str">
        <f>IF(G766="","",VLOOKUP(G766,プルダウン用リスト!$K$1:$M$16,2,FALSE))</f>
        <v/>
      </c>
      <c r="G766" s="67"/>
      <c r="H766" s="55"/>
      <c r="I766" s="67"/>
      <c r="J766" s="134"/>
      <c r="K766" s="68"/>
      <c r="L766" s="69"/>
      <c r="M766" s="69"/>
      <c r="N766" s="260" t="str">
        <f t="shared" si="68"/>
        <v/>
      </c>
      <c r="O766" s="256">
        <f t="shared" si="70"/>
        <v>0</v>
      </c>
      <c r="P766" s="257" t="str">
        <f t="shared" si="69"/>
        <v>×</v>
      </c>
      <c r="Q766" s="272" t="str">
        <f t="shared" si="71"/>
        <v/>
      </c>
    </row>
    <row r="767" spans="2:17">
      <c r="B767" s="65"/>
      <c r="C767" s="54"/>
      <c r="D767" s="261" t="str">
        <f t="shared" si="67"/>
        <v/>
      </c>
      <c r="E767" s="262" t="str">
        <f t="shared" si="72"/>
        <v/>
      </c>
      <c r="F767" s="125" t="str">
        <f>IF(G767="","",VLOOKUP(G767,プルダウン用リスト!$K$1:$M$16,2,FALSE))</f>
        <v/>
      </c>
      <c r="G767" s="67"/>
      <c r="H767" s="55"/>
      <c r="I767" s="67"/>
      <c r="J767" s="134"/>
      <c r="K767" s="68"/>
      <c r="L767" s="69"/>
      <c r="M767" s="69"/>
      <c r="N767" s="260" t="str">
        <f t="shared" si="68"/>
        <v/>
      </c>
      <c r="O767" s="256">
        <f t="shared" si="70"/>
        <v>0</v>
      </c>
      <c r="P767" s="257" t="str">
        <f t="shared" si="69"/>
        <v>×</v>
      </c>
      <c r="Q767" s="272" t="str">
        <f t="shared" si="71"/>
        <v/>
      </c>
    </row>
    <row r="768" spans="2:17">
      <c r="B768" s="65"/>
      <c r="C768" s="54"/>
      <c r="D768" s="261" t="str">
        <f t="shared" si="67"/>
        <v/>
      </c>
      <c r="E768" s="262" t="str">
        <f t="shared" si="72"/>
        <v/>
      </c>
      <c r="F768" s="125" t="str">
        <f>IF(G768="","",VLOOKUP(G768,プルダウン用リスト!$K$1:$M$16,2,FALSE))</f>
        <v/>
      </c>
      <c r="G768" s="67"/>
      <c r="H768" s="67"/>
      <c r="I768" s="67"/>
      <c r="J768" s="134"/>
      <c r="K768" s="68"/>
      <c r="L768" s="69"/>
      <c r="M768" s="69"/>
      <c r="N768" s="260" t="str">
        <f t="shared" si="68"/>
        <v/>
      </c>
      <c r="O768" s="256">
        <f t="shared" si="70"/>
        <v>0</v>
      </c>
      <c r="P768" s="257" t="str">
        <f t="shared" si="69"/>
        <v>×</v>
      </c>
      <c r="Q768" s="272" t="str">
        <f t="shared" si="71"/>
        <v/>
      </c>
    </row>
    <row r="769" spans="2:17">
      <c r="B769" s="65"/>
      <c r="C769" s="54"/>
      <c r="D769" s="261" t="str">
        <f t="shared" si="67"/>
        <v/>
      </c>
      <c r="E769" s="262" t="str">
        <f t="shared" si="72"/>
        <v/>
      </c>
      <c r="F769" s="125" t="str">
        <f>IF(G769="","",VLOOKUP(G769,プルダウン用リスト!$K$1:$M$16,2,FALSE))</f>
        <v/>
      </c>
      <c r="G769" s="67"/>
      <c r="H769" s="55"/>
      <c r="I769" s="67"/>
      <c r="J769" s="134"/>
      <c r="K769" s="68"/>
      <c r="L769" s="69"/>
      <c r="M769" s="69"/>
      <c r="N769" s="260" t="str">
        <f t="shared" si="68"/>
        <v/>
      </c>
      <c r="O769" s="256">
        <f t="shared" si="70"/>
        <v>0</v>
      </c>
      <c r="P769" s="257" t="str">
        <f t="shared" si="69"/>
        <v>×</v>
      </c>
      <c r="Q769" s="272" t="str">
        <f t="shared" si="71"/>
        <v/>
      </c>
    </row>
    <row r="770" spans="2:17">
      <c r="B770" s="65"/>
      <c r="C770" s="54"/>
      <c r="D770" s="261" t="str">
        <f t="shared" si="67"/>
        <v/>
      </c>
      <c r="E770" s="262" t="str">
        <f t="shared" si="72"/>
        <v/>
      </c>
      <c r="F770" s="125" t="str">
        <f>IF(G770="","",VLOOKUP(G770,プルダウン用リスト!$K$1:$M$16,2,FALSE))</f>
        <v/>
      </c>
      <c r="G770" s="67"/>
      <c r="H770" s="55"/>
      <c r="I770" s="67"/>
      <c r="J770" s="134"/>
      <c r="K770" s="68"/>
      <c r="L770" s="69"/>
      <c r="M770" s="69"/>
      <c r="N770" s="260" t="str">
        <f t="shared" si="68"/>
        <v/>
      </c>
      <c r="O770" s="256">
        <f t="shared" si="70"/>
        <v>0</v>
      </c>
      <c r="P770" s="257" t="str">
        <f t="shared" si="69"/>
        <v>×</v>
      </c>
      <c r="Q770" s="272" t="str">
        <f t="shared" si="71"/>
        <v/>
      </c>
    </row>
    <row r="771" spans="2:17">
      <c r="B771" s="65"/>
      <c r="C771" s="54"/>
      <c r="D771" s="261" t="str">
        <f t="shared" si="67"/>
        <v/>
      </c>
      <c r="E771" s="262" t="str">
        <f t="shared" si="72"/>
        <v/>
      </c>
      <c r="F771" s="125" t="str">
        <f>IF(G771="","",VLOOKUP(G771,プルダウン用リスト!$K$1:$M$16,2,FALSE))</f>
        <v/>
      </c>
      <c r="G771" s="67"/>
      <c r="H771" s="67"/>
      <c r="I771" s="67"/>
      <c r="J771" s="134"/>
      <c r="K771" s="68"/>
      <c r="L771" s="69"/>
      <c r="M771" s="69"/>
      <c r="N771" s="260" t="str">
        <f t="shared" si="68"/>
        <v/>
      </c>
      <c r="O771" s="256">
        <f t="shared" si="70"/>
        <v>0</v>
      </c>
      <c r="P771" s="257" t="str">
        <f t="shared" si="69"/>
        <v>×</v>
      </c>
      <c r="Q771" s="272" t="str">
        <f t="shared" si="71"/>
        <v/>
      </c>
    </row>
    <row r="772" spans="2:17">
      <c r="B772" s="65"/>
      <c r="C772" s="54"/>
      <c r="D772" s="261" t="str">
        <f t="shared" si="67"/>
        <v/>
      </c>
      <c r="E772" s="262" t="str">
        <f t="shared" si="72"/>
        <v/>
      </c>
      <c r="F772" s="125" t="str">
        <f>IF(G772="","",VLOOKUP(G772,プルダウン用リスト!$K$1:$M$16,2,FALSE))</f>
        <v/>
      </c>
      <c r="G772" s="67"/>
      <c r="H772" s="55"/>
      <c r="I772" s="67"/>
      <c r="J772" s="134"/>
      <c r="K772" s="68"/>
      <c r="L772" s="69"/>
      <c r="M772" s="69"/>
      <c r="N772" s="260" t="str">
        <f t="shared" si="68"/>
        <v/>
      </c>
      <c r="O772" s="256">
        <f t="shared" si="70"/>
        <v>0</v>
      </c>
      <c r="P772" s="257" t="str">
        <f t="shared" si="69"/>
        <v>×</v>
      </c>
      <c r="Q772" s="272" t="str">
        <f t="shared" si="71"/>
        <v/>
      </c>
    </row>
    <row r="773" spans="2:17">
      <c r="B773" s="65"/>
      <c r="C773" s="54"/>
      <c r="D773" s="261" t="str">
        <f t="shared" si="67"/>
        <v/>
      </c>
      <c r="E773" s="262" t="str">
        <f t="shared" si="72"/>
        <v/>
      </c>
      <c r="F773" s="125" t="str">
        <f>IF(G773="","",VLOOKUP(G773,プルダウン用リスト!$K$1:$M$16,2,FALSE))</f>
        <v/>
      </c>
      <c r="G773" s="67"/>
      <c r="H773" s="55"/>
      <c r="I773" s="67"/>
      <c r="J773" s="134"/>
      <c r="K773" s="68"/>
      <c r="L773" s="69"/>
      <c r="M773" s="69"/>
      <c r="N773" s="260" t="str">
        <f t="shared" si="68"/>
        <v/>
      </c>
      <c r="O773" s="256">
        <f t="shared" si="70"/>
        <v>0</v>
      </c>
      <c r="P773" s="257" t="str">
        <f t="shared" si="69"/>
        <v>×</v>
      </c>
      <c r="Q773" s="272" t="str">
        <f t="shared" si="71"/>
        <v/>
      </c>
    </row>
    <row r="774" spans="2:17">
      <c r="B774" s="65"/>
      <c r="C774" s="66"/>
      <c r="D774" s="261" t="str">
        <f t="shared" si="67"/>
        <v/>
      </c>
      <c r="E774" s="262" t="str">
        <f t="shared" si="72"/>
        <v/>
      </c>
      <c r="F774" s="125" t="str">
        <f>IF(G774="","",VLOOKUP(G774,プルダウン用リスト!$K$1:$M$16,2,FALSE))</f>
        <v/>
      </c>
      <c r="G774" s="67"/>
      <c r="H774" s="67"/>
      <c r="I774" s="67"/>
      <c r="J774" s="134"/>
      <c r="K774" s="68"/>
      <c r="L774" s="69"/>
      <c r="M774" s="69"/>
      <c r="N774" s="260" t="str">
        <f t="shared" si="68"/>
        <v/>
      </c>
      <c r="O774" s="256">
        <f t="shared" si="70"/>
        <v>0</v>
      </c>
      <c r="P774" s="257" t="str">
        <f t="shared" si="69"/>
        <v>×</v>
      </c>
      <c r="Q774" s="272" t="str">
        <f t="shared" si="71"/>
        <v/>
      </c>
    </row>
    <row r="775" spans="2:17">
      <c r="B775" s="65"/>
      <c r="C775" s="54"/>
      <c r="D775" s="261" t="str">
        <f t="shared" ref="D775:D838" si="73">IF(E775="","",IF(E775="謝金","01.",IF(E775="旅費","02.",IF(E775="その他","04.","03."))))</f>
        <v/>
      </c>
      <c r="E775" s="262" t="str">
        <f t="shared" si="72"/>
        <v/>
      </c>
      <c r="F775" s="125" t="str">
        <f>IF(G775="","",VLOOKUP(G775,プルダウン用リスト!$K$1:$M$16,2,FALSE))</f>
        <v/>
      </c>
      <c r="G775" s="67"/>
      <c r="H775" s="55"/>
      <c r="I775" s="67"/>
      <c r="J775" s="134"/>
      <c r="K775" s="68"/>
      <c r="L775" s="69"/>
      <c r="M775" s="69"/>
      <c r="N775" s="260" t="str">
        <f t="shared" ref="N775:N838" si="74">IF(G775="16.対象外経費",L775,IF(M775="","",L775-M775))</f>
        <v/>
      </c>
      <c r="O775" s="256">
        <f t="shared" si="70"/>
        <v>0</v>
      </c>
      <c r="P775" s="257" t="str">
        <f t="shared" ref="P775:P838" si="75">IF(G775="2.旅費","〇","×")</f>
        <v>×</v>
      </c>
      <c r="Q775" s="272" t="str">
        <f t="shared" si="71"/>
        <v/>
      </c>
    </row>
    <row r="776" spans="2:17">
      <c r="B776" s="65"/>
      <c r="C776" s="54"/>
      <c r="D776" s="261" t="str">
        <f t="shared" si="73"/>
        <v/>
      </c>
      <c r="E776" s="262" t="str">
        <f t="shared" si="72"/>
        <v/>
      </c>
      <c r="F776" s="125" t="str">
        <f>IF(G776="","",VLOOKUP(G776,プルダウン用リスト!$K$1:$M$16,2,FALSE))</f>
        <v/>
      </c>
      <c r="G776" s="67"/>
      <c r="H776" s="55"/>
      <c r="I776" s="67"/>
      <c r="J776" s="134"/>
      <c r="K776" s="68"/>
      <c r="L776" s="69"/>
      <c r="M776" s="69"/>
      <c r="N776" s="260" t="str">
        <f t="shared" si="74"/>
        <v/>
      </c>
      <c r="O776" s="256">
        <f t="shared" ref="O776:O839" si="76">IF(L776&gt;0,COUNTA(B776,C776,G776,H776,I776,K776,,L776,J776),0)</f>
        <v>0</v>
      </c>
      <c r="P776" s="257" t="str">
        <f t="shared" si="75"/>
        <v>×</v>
      </c>
      <c r="Q776" s="272" t="str">
        <f t="shared" ref="Q776:Q839" si="77">_xlfn.IFS(O776=0,"",AND(G776="16.対象外経費",O776=7),"OK",O776&lt;=7,"ピンク色のセルを全て入力してください",O776=9,"OK",P776="〇","旅行区間および宿泊地を入力してください",O776=8,"OK")</f>
        <v/>
      </c>
    </row>
    <row r="777" spans="2:17">
      <c r="B777" s="65"/>
      <c r="C777" s="54"/>
      <c r="D777" s="261" t="str">
        <f t="shared" si="73"/>
        <v/>
      </c>
      <c r="E777" s="262" t="str">
        <f t="shared" si="72"/>
        <v/>
      </c>
      <c r="F777" s="125" t="str">
        <f>IF(G777="","",VLOOKUP(G777,プルダウン用リスト!$K$1:$M$16,2,FALSE))</f>
        <v/>
      </c>
      <c r="G777" s="67"/>
      <c r="H777" s="67"/>
      <c r="I777" s="67"/>
      <c r="J777" s="134"/>
      <c r="K777" s="68"/>
      <c r="L777" s="69"/>
      <c r="M777" s="69"/>
      <c r="N777" s="260" t="str">
        <f t="shared" si="74"/>
        <v/>
      </c>
      <c r="O777" s="256">
        <f t="shared" si="76"/>
        <v>0</v>
      </c>
      <c r="P777" s="257" t="str">
        <f t="shared" si="75"/>
        <v>×</v>
      </c>
      <c r="Q777" s="272" t="str">
        <f t="shared" si="77"/>
        <v/>
      </c>
    </row>
    <row r="778" spans="2:17">
      <c r="B778" s="65"/>
      <c r="C778" s="54"/>
      <c r="D778" s="261" t="str">
        <f t="shared" si="73"/>
        <v/>
      </c>
      <c r="E778" s="262" t="str">
        <f t="shared" si="72"/>
        <v/>
      </c>
      <c r="F778" s="125" t="str">
        <f>IF(G778="","",VLOOKUP(G778,プルダウン用リスト!$K$1:$M$16,2,FALSE))</f>
        <v/>
      </c>
      <c r="G778" s="67"/>
      <c r="H778" s="55"/>
      <c r="I778" s="67"/>
      <c r="J778" s="134"/>
      <c r="K778" s="68"/>
      <c r="L778" s="69"/>
      <c r="M778" s="69"/>
      <c r="N778" s="260" t="str">
        <f t="shared" si="74"/>
        <v/>
      </c>
      <c r="O778" s="256">
        <f t="shared" si="76"/>
        <v>0</v>
      </c>
      <c r="P778" s="257" t="str">
        <f t="shared" si="75"/>
        <v>×</v>
      </c>
      <c r="Q778" s="272" t="str">
        <f t="shared" si="77"/>
        <v/>
      </c>
    </row>
    <row r="779" spans="2:17">
      <c r="B779" s="65"/>
      <c r="C779" s="54"/>
      <c r="D779" s="261" t="str">
        <f t="shared" si="73"/>
        <v/>
      </c>
      <c r="E779" s="262" t="str">
        <f t="shared" si="72"/>
        <v/>
      </c>
      <c r="F779" s="125" t="str">
        <f>IF(G779="","",VLOOKUP(G779,プルダウン用リスト!$K$1:$M$16,2,FALSE))</f>
        <v/>
      </c>
      <c r="G779" s="67"/>
      <c r="H779" s="55"/>
      <c r="I779" s="67"/>
      <c r="J779" s="134"/>
      <c r="K779" s="68"/>
      <c r="L779" s="69"/>
      <c r="M779" s="69"/>
      <c r="N779" s="260" t="str">
        <f t="shared" si="74"/>
        <v/>
      </c>
      <c r="O779" s="256">
        <f t="shared" si="76"/>
        <v>0</v>
      </c>
      <c r="P779" s="257" t="str">
        <f t="shared" si="75"/>
        <v>×</v>
      </c>
      <c r="Q779" s="272" t="str">
        <f t="shared" si="77"/>
        <v/>
      </c>
    </row>
    <row r="780" spans="2:17">
      <c r="B780" s="65"/>
      <c r="C780" s="54"/>
      <c r="D780" s="261" t="str">
        <f t="shared" si="73"/>
        <v/>
      </c>
      <c r="E780" s="262" t="str">
        <f t="shared" si="72"/>
        <v/>
      </c>
      <c r="F780" s="125" t="str">
        <f>IF(G780="","",VLOOKUP(G780,プルダウン用リスト!$K$1:$M$16,2,FALSE))</f>
        <v/>
      </c>
      <c r="G780" s="67"/>
      <c r="H780" s="67"/>
      <c r="I780" s="67"/>
      <c r="J780" s="134"/>
      <c r="K780" s="68"/>
      <c r="L780" s="69"/>
      <c r="M780" s="69"/>
      <c r="N780" s="260" t="str">
        <f t="shared" si="74"/>
        <v/>
      </c>
      <c r="O780" s="256">
        <f t="shared" si="76"/>
        <v>0</v>
      </c>
      <c r="P780" s="257" t="str">
        <f t="shared" si="75"/>
        <v>×</v>
      </c>
      <c r="Q780" s="272" t="str">
        <f t="shared" si="77"/>
        <v/>
      </c>
    </row>
    <row r="781" spans="2:17">
      <c r="B781" s="65"/>
      <c r="C781" s="54"/>
      <c r="D781" s="261" t="str">
        <f t="shared" si="73"/>
        <v/>
      </c>
      <c r="E781" s="262" t="str">
        <f t="shared" si="72"/>
        <v/>
      </c>
      <c r="F781" s="125" t="str">
        <f>IF(G781="","",VLOOKUP(G781,プルダウン用リスト!$K$1:$M$16,2,FALSE))</f>
        <v/>
      </c>
      <c r="G781" s="67"/>
      <c r="H781" s="55"/>
      <c r="I781" s="67"/>
      <c r="J781" s="134"/>
      <c r="K781" s="68"/>
      <c r="L781" s="69"/>
      <c r="M781" s="69"/>
      <c r="N781" s="260" t="str">
        <f t="shared" si="74"/>
        <v/>
      </c>
      <c r="O781" s="256">
        <f t="shared" si="76"/>
        <v>0</v>
      </c>
      <c r="P781" s="257" t="str">
        <f t="shared" si="75"/>
        <v>×</v>
      </c>
      <c r="Q781" s="272" t="str">
        <f t="shared" si="77"/>
        <v/>
      </c>
    </row>
    <row r="782" spans="2:17">
      <c r="B782" s="65"/>
      <c r="C782" s="54"/>
      <c r="D782" s="261" t="str">
        <f t="shared" si="73"/>
        <v/>
      </c>
      <c r="E782" s="262" t="str">
        <f t="shared" si="72"/>
        <v/>
      </c>
      <c r="F782" s="125" t="str">
        <f>IF(G782="","",VLOOKUP(G782,プルダウン用リスト!$K$1:$M$16,2,FALSE))</f>
        <v/>
      </c>
      <c r="G782" s="67"/>
      <c r="H782" s="55"/>
      <c r="I782" s="67"/>
      <c r="J782" s="134"/>
      <c r="K782" s="68"/>
      <c r="L782" s="69"/>
      <c r="M782" s="69"/>
      <c r="N782" s="260" t="str">
        <f t="shared" si="74"/>
        <v/>
      </c>
      <c r="O782" s="256">
        <f t="shared" si="76"/>
        <v>0</v>
      </c>
      <c r="P782" s="257" t="str">
        <f t="shared" si="75"/>
        <v>×</v>
      </c>
      <c r="Q782" s="272" t="str">
        <f t="shared" si="77"/>
        <v/>
      </c>
    </row>
    <row r="783" spans="2:17">
      <c r="B783" s="65"/>
      <c r="C783" s="54"/>
      <c r="D783" s="261" t="str">
        <f t="shared" si="73"/>
        <v/>
      </c>
      <c r="E783" s="262" t="str">
        <f t="shared" si="72"/>
        <v/>
      </c>
      <c r="F783" s="125" t="str">
        <f>IF(G783="","",VLOOKUP(G783,プルダウン用リスト!$K$1:$M$16,2,FALSE))</f>
        <v/>
      </c>
      <c r="G783" s="67"/>
      <c r="H783" s="67"/>
      <c r="I783" s="67"/>
      <c r="J783" s="134"/>
      <c r="K783" s="68"/>
      <c r="L783" s="69"/>
      <c r="M783" s="69"/>
      <c r="N783" s="260" t="str">
        <f t="shared" si="74"/>
        <v/>
      </c>
      <c r="O783" s="256">
        <f t="shared" si="76"/>
        <v>0</v>
      </c>
      <c r="P783" s="257" t="str">
        <f t="shared" si="75"/>
        <v>×</v>
      </c>
      <c r="Q783" s="272" t="str">
        <f t="shared" si="77"/>
        <v/>
      </c>
    </row>
    <row r="784" spans="2:17">
      <c r="B784" s="65"/>
      <c r="C784" s="54"/>
      <c r="D784" s="261" t="str">
        <f t="shared" si="73"/>
        <v/>
      </c>
      <c r="E784" s="262" t="str">
        <f t="shared" si="72"/>
        <v/>
      </c>
      <c r="F784" s="125" t="str">
        <f>IF(G784="","",VLOOKUP(G784,プルダウン用リスト!$K$1:$M$16,2,FALSE))</f>
        <v/>
      </c>
      <c r="G784" s="67"/>
      <c r="H784" s="55"/>
      <c r="I784" s="67"/>
      <c r="J784" s="134"/>
      <c r="K784" s="68"/>
      <c r="L784" s="69"/>
      <c r="M784" s="69"/>
      <c r="N784" s="260" t="str">
        <f t="shared" si="74"/>
        <v/>
      </c>
      <c r="O784" s="256">
        <f t="shared" si="76"/>
        <v>0</v>
      </c>
      <c r="P784" s="257" t="str">
        <f t="shared" si="75"/>
        <v>×</v>
      </c>
      <c r="Q784" s="272" t="str">
        <f t="shared" si="77"/>
        <v/>
      </c>
    </row>
    <row r="785" spans="2:17">
      <c r="B785" s="65"/>
      <c r="C785" s="54"/>
      <c r="D785" s="261" t="str">
        <f t="shared" si="73"/>
        <v/>
      </c>
      <c r="E785" s="262" t="str">
        <f t="shared" si="72"/>
        <v/>
      </c>
      <c r="F785" s="125" t="str">
        <f>IF(G785="","",VLOOKUP(G785,プルダウン用リスト!$K$1:$M$16,2,FALSE))</f>
        <v/>
      </c>
      <c r="G785" s="67"/>
      <c r="H785" s="55"/>
      <c r="I785" s="67"/>
      <c r="J785" s="134"/>
      <c r="K785" s="68"/>
      <c r="L785" s="69"/>
      <c r="M785" s="69"/>
      <c r="N785" s="260" t="str">
        <f t="shared" si="74"/>
        <v/>
      </c>
      <c r="O785" s="256">
        <f t="shared" si="76"/>
        <v>0</v>
      </c>
      <c r="P785" s="257" t="str">
        <f t="shared" si="75"/>
        <v>×</v>
      </c>
      <c r="Q785" s="272" t="str">
        <f t="shared" si="77"/>
        <v/>
      </c>
    </row>
    <row r="786" spans="2:17">
      <c r="B786" s="65"/>
      <c r="C786" s="66"/>
      <c r="D786" s="261" t="str">
        <f t="shared" si="73"/>
        <v/>
      </c>
      <c r="E786" s="262" t="str">
        <f t="shared" si="72"/>
        <v/>
      </c>
      <c r="F786" s="125" t="str">
        <f>IF(G786="","",VLOOKUP(G786,プルダウン用リスト!$K$1:$M$16,2,FALSE))</f>
        <v/>
      </c>
      <c r="G786" s="67"/>
      <c r="H786" s="67"/>
      <c r="I786" s="67"/>
      <c r="J786" s="134"/>
      <c r="K786" s="68"/>
      <c r="L786" s="69"/>
      <c r="M786" s="69"/>
      <c r="N786" s="260" t="str">
        <f t="shared" si="74"/>
        <v/>
      </c>
      <c r="O786" s="256">
        <f t="shared" si="76"/>
        <v>0</v>
      </c>
      <c r="P786" s="257" t="str">
        <f t="shared" si="75"/>
        <v>×</v>
      </c>
      <c r="Q786" s="272" t="str">
        <f t="shared" si="77"/>
        <v/>
      </c>
    </row>
    <row r="787" spans="2:17">
      <c r="B787" s="65"/>
      <c r="C787" s="54"/>
      <c r="D787" s="261" t="str">
        <f t="shared" si="73"/>
        <v/>
      </c>
      <c r="E787" s="262" t="str">
        <f t="shared" si="72"/>
        <v/>
      </c>
      <c r="F787" s="125" t="str">
        <f>IF(G787="","",VLOOKUP(G787,プルダウン用リスト!$K$1:$M$16,2,FALSE))</f>
        <v/>
      </c>
      <c r="G787" s="67"/>
      <c r="H787" s="55"/>
      <c r="I787" s="67"/>
      <c r="J787" s="134"/>
      <c r="K787" s="68"/>
      <c r="L787" s="69"/>
      <c r="M787" s="69"/>
      <c r="N787" s="260" t="str">
        <f t="shared" si="74"/>
        <v/>
      </c>
      <c r="O787" s="256">
        <f t="shared" si="76"/>
        <v>0</v>
      </c>
      <c r="P787" s="257" t="str">
        <f t="shared" si="75"/>
        <v>×</v>
      </c>
      <c r="Q787" s="272" t="str">
        <f t="shared" si="77"/>
        <v/>
      </c>
    </row>
    <row r="788" spans="2:17">
      <c r="B788" s="65"/>
      <c r="C788" s="54"/>
      <c r="D788" s="261" t="str">
        <f t="shared" si="73"/>
        <v/>
      </c>
      <c r="E788" s="262" t="str">
        <f t="shared" si="72"/>
        <v/>
      </c>
      <c r="F788" s="125" t="str">
        <f>IF(G788="","",VLOOKUP(G788,プルダウン用リスト!$K$1:$M$16,2,FALSE))</f>
        <v/>
      </c>
      <c r="G788" s="67"/>
      <c r="H788" s="55"/>
      <c r="I788" s="67"/>
      <c r="J788" s="134"/>
      <c r="K788" s="68"/>
      <c r="L788" s="69"/>
      <c r="M788" s="69"/>
      <c r="N788" s="260" t="str">
        <f t="shared" si="74"/>
        <v/>
      </c>
      <c r="O788" s="256">
        <f t="shared" si="76"/>
        <v>0</v>
      </c>
      <c r="P788" s="257" t="str">
        <f t="shared" si="75"/>
        <v>×</v>
      </c>
      <c r="Q788" s="272" t="str">
        <f t="shared" si="77"/>
        <v/>
      </c>
    </row>
    <row r="789" spans="2:17">
      <c r="B789" s="65"/>
      <c r="C789" s="54"/>
      <c r="D789" s="261" t="str">
        <f t="shared" si="73"/>
        <v/>
      </c>
      <c r="E789" s="262" t="str">
        <f t="shared" si="72"/>
        <v/>
      </c>
      <c r="F789" s="125" t="str">
        <f>IF(G789="","",VLOOKUP(G789,プルダウン用リスト!$K$1:$M$16,2,FALSE))</f>
        <v/>
      </c>
      <c r="G789" s="67"/>
      <c r="H789" s="67"/>
      <c r="I789" s="67"/>
      <c r="J789" s="134"/>
      <c r="K789" s="68"/>
      <c r="L789" s="69"/>
      <c r="M789" s="69"/>
      <c r="N789" s="260" t="str">
        <f t="shared" si="74"/>
        <v/>
      </c>
      <c r="O789" s="256">
        <f t="shared" si="76"/>
        <v>0</v>
      </c>
      <c r="P789" s="257" t="str">
        <f t="shared" si="75"/>
        <v>×</v>
      </c>
      <c r="Q789" s="272" t="str">
        <f t="shared" si="77"/>
        <v/>
      </c>
    </row>
    <row r="790" spans="2:17">
      <c r="B790" s="65"/>
      <c r="C790" s="54"/>
      <c r="D790" s="261" t="str">
        <f t="shared" si="73"/>
        <v/>
      </c>
      <c r="E790" s="262" t="str">
        <f t="shared" si="72"/>
        <v/>
      </c>
      <c r="F790" s="125" t="str">
        <f>IF(G790="","",VLOOKUP(G790,プルダウン用リスト!$K$1:$M$16,2,FALSE))</f>
        <v/>
      </c>
      <c r="G790" s="67"/>
      <c r="H790" s="55"/>
      <c r="I790" s="67"/>
      <c r="J790" s="134"/>
      <c r="K790" s="68"/>
      <c r="L790" s="69"/>
      <c r="M790" s="69"/>
      <c r="N790" s="260" t="str">
        <f t="shared" si="74"/>
        <v/>
      </c>
      <c r="O790" s="256">
        <f t="shared" si="76"/>
        <v>0</v>
      </c>
      <c r="P790" s="257" t="str">
        <f t="shared" si="75"/>
        <v>×</v>
      </c>
      <c r="Q790" s="272" t="str">
        <f t="shared" si="77"/>
        <v/>
      </c>
    </row>
    <row r="791" spans="2:17">
      <c r="B791" s="65"/>
      <c r="C791" s="54"/>
      <c r="D791" s="261" t="str">
        <f t="shared" si="73"/>
        <v/>
      </c>
      <c r="E791" s="262" t="str">
        <f t="shared" ref="E791:E854" si="78">IF(G791="","",IF(OR(G791="1.謝金（内部）",G791="1.謝金（外部）"),"謝金",IF(G791="2.旅費","旅費",IF(G791="16.対象外経費","その他","所費"))))</f>
        <v/>
      </c>
      <c r="F791" s="125" t="str">
        <f>IF(G791="","",VLOOKUP(G791,プルダウン用リスト!$K$1:$M$16,2,FALSE))</f>
        <v/>
      </c>
      <c r="G791" s="67"/>
      <c r="H791" s="55"/>
      <c r="I791" s="67"/>
      <c r="J791" s="134"/>
      <c r="K791" s="68"/>
      <c r="L791" s="69"/>
      <c r="M791" s="69"/>
      <c r="N791" s="260" t="str">
        <f t="shared" si="74"/>
        <v/>
      </c>
      <c r="O791" s="256">
        <f t="shared" si="76"/>
        <v>0</v>
      </c>
      <c r="P791" s="257" t="str">
        <f t="shared" si="75"/>
        <v>×</v>
      </c>
      <c r="Q791" s="272" t="str">
        <f t="shared" si="77"/>
        <v/>
      </c>
    </row>
    <row r="792" spans="2:17">
      <c r="B792" s="65"/>
      <c r="C792" s="54"/>
      <c r="D792" s="261" t="str">
        <f t="shared" si="73"/>
        <v/>
      </c>
      <c r="E792" s="262" t="str">
        <f t="shared" si="78"/>
        <v/>
      </c>
      <c r="F792" s="125" t="str">
        <f>IF(G792="","",VLOOKUP(G792,プルダウン用リスト!$K$1:$M$16,2,FALSE))</f>
        <v/>
      </c>
      <c r="G792" s="67"/>
      <c r="H792" s="67"/>
      <c r="I792" s="67"/>
      <c r="J792" s="134"/>
      <c r="K792" s="68"/>
      <c r="L792" s="69"/>
      <c r="M792" s="69"/>
      <c r="N792" s="260" t="str">
        <f t="shared" si="74"/>
        <v/>
      </c>
      <c r="O792" s="256">
        <f t="shared" si="76"/>
        <v>0</v>
      </c>
      <c r="P792" s="257" t="str">
        <f t="shared" si="75"/>
        <v>×</v>
      </c>
      <c r="Q792" s="272" t="str">
        <f t="shared" si="77"/>
        <v/>
      </c>
    </row>
    <row r="793" spans="2:17">
      <c r="B793" s="65"/>
      <c r="C793" s="54"/>
      <c r="D793" s="261" t="str">
        <f t="shared" si="73"/>
        <v/>
      </c>
      <c r="E793" s="262" t="str">
        <f t="shared" si="78"/>
        <v/>
      </c>
      <c r="F793" s="125" t="str">
        <f>IF(G793="","",VLOOKUP(G793,プルダウン用リスト!$K$1:$M$16,2,FALSE))</f>
        <v/>
      </c>
      <c r="G793" s="67"/>
      <c r="H793" s="55"/>
      <c r="I793" s="67"/>
      <c r="J793" s="134"/>
      <c r="K793" s="68"/>
      <c r="L793" s="69"/>
      <c r="M793" s="69"/>
      <c r="N793" s="260" t="str">
        <f t="shared" si="74"/>
        <v/>
      </c>
      <c r="O793" s="256">
        <f t="shared" si="76"/>
        <v>0</v>
      </c>
      <c r="P793" s="257" t="str">
        <f t="shared" si="75"/>
        <v>×</v>
      </c>
      <c r="Q793" s="272" t="str">
        <f t="shared" si="77"/>
        <v/>
      </c>
    </row>
    <row r="794" spans="2:17">
      <c r="B794" s="65"/>
      <c r="C794" s="54"/>
      <c r="D794" s="261" t="str">
        <f t="shared" si="73"/>
        <v/>
      </c>
      <c r="E794" s="262" t="str">
        <f t="shared" si="78"/>
        <v/>
      </c>
      <c r="F794" s="125" t="str">
        <f>IF(G794="","",VLOOKUP(G794,プルダウン用リスト!$K$1:$M$16,2,FALSE))</f>
        <v/>
      </c>
      <c r="G794" s="67"/>
      <c r="H794" s="55"/>
      <c r="I794" s="67"/>
      <c r="J794" s="134"/>
      <c r="K794" s="68"/>
      <c r="L794" s="69"/>
      <c r="M794" s="69"/>
      <c r="N794" s="260" t="str">
        <f t="shared" si="74"/>
        <v/>
      </c>
      <c r="O794" s="256">
        <f t="shared" si="76"/>
        <v>0</v>
      </c>
      <c r="P794" s="257" t="str">
        <f t="shared" si="75"/>
        <v>×</v>
      </c>
      <c r="Q794" s="272" t="str">
        <f t="shared" si="77"/>
        <v/>
      </c>
    </row>
    <row r="795" spans="2:17">
      <c r="B795" s="65"/>
      <c r="C795" s="54"/>
      <c r="D795" s="261" t="str">
        <f t="shared" si="73"/>
        <v/>
      </c>
      <c r="E795" s="262" t="str">
        <f t="shared" si="78"/>
        <v/>
      </c>
      <c r="F795" s="125" t="str">
        <f>IF(G795="","",VLOOKUP(G795,プルダウン用リスト!$K$1:$M$16,2,FALSE))</f>
        <v/>
      </c>
      <c r="G795" s="67"/>
      <c r="H795" s="67"/>
      <c r="I795" s="67"/>
      <c r="J795" s="134"/>
      <c r="K795" s="68"/>
      <c r="L795" s="69"/>
      <c r="M795" s="69"/>
      <c r="N795" s="260" t="str">
        <f t="shared" si="74"/>
        <v/>
      </c>
      <c r="O795" s="256">
        <f t="shared" si="76"/>
        <v>0</v>
      </c>
      <c r="P795" s="257" t="str">
        <f t="shared" si="75"/>
        <v>×</v>
      </c>
      <c r="Q795" s="272" t="str">
        <f t="shared" si="77"/>
        <v/>
      </c>
    </row>
    <row r="796" spans="2:17">
      <c r="B796" s="65"/>
      <c r="C796" s="54"/>
      <c r="D796" s="261" t="str">
        <f t="shared" si="73"/>
        <v/>
      </c>
      <c r="E796" s="262" t="str">
        <f t="shared" si="78"/>
        <v/>
      </c>
      <c r="F796" s="125" t="str">
        <f>IF(G796="","",VLOOKUP(G796,プルダウン用リスト!$K$1:$M$16,2,FALSE))</f>
        <v/>
      </c>
      <c r="G796" s="67"/>
      <c r="H796" s="55"/>
      <c r="I796" s="67"/>
      <c r="J796" s="134"/>
      <c r="K796" s="68"/>
      <c r="L796" s="69"/>
      <c r="M796" s="69"/>
      <c r="N796" s="260" t="str">
        <f t="shared" si="74"/>
        <v/>
      </c>
      <c r="O796" s="256">
        <f t="shared" si="76"/>
        <v>0</v>
      </c>
      <c r="P796" s="257" t="str">
        <f t="shared" si="75"/>
        <v>×</v>
      </c>
      <c r="Q796" s="272" t="str">
        <f t="shared" si="77"/>
        <v/>
      </c>
    </row>
    <row r="797" spans="2:17">
      <c r="B797" s="65"/>
      <c r="C797" s="54"/>
      <c r="D797" s="261" t="str">
        <f t="shared" si="73"/>
        <v/>
      </c>
      <c r="E797" s="262" t="str">
        <f t="shared" si="78"/>
        <v/>
      </c>
      <c r="F797" s="125" t="str">
        <f>IF(G797="","",VLOOKUP(G797,プルダウン用リスト!$K$1:$M$16,2,FALSE))</f>
        <v/>
      </c>
      <c r="G797" s="67"/>
      <c r="H797" s="55"/>
      <c r="I797" s="67"/>
      <c r="J797" s="134"/>
      <c r="K797" s="68"/>
      <c r="L797" s="69"/>
      <c r="M797" s="69"/>
      <c r="N797" s="260" t="str">
        <f t="shared" si="74"/>
        <v/>
      </c>
      <c r="O797" s="256">
        <f t="shared" si="76"/>
        <v>0</v>
      </c>
      <c r="P797" s="257" t="str">
        <f t="shared" si="75"/>
        <v>×</v>
      </c>
      <c r="Q797" s="272" t="str">
        <f t="shared" si="77"/>
        <v/>
      </c>
    </row>
    <row r="798" spans="2:17">
      <c r="B798" s="65"/>
      <c r="C798" s="66"/>
      <c r="D798" s="261" t="str">
        <f t="shared" si="73"/>
        <v/>
      </c>
      <c r="E798" s="262" t="str">
        <f t="shared" si="78"/>
        <v/>
      </c>
      <c r="F798" s="125" t="str">
        <f>IF(G798="","",VLOOKUP(G798,プルダウン用リスト!$K$1:$M$16,2,FALSE))</f>
        <v/>
      </c>
      <c r="G798" s="67"/>
      <c r="H798" s="67"/>
      <c r="I798" s="67"/>
      <c r="J798" s="134"/>
      <c r="K798" s="68"/>
      <c r="L798" s="69"/>
      <c r="M798" s="69"/>
      <c r="N798" s="260" t="str">
        <f t="shared" si="74"/>
        <v/>
      </c>
      <c r="O798" s="256">
        <f t="shared" si="76"/>
        <v>0</v>
      </c>
      <c r="P798" s="257" t="str">
        <f t="shared" si="75"/>
        <v>×</v>
      </c>
      <c r="Q798" s="272" t="str">
        <f t="shared" si="77"/>
        <v/>
      </c>
    </row>
    <row r="799" spans="2:17">
      <c r="B799" s="65"/>
      <c r="C799" s="54"/>
      <c r="D799" s="261" t="str">
        <f t="shared" si="73"/>
        <v/>
      </c>
      <c r="E799" s="262" t="str">
        <f t="shared" si="78"/>
        <v/>
      </c>
      <c r="F799" s="125" t="str">
        <f>IF(G799="","",VLOOKUP(G799,プルダウン用リスト!$K$1:$M$16,2,FALSE))</f>
        <v/>
      </c>
      <c r="G799" s="67"/>
      <c r="H799" s="55"/>
      <c r="I799" s="67"/>
      <c r="J799" s="134"/>
      <c r="K799" s="68"/>
      <c r="L799" s="69"/>
      <c r="M799" s="69"/>
      <c r="N799" s="260" t="str">
        <f t="shared" si="74"/>
        <v/>
      </c>
      <c r="O799" s="256">
        <f t="shared" si="76"/>
        <v>0</v>
      </c>
      <c r="P799" s="257" t="str">
        <f t="shared" si="75"/>
        <v>×</v>
      </c>
      <c r="Q799" s="272" t="str">
        <f t="shared" si="77"/>
        <v/>
      </c>
    </row>
    <row r="800" spans="2:17">
      <c r="B800" s="65"/>
      <c r="C800" s="54"/>
      <c r="D800" s="261" t="str">
        <f t="shared" si="73"/>
        <v/>
      </c>
      <c r="E800" s="262" t="str">
        <f t="shared" si="78"/>
        <v/>
      </c>
      <c r="F800" s="125" t="str">
        <f>IF(G800="","",VLOOKUP(G800,プルダウン用リスト!$K$1:$M$16,2,FALSE))</f>
        <v/>
      </c>
      <c r="G800" s="67"/>
      <c r="H800" s="55"/>
      <c r="I800" s="67"/>
      <c r="J800" s="134"/>
      <c r="K800" s="68"/>
      <c r="L800" s="69"/>
      <c r="M800" s="69"/>
      <c r="N800" s="260" t="str">
        <f t="shared" si="74"/>
        <v/>
      </c>
      <c r="O800" s="256">
        <f t="shared" si="76"/>
        <v>0</v>
      </c>
      <c r="P800" s="257" t="str">
        <f t="shared" si="75"/>
        <v>×</v>
      </c>
      <c r="Q800" s="272" t="str">
        <f t="shared" si="77"/>
        <v/>
      </c>
    </row>
    <row r="801" spans="2:17">
      <c r="B801" s="65"/>
      <c r="C801" s="54"/>
      <c r="D801" s="261" t="str">
        <f t="shared" si="73"/>
        <v/>
      </c>
      <c r="E801" s="262" t="str">
        <f t="shared" si="78"/>
        <v/>
      </c>
      <c r="F801" s="125" t="str">
        <f>IF(G801="","",VLOOKUP(G801,プルダウン用リスト!$K$1:$M$16,2,FALSE))</f>
        <v/>
      </c>
      <c r="G801" s="67"/>
      <c r="H801" s="67"/>
      <c r="I801" s="67"/>
      <c r="J801" s="134"/>
      <c r="K801" s="68"/>
      <c r="L801" s="69"/>
      <c r="M801" s="69"/>
      <c r="N801" s="260" t="str">
        <f t="shared" si="74"/>
        <v/>
      </c>
      <c r="O801" s="256">
        <f t="shared" si="76"/>
        <v>0</v>
      </c>
      <c r="P801" s="257" t="str">
        <f t="shared" si="75"/>
        <v>×</v>
      </c>
      <c r="Q801" s="272" t="str">
        <f t="shared" si="77"/>
        <v/>
      </c>
    </row>
    <row r="802" spans="2:17">
      <c r="B802" s="65"/>
      <c r="C802" s="54"/>
      <c r="D802" s="261" t="str">
        <f t="shared" si="73"/>
        <v/>
      </c>
      <c r="E802" s="262" t="str">
        <f t="shared" si="78"/>
        <v/>
      </c>
      <c r="F802" s="125" t="str">
        <f>IF(G802="","",VLOOKUP(G802,プルダウン用リスト!$K$1:$M$16,2,FALSE))</f>
        <v/>
      </c>
      <c r="G802" s="67"/>
      <c r="H802" s="55"/>
      <c r="I802" s="67"/>
      <c r="J802" s="134"/>
      <c r="K802" s="68"/>
      <c r="L802" s="69"/>
      <c r="M802" s="69"/>
      <c r="N802" s="260" t="str">
        <f t="shared" si="74"/>
        <v/>
      </c>
      <c r="O802" s="256">
        <f t="shared" si="76"/>
        <v>0</v>
      </c>
      <c r="P802" s="257" t="str">
        <f t="shared" si="75"/>
        <v>×</v>
      </c>
      <c r="Q802" s="272" t="str">
        <f t="shared" si="77"/>
        <v/>
      </c>
    </row>
    <row r="803" spans="2:17">
      <c r="B803" s="65"/>
      <c r="C803" s="54"/>
      <c r="D803" s="261" t="str">
        <f t="shared" si="73"/>
        <v/>
      </c>
      <c r="E803" s="262" t="str">
        <f t="shared" si="78"/>
        <v/>
      </c>
      <c r="F803" s="125" t="str">
        <f>IF(G803="","",VLOOKUP(G803,プルダウン用リスト!$K$1:$M$16,2,FALSE))</f>
        <v/>
      </c>
      <c r="G803" s="67"/>
      <c r="H803" s="55"/>
      <c r="I803" s="67"/>
      <c r="J803" s="134"/>
      <c r="K803" s="68"/>
      <c r="L803" s="69"/>
      <c r="M803" s="69"/>
      <c r="N803" s="260" t="str">
        <f t="shared" si="74"/>
        <v/>
      </c>
      <c r="O803" s="256">
        <f t="shared" si="76"/>
        <v>0</v>
      </c>
      <c r="P803" s="257" t="str">
        <f t="shared" si="75"/>
        <v>×</v>
      </c>
      <c r="Q803" s="272" t="str">
        <f t="shared" si="77"/>
        <v/>
      </c>
    </row>
    <row r="804" spans="2:17">
      <c r="B804" s="65"/>
      <c r="C804" s="54"/>
      <c r="D804" s="261" t="str">
        <f t="shared" si="73"/>
        <v/>
      </c>
      <c r="E804" s="262" t="str">
        <f t="shared" si="78"/>
        <v/>
      </c>
      <c r="F804" s="125" t="str">
        <f>IF(G804="","",VLOOKUP(G804,プルダウン用リスト!$K$1:$M$16,2,FALSE))</f>
        <v/>
      </c>
      <c r="G804" s="67"/>
      <c r="H804" s="67"/>
      <c r="I804" s="67"/>
      <c r="J804" s="134"/>
      <c r="K804" s="68"/>
      <c r="L804" s="69"/>
      <c r="M804" s="69"/>
      <c r="N804" s="260" t="str">
        <f t="shared" si="74"/>
        <v/>
      </c>
      <c r="O804" s="256">
        <f t="shared" si="76"/>
        <v>0</v>
      </c>
      <c r="P804" s="257" t="str">
        <f t="shared" si="75"/>
        <v>×</v>
      </c>
      <c r="Q804" s="272" t="str">
        <f t="shared" si="77"/>
        <v/>
      </c>
    </row>
    <row r="805" spans="2:17">
      <c r="B805" s="65"/>
      <c r="C805" s="54"/>
      <c r="D805" s="261" t="str">
        <f t="shared" si="73"/>
        <v/>
      </c>
      <c r="E805" s="262" t="str">
        <f t="shared" si="78"/>
        <v/>
      </c>
      <c r="F805" s="125" t="str">
        <f>IF(G805="","",VLOOKUP(G805,プルダウン用リスト!$K$1:$M$16,2,FALSE))</f>
        <v/>
      </c>
      <c r="G805" s="67"/>
      <c r="H805" s="55"/>
      <c r="I805" s="67"/>
      <c r="J805" s="134"/>
      <c r="K805" s="68"/>
      <c r="L805" s="69"/>
      <c r="M805" s="69"/>
      <c r="N805" s="260" t="str">
        <f t="shared" si="74"/>
        <v/>
      </c>
      <c r="O805" s="256">
        <f t="shared" si="76"/>
        <v>0</v>
      </c>
      <c r="P805" s="257" t="str">
        <f t="shared" si="75"/>
        <v>×</v>
      </c>
      <c r="Q805" s="272" t="str">
        <f t="shared" si="77"/>
        <v/>
      </c>
    </row>
    <row r="806" spans="2:17">
      <c r="B806" s="65"/>
      <c r="C806" s="54"/>
      <c r="D806" s="261" t="str">
        <f t="shared" si="73"/>
        <v/>
      </c>
      <c r="E806" s="262" t="str">
        <f t="shared" si="78"/>
        <v/>
      </c>
      <c r="F806" s="125" t="str">
        <f>IF(G806="","",VLOOKUP(G806,プルダウン用リスト!$K$1:$M$16,2,FALSE))</f>
        <v/>
      </c>
      <c r="G806" s="67"/>
      <c r="H806" s="55"/>
      <c r="I806" s="67"/>
      <c r="J806" s="134"/>
      <c r="K806" s="68"/>
      <c r="L806" s="69"/>
      <c r="M806" s="69"/>
      <c r="N806" s="260" t="str">
        <f t="shared" si="74"/>
        <v/>
      </c>
      <c r="O806" s="256">
        <f t="shared" si="76"/>
        <v>0</v>
      </c>
      <c r="P806" s="257" t="str">
        <f t="shared" si="75"/>
        <v>×</v>
      </c>
      <c r="Q806" s="272" t="str">
        <f t="shared" si="77"/>
        <v/>
      </c>
    </row>
    <row r="807" spans="2:17">
      <c r="B807" s="65"/>
      <c r="C807" s="54"/>
      <c r="D807" s="261" t="str">
        <f t="shared" si="73"/>
        <v/>
      </c>
      <c r="E807" s="262" t="str">
        <f t="shared" si="78"/>
        <v/>
      </c>
      <c r="F807" s="125" t="str">
        <f>IF(G807="","",VLOOKUP(G807,プルダウン用リスト!$K$1:$M$16,2,FALSE))</f>
        <v/>
      </c>
      <c r="G807" s="67"/>
      <c r="H807" s="67"/>
      <c r="I807" s="67"/>
      <c r="J807" s="134"/>
      <c r="K807" s="68"/>
      <c r="L807" s="69"/>
      <c r="M807" s="69"/>
      <c r="N807" s="260" t="str">
        <f t="shared" si="74"/>
        <v/>
      </c>
      <c r="O807" s="256">
        <f t="shared" si="76"/>
        <v>0</v>
      </c>
      <c r="P807" s="257" t="str">
        <f t="shared" si="75"/>
        <v>×</v>
      </c>
      <c r="Q807" s="272" t="str">
        <f t="shared" si="77"/>
        <v/>
      </c>
    </row>
    <row r="808" spans="2:17">
      <c r="B808" s="65"/>
      <c r="C808" s="54"/>
      <c r="D808" s="261" t="str">
        <f t="shared" si="73"/>
        <v/>
      </c>
      <c r="E808" s="262" t="str">
        <f t="shared" si="78"/>
        <v/>
      </c>
      <c r="F808" s="125" t="str">
        <f>IF(G808="","",VLOOKUP(G808,プルダウン用リスト!$K$1:$M$16,2,FALSE))</f>
        <v/>
      </c>
      <c r="G808" s="67"/>
      <c r="H808" s="55"/>
      <c r="I808" s="67"/>
      <c r="J808" s="134"/>
      <c r="K808" s="68"/>
      <c r="L808" s="69"/>
      <c r="M808" s="69"/>
      <c r="N808" s="260" t="str">
        <f t="shared" si="74"/>
        <v/>
      </c>
      <c r="O808" s="256">
        <f t="shared" si="76"/>
        <v>0</v>
      </c>
      <c r="P808" s="257" t="str">
        <f t="shared" si="75"/>
        <v>×</v>
      </c>
      <c r="Q808" s="272" t="str">
        <f t="shared" si="77"/>
        <v/>
      </c>
    </row>
    <row r="809" spans="2:17">
      <c r="B809" s="65"/>
      <c r="C809" s="54"/>
      <c r="D809" s="261" t="str">
        <f t="shared" si="73"/>
        <v/>
      </c>
      <c r="E809" s="262" t="str">
        <f t="shared" si="78"/>
        <v/>
      </c>
      <c r="F809" s="125" t="str">
        <f>IF(G809="","",VLOOKUP(G809,プルダウン用リスト!$K$1:$M$16,2,FALSE))</f>
        <v/>
      </c>
      <c r="G809" s="67"/>
      <c r="H809" s="55"/>
      <c r="I809" s="67"/>
      <c r="J809" s="134"/>
      <c r="K809" s="68"/>
      <c r="L809" s="69"/>
      <c r="M809" s="69"/>
      <c r="N809" s="260" t="str">
        <f t="shared" si="74"/>
        <v/>
      </c>
      <c r="O809" s="256">
        <f t="shared" si="76"/>
        <v>0</v>
      </c>
      <c r="P809" s="257" t="str">
        <f t="shared" si="75"/>
        <v>×</v>
      </c>
      <c r="Q809" s="272" t="str">
        <f t="shared" si="77"/>
        <v/>
      </c>
    </row>
    <row r="810" spans="2:17">
      <c r="B810" s="65"/>
      <c r="C810" s="66"/>
      <c r="D810" s="261" t="str">
        <f t="shared" si="73"/>
        <v/>
      </c>
      <c r="E810" s="262" t="str">
        <f t="shared" si="78"/>
        <v/>
      </c>
      <c r="F810" s="125" t="str">
        <f>IF(G810="","",VLOOKUP(G810,プルダウン用リスト!$K$1:$M$16,2,FALSE))</f>
        <v/>
      </c>
      <c r="G810" s="67"/>
      <c r="H810" s="67"/>
      <c r="I810" s="67"/>
      <c r="J810" s="134"/>
      <c r="K810" s="68"/>
      <c r="L810" s="69"/>
      <c r="M810" s="69"/>
      <c r="N810" s="260" t="str">
        <f t="shared" si="74"/>
        <v/>
      </c>
      <c r="O810" s="256">
        <f t="shared" si="76"/>
        <v>0</v>
      </c>
      <c r="P810" s="257" t="str">
        <f t="shared" si="75"/>
        <v>×</v>
      </c>
      <c r="Q810" s="272" t="str">
        <f t="shared" si="77"/>
        <v/>
      </c>
    </row>
    <row r="811" spans="2:17">
      <c r="B811" s="65"/>
      <c r="C811" s="54"/>
      <c r="D811" s="261" t="str">
        <f t="shared" si="73"/>
        <v/>
      </c>
      <c r="E811" s="262" t="str">
        <f t="shared" si="78"/>
        <v/>
      </c>
      <c r="F811" s="125" t="str">
        <f>IF(G811="","",VLOOKUP(G811,プルダウン用リスト!$K$1:$M$16,2,FALSE))</f>
        <v/>
      </c>
      <c r="G811" s="67"/>
      <c r="H811" s="55"/>
      <c r="I811" s="67"/>
      <c r="J811" s="134"/>
      <c r="K811" s="68"/>
      <c r="L811" s="69"/>
      <c r="M811" s="69"/>
      <c r="N811" s="260" t="str">
        <f t="shared" si="74"/>
        <v/>
      </c>
      <c r="O811" s="256">
        <f t="shared" si="76"/>
        <v>0</v>
      </c>
      <c r="P811" s="257" t="str">
        <f t="shared" si="75"/>
        <v>×</v>
      </c>
      <c r="Q811" s="272" t="str">
        <f t="shared" si="77"/>
        <v/>
      </c>
    </row>
    <row r="812" spans="2:17">
      <c r="B812" s="65"/>
      <c r="C812" s="54"/>
      <c r="D812" s="261" t="str">
        <f t="shared" si="73"/>
        <v/>
      </c>
      <c r="E812" s="262" t="str">
        <f t="shared" si="78"/>
        <v/>
      </c>
      <c r="F812" s="125" t="str">
        <f>IF(G812="","",VLOOKUP(G812,プルダウン用リスト!$K$1:$M$16,2,FALSE))</f>
        <v/>
      </c>
      <c r="G812" s="67"/>
      <c r="H812" s="55"/>
      <c r="I812" s="67"/>
      <c r="J812" s="134"/>
      <c r="K812" s="68"/>
      <c r="L812" s="69"/>
      <c r="M812" s="69"/>
      <c r="N812" s="260" t="str">
        <f t="shared" si="74"/>
        <v/>
      </c>
      <c r="O812" s="256">
        <f t="shared" si="76"/>
        <v>0</v>
      </c>
      <c r="P812" s="257" t="str">
        <f t="shared" si="75"/>
        <v>×</v>
      </c>
      <c r="Q812" s="272" t="str">
        <f t="shared" si="77"/>
        <v/>
      </c>
    </row>
    <row r="813" spans="2:17">
      <c r="B813" s="65"/>
      <c r="C813" s="54"/>
      <c r="D813" s="261" t="str">
        <f t="shared" si="73"/>
        <v/>
      </c>
      <c r="E813" s="262" t="str">
        <f t="shared" si="78"/>
        <v/>
      </c>
      <c r="F813" s="125" t="str">
        <f>IF(G813="","",VLOOKUP(G813,プルダウン用リスト!$K$1:$M$16,2,FALSE))</f>
        <v/>
      </c>
      <c r="G813" s="67"/>
      <c r="H813" s="67"/>
      <c r="I813" s="67"/>
      <c r="J813" s="134"/>
      <c r="K813" s="68"/>
      <c r="L813" s="69"/>
      <c r="M813" s="69"/>
      <c r="N813" s="260" t="str">
        <f t="shared" si="74"/>
        <v/>
      </c>
      <c r="O813" s="256">
        <f t="shared" si="76"/>
        <v>0</v>
      </c>
      <c r="P813" s="257" t="str">
        <f t="shared" si="75"/>
        <v>×</v>
      </c>
      <c r="Q813" s="272" t="str">
        <f t="shared" si="77"/>
        <v/>
      </c>
    </row>
    <row r="814" spans="2:17">
      <c r="B814" s="65"/>
      <c r="C814" s="54"/>
      <c r="D814" s="261" t="str">
        <f t="shared" si="73"/>
        <v/>
      </c>
      <c r="E814" s="262" t="str">
        <f t="shared" si="78"/>
        <v/>
      </c>
      <c r="F814" s="125" t="str">
        <f>IF(G814="","",VLOOKUP(G814,プルダウン用リスト!$K$1:$M$16,2,FALSE))</f>
        <v/>
      </c>
      <c r="G814" s="67"/>
      <c r="H814" s="55"/>
      <c r="I814" s="67"/>
      <c r="J814" s="134"/>
      <c r="K814" s="68"/>
      <c r="L814" s="69"/>
      <c r="M814" s="69"/>
      <c r="N814" s="260" t="str">
        <f t="shared" si="74"/>
        <v/>
      </c>
      <c r="O814" s="256">
        <f t="shared" si="76"/>
        <v>0</v>
      </c>
      <c r="P814" s="257" t="str">
        <f t="shared" si="75"/>
        <v>×</v>
      </c>
      <c r="Q814" s="272" t="str">
        <f t="shared" si="77"/>
        <v/>
      </c>
    </row>
    <row r="815" spans="2:17">
      <c r="B815" s="65"/>
      <c r="C815" s="54"/>
      <c r="D815" s="261" t="str">
        <f t="shared" si="73"/>
        <v/>
      </c>
      <c r="E815" s="262" t="str">
        <f t="shared" si="78"/>
        <v/>
      </c>
      <c r="F815" s="125" t="str">
        <f>IF(G815="","",VLOOKUP(G815,プルダウン用リスト!$K$1:$M$16,2,FALSE))</f>
        <v/>
      </c>
      <c r="G815" s="67"/>
      <c r="H815" s="55"/>
      <c r="I815" s="67"/>
      <c r="J815" s="134"/>
      <c r="K815" s="68"/>
      <c r="L815" s="69"/>
      <c r="M815" s="69"/>
      <c r="N815" s="260" t="str">
        <f t="shared" si="74"/>
        <v/>
      </c>
      <c r="O815" s="256">
        <f t="shared" si="76"/>
        <v>0</v>
      </c>
      <c r="P815" s="257" t="str">
        <f t="shared" si="75"/>
        <v>×</v>
      </c>
      <c r="Q815" s="272" t="str">
        <f t="shared" si="77"/>
        <v/>
      </c>
    </row>
    <row r="816" spans="2:17">
      <c r="B816" s="65"/>
      <c r="C816" s="54"/>
      <c r="D816" s="261" t="str">
        <f t="shared" si="73"/>
        <v/>
      </c>
      <c r="E816" s="262" t="str">
        <f t="shared" si="78"/>
        <v/>
      </c>
      <c r="F816" s="125" t="str">
        <f>IF(G816="","",VLOOKUP(G816,プルダウン用リスト!$K$1:$M$16,2,FALSE))</f>
        <v/>
      </c>
      <c r="G816" s="67"/>
      <c r="H816" s="67"/>
      <c r="I816" s="67"/>
      <c r="J816" s="134"/>
      <c r="K816" s="68"/>
      <c r="L816" s="69"/>
      <c r="M816" s="69"/>
      <c r="N816" s="260" t="str">
        <f t="shared" si="74"/>
        <v/>
      </c>
      <c r="O816" s="256">
        <f t="shared" si="76"/>
        <v>0</v>
      </c>
      <c r="P816" s="257" t="str">
        <f t="shared" si="75"/>
        <v>×</v>
      </c>
      <c r="Q816" s="272" t="str">
        <f t="shared" si="77"/>
        <v/>
      </c>
    </row>
    <row r="817" spans="2:17">
      <c r="B817" s="65"/>
      <c r="C817" s="54"/>
      <c r="D817" s="261" t="str">
        <f t="shared" si="73"/>
        <v/>
      </c>
      <c r="E817" s="262" t="str">
        <f t="shared" si="78"/>
        <v/>
      </c>
      <c r="F817" s="125" t="str">
        <f>IF(G817="","",VLOOKUP(G817,プルダウン用リスト!$K$1:$M$16,2,FALSE))</f>
        <v/>
      </c>
      <c r="G817" s="67"/>
      <c r="H817" s="55"/>
      <c r="I817" s="67"/>
      <c r="J817" s="134"/>
      <c r="K817" s="68"/>
      <c r="L817" s="69"/>
      <c r="M817" s="69"/>
      <c r="N817" s="260" t="str">
        <f t="shared" si="74"/>
        <v/>
      </c>
      <c r="O817" s="256">
        <f t="shared" si="76"/>
        <v>0</v>
      </c>
      <c r="P817" s="257" t="str">
        <f t="shared" si="75"/>
        <v>×</v>
      </c>
      <c r="Q817" s="272" t="str">
        <f t="shared" si="77"/>
        <v/>
      </c>
    </row>
    <row r="818" spans="2:17">
      <c r="B818" s="65"/>
      <c r="C818" s="54"/>
      <c r="D818" s="261" t="str">
        <f t="shared" si="73"/>
        <v/>
      </c>
      <c r="E818" s="262" t="str">
        <f t="shared" si="78"/>
        <v/>
      </c>
      <c r="F818" s="125" t="str">
        <f>IF(G818="","",VLOOKUP(G818,プルダウン用リスト!$K$1:$M$16,2,FALSE))</f>
        <v/>
      </c>
      <c r="G818" s="67"/>
      <c r="H818" s="55"/>
      <c r="I818" s="67"/>
      <c r="J818" s="134"/>
      <c r="K818" s="68"/>
      <c r="L818" s="69"/>
      <c r="M818" s="69"/>
      <c r="N818" s="260" t="str">
        <f t="shared" si="74"/>
        <v/>
      </c>
      <c r="O818" s="256">
        <f t="shared" si="76"/>
        <v>0</v>
      </c>
      <c r="P818" s="257" t="str">
        <f t="shared" si="75"/>
        <v>×</v>
      </c>
      <c r="Q818" s="272" t="str">
        <f t="shared" si="77"/>
        <v/>
      </c>
    </row>
    <row r="819" spans="2:17">
      <c r="B819" s="65"/>
      <c r="C819" s="54"/>
      <c r="D819" s="261" t="str">
        <f t="shared" si="73"/>
        <v/>
      </c>
      <c r="E819" s="262" t="str">
        <f t="shared" si="78"/>
        <v/>
      </c>
      <c r="F819" s="125" t="str">
        <f>IF(G819="","",VLOOKUP(G819,プルダウン用リスト!$K$1:$M$16,2,FALSE))</f>
        <v/>
      </c>
      <c r="G819" s="67"/>
      <c r="H819" s="67"/>
      <c r="I819" s="67"/>
      <c r="J819" s="134"/>
      <c r="K819" s="68"/>
      <c r="L819" s="69"/>
      <c r="M819" s="69"/>
      <c r="N819" s="260" t="str">
        <f t="shared" si="74"/>
        <v/>
      </c>
      <c r="O819" s="256">
        <f t="shared" si="76"/>
        <v>0</v>
      </c>
      <c r="P819" s="257" t="str">
        <f t="shared" si="75"/>
        <v>×</v>
      </c>
      <c r="Q819" s="272" t="str">
        <f t="shared" si="77"/>
        <v/>
      </c>
    </row>
    <row r="820" spans="2:17">
      <c r="B820" s="65"/>
      <c r="C820" s="54"/>
      <c r="D820" s="261" t="str">
        <f t="shared" si="73"/>
        <v/>
      </c>
      <c r="E820" s="262" t="str">
        <f t="shared" si="78"/>
        <v/>
      </c>
      <c r="F820" s="125" t="str">
        <f>IF(G820="","",VLOOKUP(G820,プルダウン用リスト!$K$1:$M$16,2,FALSE))</f>
        <v/>
      </c>
      <c r="G820" s="67"/>
      <c r="H820" s="55"/>
      <c r="I820" s="67"/>
      <c r="J820" s="134"/>
      <c r="K820" s="68"/>
      <c r="L820" s="69"/>
      <c r="M820" s="69"/>
      <c r="N820" s="260" t="str">
        <f t="shared" si="74"/>
        <v/>
      </c>
      <c r="O820" s="256">
        <f t="shared" si="76"/>
        <v>0</v>
      </c>
      <c r="P820" s="257" t="str">
        <f t="shared" si="75"/>
        <v>×</v>
      </c>
      <c r="Q820" s="272" t="str">
        <f t="shared" si="77"/>
        <v/>
      </c>
    </row>
    <row r="821" spans="2:17">
      <c r="B821" s="65"/>
      <c r="C821" s="54"/>
      <c r="D821" s="261" t="str">
        <f t="shared" si="73"/>
        <v/>
      </c>
      <c r="E821" s="262" t="str">
        <f t="shared" si="78"/>
        <v/>
      </c>
      <c r="F821" s="125" t="str">
        <f>IF(G821="","",VLOOKUP(G821,プルダウン用リスト!$K$1:$M$16,2,FALSE))</f>
        <v/>
      </c>
      <c r="G821" s="67"/>
      <c r="H821" s="55"/>
      <c r="I821" s="67"/>
      <c r="J821" s="134"/>
      <c r="K821" s="68"/>
      <c r="L821" s="69"/>
      <c r="M821" s="69"/>
      <c r="N821" s="260" t="str">
        <f t="shared" si="74"/>
        <v/>
      </c>
      <c r="O821" s="256">
        <f t="shared" si="76"/>
        <v>0</v>
      </c>
      <c r="P821" s="257" t="str">
        <f t="shared" si="75"/>
        <v>×</v>
      </c>
      <c r="Q821" s="272" t="str">
        <f t="shared" si="77"/>
        <v/>
      </c>
    </row>
    <row r="822" spans="2:17">
      <c r="B822" s="65"/>
      <c r="C822" s="66"/>
      <c r="D822" s="261" t="str">
        <f t="shared" si="73"/>
        <v/>
      </c>
      <c r="E822" s="262" t="str">
        <f t="shared" si="78"/>
        <v/>
      </c>
      <c r="F822" s="125" t="str">
        <f>IF(G822="","",VLOOKUP(G822,プルダウン用リスト!$K$1:$M$16,2,FALSE))</f>
        <v/>
      </c>
      <c r="G822" s="67"/>
      <c r="H822" s="67"/>
      <c r="I822" s="67"/>
      <c r="J822" s="134"/>
      <c r="K822" s="68"/>
      <c r="L822" s="69"/>
      <c r="M822" s="69"/>
      <c r="N822" s="260" t="str">
        <f t="shared" si="74"/>
        <v/>
      </c>
      <c r="O822" s="256">
        <f t="shared" si="76"/>
        <v>0</v>
      </c>
      <c r="P822" s="257" t="str">
        <f t="shared" si="75"/>
        <v>×</v>
      </c>
      <c r="Q822" s="272" t="str">
        <f t="shared" si="77"/>
        <v/>
      </c>
    </row>
    <row r="823" spans="2:17">
      <c r="B823" s="65"/>
      <c r="C823" s="54"/>
      <c r="D823" s="261" t="str">
        <f t="shared" si="73"/>
        <v/>
      </c>
      <c r="E823" s="262" t="str">
        <f t="shared" si="78"/>
        <v/>
      </c>
      <c r="F823" s="125" t="str">
        <f>IF(G823="","",VLOOKUP(G823,プルダウン用リスト!$K$1:$M$16,2,FALSE))</f>
        <v/>
      </c>
      <c r="G823" s="67"/>
      <c r="H823" s="55"/>
      <c r="I823" s="67"/>
      <c r="J823" s="134"/>
      <c r="K823" s="68"/>
      <c r="L823" s="69"/>
      <c r="M823" s="69"/>
      <c r="N823" s="260" t="str">
        <f t="shared" si="74"/>
        <v/>
      </c>
      <c r="O823" s="256">
        <f t="shared" si="76"/>
        <v>0</v>
      </c>
      <c r="P823" s="257" t="str">
        <f t="shared" si="75"/>
        <v>×</v>
      </c>
      <c r="Q823" s="272" t="str">
        <f t="shared" si="77"/>
        <v/>
      </c>
    </row>
    <row r="824" spans="2:17">
      <c r="B824" s="65"/>
      <c r="C824" s="54"/>
      <c r="D824" s="261" t="str">
        <f t="shared" si="73"/>
        <v/>
      </c>
      <c r="E824" s="262" t="str">
        <f t="shared" si="78"/>
        <v/>
      </c>
      <c r="F824" s="125" t="str">
        <f>IF(G824="","",VLOOKUP(G824,プルダウン用リスト!$K$1:$M$16,2,FALSE))</f>
        <v/>
      </c>
      <c r="G824" s="67"/>
      <c r="H824" s="55"/>
      <c r="I824" s="67"/>
      <c r="J824" s="134"/>
      <c r="K824" s="68"/>
      <c r="L824" s="69"/>
      <c r="M824" s="69"/>
      <c r="N824" s="260" t="str">
        <f t="shared" si="74"/>
        <v/>
      </c>
      <c r="O824" s="256">
        <f t="shared" si="76"/>
        <v>0</v>
      </c>
      <c r="P824" s="257" t="str">
        <f t="shared" si="75"/>
        <v>×</v>
      </c>
      <c r="Q824" s="272" t="str">
        <f t="shared" si="77"/>
        <v/>
      </c>
    </row>
    <row r="825" spans="2:17">
      <c r="B825" s="65"/>
      <c r="C825" s="54"/>
      <c r="D825" s="261" t="str">
        <f t="shared" si="73"/>
        <v/>
      </c>
      <c r="E825" s="262" t="str">
        <f t="shared" si="78"/>
        <v/>
      </c>
      <c r="F825" s="125" t="str">
        <f>IF(G825="","",VLOOKUP(G825,プルダウン用リスト!$K$1:$M$16,2,FALSE))</f>
        <v/>
      </c>
      <c r="G825" s="67"/>
      <c r="H825" s="67"/>
      <c r="I825" s="67"/>
      <c r="J825" s="134"/>
      <c r="K825" s="68"/>
      <c r="L825" s="69"/>
      <c r="M825" s="69"/>
      <c r="N825" s="260" t="str">
        <f t="shared" si="74"/>
        <v/>
      </c>
      <c r="O825" s="256">
        <f t="shared" si="76"/>
        <v>0</v>
      </c>
      <c r="P825" s="257" t="str">
        <f t="shared" si="75"/>
        <v>×</v>
      </c>
      <c r="Q825" s="272" t="str">
        <f t="shared" si="77"/>
        <v/>
      </c>
    </row>
    <row r="826" spans="2:17">
      <c r="B826" s="65"/>
      <c r="C826" s="54"/>
      <c r="D826" s="261" t="str">
        <f t="shared" si="73"/>
        <v/>
      </c>
      <c r="E826" s="262" t="str">
        <f t="shared" si="78"/>
        <v/>
      </c>
      <c r="F826" s="125" t="str">
        <f>IF(G826="","",VLOOKUP(G826,プルダウン用リスト!$K$1:$M$16,2,FALSE))</f>
        <v/>
      </c>
      <c r="G826" s="67"/>
      <c r="H826" s="55"/>
      <c r="I826" s="67"/>
      <c r="J826" s="134"/>
      <c r="K826" s="68"/>
      <c r="L826" s="69"/>
      <c r="M826" s="69"/>
      <c r="N826" s="260" t="str">
        <f t="shared" si="74"/>
        <v/>
      </c>
      <c r="O826" s="256">
        <f t="shared" si="76"/>
        <v>0</v>
      </c>
      <c r="P826" s="257" t="str">
        <f t="shared" si="75"/>
        <v>×</v>
      </c>
      <c r="Q826" s="272" t="str">
        <f t="shared" si="77"/>
        <v/>
      </c>
    </row>
    <row r="827" spans="2:17">
      <c r="B827" s="65"/>
      <c r="C827" s="54"/>
      <c r="D827" s="261" t="str">
        <f t="shared" si="73"/>
        <v/>
      </c>
      <c r="E827" s="262" t="str">
        <f t="shared" si="78"/>
        <v/>
      </c>
      <c r="F827" s="125" t="str">
        <f>IF(G827="","",VLOOKUP(G827,プルダウン用リスト!$K$1:$M$16,2,FALSE))</f>
        <v/>
      </c>
      <c r="G827" s="67"/>
      <c r="H827" s="55"/>
      <c r="I827" s="67"/>
      <c r="J827" s="134"/>
      <c r="K827" s="68"/>
      <c r="L827" s="69"/>
      <c r="M827" s="69"/>
      <c r="N827" s="260" t="str">
        <f t="shared" si="74"/>
        <v/>
      </c>
      <c r="O827" s="256">
        <f t="shared" si="76"/>
        <v>0</v>
      </c>
      <c r="P827" s="257" t="str">
        <f t="shared" si="75"/>
        <v>×</v>
      </c>
      <c r="Q827" s="272" t="str">
        <f t="shared" si="77"/>
        <v/>
      </c>
    </row>
    <row r="828" spans="2:17">
      <c r="B828" s="65"/>
      <c r="C828" s="54"/>
      <c r="D828" s="261" t="str">
        <f t="shared" si="73"/>
        <v/>
      </c>
      <c r="E828" s="262" t="str">
        <f t="shared" si="78"/>
        <v/>
      </c>
      <c r="F828" s="125" t="str">
        <f>IF(G828="","",VLOOKUP(G828,プルダウン用リスト!$K$1:$M$16,2,FALSE))</f>
        <v/>
      </c>
      <c r="G828" s="67"/>
      <c r="H828" s="67"/>
      <c r="I828" s="67"/>
      <c r="J828" s="134"/>
      <c r="K828" s="68"/>
      <c r="L828" s="69"/>
      <c r="M828" s="69"/>
      <c r="N828" s="260" t="str">
        <f t="shared" si="74"/>
        <v/>
      </c>
      <c r="O828" s="256">
        <f t="shared" si="76"/>
        <v>0</v>
      </c>
      <c r="P828" s="257" t="str">
        <f t="shared" si="75"/>
        <v>×</v>
      </c>
      <c r="Q828" s="272" t="str">
        <f t="shared" si="77"/>
        <v/>
      </c>
    </row>
    <row r="829" spans="2:17">
      <c r="B829" s="65"/>
      <c r="C829" s="54"/>
      <c r="D829" s="261" t="str">
        <f t="shared" si="73"/>
        <v/>
      </c>
      <c r="E829" s="262" t="str">
        <f t="shared" si="78"/>
        <v/>
      </c>
      <c r="F829" s="125" t="str">
        <f>IF(G829="","",VLOOKUP(G829,プルダウン用リスト!$K$1:$M$16,2,FALSE))</f>
        <v/>
      </c>
      <c r="G829" s="67"/>
      <c r="H829" s="55"/>
      <c r="I829" s="67"/>
      <c r="J829" s="134"/>
      <c r="K829" s="68"/>
      <c r="L829" s="69"/>
      <c r="M829" s="69"/>
      <c r="N829" s="260" t="str">
        <f t="shared" si="74"/>
        <v/>
      </c>
      <c r="O829" s="256">
        <f t="shared" si="76"/>
        <v>0</v>
      </c>
      <c r="P829" s="257" t="str">
        <f t="shared" si="75"/>
        <v>×</v>
      </c>
      <c r="Q829" s="272" t="str">
        <f t="shared" si="77"/>
        <v/>
      </c>
    </row>
    <row r="830" spans="2:17">
      <c r="B830" s="65"/>
      <c r="C830" s="54"/>
      <c r="D830" s="261" t="str">
        <f t="shared" si="73"/>
        <v/>
      </c>
      <c r="E830" s="262" t="str">
        <f t="shared" si="78"/>
        <v/>
      </c>
      <c r="F830" s="125" t="str">
        <f>IF(G830="","",VLOOKUP(G830,プルダウン用リスト!$K$1:$M$16,2,FALSE))</f>
        <v/>
      </c>
      <c r="G830" s="67"/>
      <c r="H830" s="55"/>
      <c r="I830" s="67"/>
      <c r="J830" s="134"/>
      <c r="K830" s="68"/>
      <c r="L830" s="69"/>
      <c r="M830" s="69"/>
      <c r="N830" s="260" t="str">
        <f t="shared" si="74"/>
        <v/>
      </c>
      <c r="O830" s="256">
        <f t="shared" si="76"/>
        <v>0</v>
      </c>
      <c r="P830" s="257" t="str">
        <f t="shared" si="75"/>
        <v>×</v>
      </c>
      <c r="Q830" s="272" t="str">
        <f t="shared" si="77"/>
        <v/>
      </c>
    </row>
    <row r="831" spans="2:17">
      <c r="B831" s="65"/>
      <c r="C831" s="54"/>
      <c r="D831" s="261" t="str">
        <f t="shared" si="73"/>
        <v/>
      </c>
      <c r="E831" s="262" t="str">
        <f t="shared" si="78"/>
        <v/>
      </c>
      <c r="F831" s="125" t="str">
        <f>IF(G831="","",VLOOKUP(G831,プルダウン用リスト!$K$1:$M$16,2,FALSE))</f>
        <v/>
      </c>
      <c r="G831" s="67"/>
      <c r="H831" s="67"/>
      <c r="I831" s="67"/>
      <c r="J831" s="134"/>
      <c r="K831" s="68"/>
      <c r="L831" s="69"/>
      <c r="M831" s="69"/>
      <c r="N831" s="260" t="str">
        <f t="shared" si="74"/>
        <v/>
      </c>
      <c r="O831" s="256">
        <f t="shared" si="76"/>
        <v>0</v>
      </c>
      <c r="P831" s="257" t="str">
        <f t="shared" si="75"/>
        <v>×</v>
      </c>
      <c r="Q831" s="272" t="str">
        <f t="shared" si="77"/>
        <v/>
      </c>
    </row>
    <row r="832" spans="2:17">
      <c r="B832" s="65"/>
      <c r="C832" s="54"/>
      <c r="D832" s="261" t="str">
        <f t="shared" si="73"/>
        <v/>
      </c>
      <c r="E832" s="262" t="str">
        <f t="shared" si="78"/>
        <v/>
      </c>
      <c r="F832" s="125" t="str">
        <f>IF(G832="","",VLOOKUP(G832,プルダウン用リスト!$K$1:$M$16,2,FALSE))</f>
        <v/>
      </c>
      <c r="G832" s="67"/>
      <c r="H832" s="55"/>
      <c r="I832" s="67"/>
      <c r="J832" s="134"/>
      <c r="K832" s="68"/>
      <c r="L832" s="69"/>
      <c r="M832" s="69"/>
      <c r="N832" s="260" t="str">
        <f t="shared" si="74"/>
        <v/>
      </c>
      <c r="O832" s="256">
        <f t="shared" si="76"/>
        <v>0</v>
      </c>
      <c r="P832" s="257" t="str">
        <f t="shared" si="75"/>
        <v>×</v>
      </c>
      <c r="Q832" s="272" t="str">
        <f t="shared" si="77"/>
        <v/>
      </c>
    </row>
    <row r="833" spans="2:17">
      <c r="B833" s="65"/>
      <c r="C833" s="54"/>
      <c r="D833" s="261" t="str">
        <f t="shared" si="73"/>
        <v/>
      </c>
      <c r="E833" s="262" t="str">
        <f t="shared" si="78"/>
        <v/>
      </c>
      <c r="F833" s="125" t="str">
        <f>IF(G833="","",VLOOKUP(G833,プルダウン用リスト!$K$1:$M$16,2,FALSE))</f>
        <v/>
      </c>
      <c r="G833" s="67"/>
      <c r="H833" s="55"/>
      <c r="I833" s="67"/>
      <c r="J833" s="134"/>
      <c r="K833" s="68"/>
      <c r="L833" s="69"/>
      <c r="M833" s="69"/>
      <c r="N833" s="260" t="str">
        <f t="shared" si="74"/>
        <v/>
      </c>
      <c r="O833" s="256">
        <f t="shared" si="76"/>
        <v>0</v>
      </c>
      <c r="P833" s="257" t="str">
        <f t="shared" si="75"/>
        <v>×</v>
      </c>
      <c r="Q833" s="272" t="str">
        <f t="shared" si="77"/>
        <v/>
      </c>
    </row>
    <row r="834" spans="2:17">
      <c r="B834" s="65"/>
      <c r="C834" s="66"/>
      <c r="D834" s="261" t="str">
        <f t="shared" si="73"/>
        <v/>
      </c>
      <c r="E834" s="262" t="str">
        <f t="shared" si="78"/>
        <v/>
      </c>
      <c r="F834" s="125" t="str">
        <f>IF(G834="","",VLOOKUP(G834,プルダウン用リスト!$K$1:$M$16,2,FALSE))</f>
        <v/>
      </c>
      <c r="G834" s="67"/>
      <c r="H834" s="67"/>
      <c r="I834" s="67"/>
      <c r="J834" s="134"/>
      <c r="K834" s="68"/>
      <c r="L834" s="69"/>
      <c r="M834" s="69"/>
      <c r="N834" s="260" t="str">
        <f t="shared" si="74"/>
        <v/>
      </c>
      <c r="O834" s="256">
        <f t="shared" si="76"/>
        <v>0</v>
      </c>
      <c r="P834" s="257" t="str">
        <f t="shared" si="75"/>
        <v>×</v>
      </c>
      <c r="Q834" s="272" t="str">
        <f t="shared" si="77"/>
        <v/>
      </c>
    </row>
    <row r="835" spans="2:17">
      <c r="B835" s="65"/>
      <c r="C835" s="54"/>
      <c r="D835" s="261" t="str">
        <f t="shared" si="73"/>
        <v/>
      </c>
      <c r="E835" s="262" t="str">
        <f t="shared" si="78"/>
        <v/>
      </c>
      <c r="F835" s="125" t="str">
        <f>IF(G835="","",VLOOKUP(G835,プルダウン用リスト!$K$1:$M$16,2,FALSE))</f>
        <v/>
      </c>
      <c r="G835" s="67"/>
      <c r="H835" s="55"/>
      <c r="I835" s="67"/>
      <c r="J835" s="134"/>
      <c r="K835" s="68"/>
      <c r="L835" s="69"/>
      <c r="M835" s="69"/>
      <c r="N835" s="260" t="str">
        <f t="shared" si="74"/>
        <v/>
      </c>
      <c r="O835" s="256">
        <f t="shared" si="76"/>
        <v>0</v>
      </c>
      <c r="P835" s="257" t="str">
        <f t="shared" si="75"/>
        <v>×</v>
      </c>
      <c r="Q835" s="272" t="str">
        <f t="shared" si="77"/>
        <v/>
      </c>
    </row>
    <row r="836" spans="2:17">
      <c r="B836" s="65"/>
      <c r="C836" s="54"/>
      <c r="D836" s="261" t="str">
        <f t="shared" si="73"/>
        <v/>
      </c>
      <c r="E836" s="262" t="str">
        <f t="shared" si="78"/>
        <v/>
      </c>
      <c r="F836" s="125" t="str">
        <f>IF(G836="","",VLOOKUP(G836,プルダウン用リスト!$K$1:$M$16,2,FALSE))</f>
        <v/>
      </c>
      <c r="G836" s="67"/>
      <c r="H836" s="55"/>
      <c r="I836" s="67"/>
      <c r="J836" s="134"/>
      <c r="K836" s="68"/>
      <c r="L836" s="69"/>
      <c r="M836" s="69"/>
      <c r="N836" s="260" t="str">
        <f t="shared" si="74"/>
        <v/>
      </c>
      <c r="O836" s="256">
        <f t="shared" si="76"/>
        <v>0</v>
      </c>
      <c r="P836" s="257" t="str">
        <f t="shared" si="75"/>
        <v>×</v>
      </c>
      <c r="Q836" s="272" t="str">
        <f t="shared" si="77"/>
        <v/>
      </c>
    </row>
    <row r="837" spans="2:17">
      <c r="B837" s="65"/>
      <c r="C837" s="54"/>
      <c r="D837" s="261" t="str">
        <f t="shared" si="73"/>
        <v/>
      </c>
      <c r="E837" s="262" t="str">
        <f t="shared" si="78"/>
        <v/>
      </c>
      <c r="F837" s="125" t="str">
        <f>IF(G837="","",VLOOKUP(G837,プルダウン用リスト!$K$1:$M$16,2,FALSE))</f>
        <v/>
      </c>
      <c r="G837" s="67"/>
      <c r="H837" s="67"/>
      <c r="I837" s="67"/>
      <c r="J837" s="134"/>
      <c r="K837" s="68"/>
      <c r="L837" s="69"/>
      <c r="M837" s="69"/>
      <c r="N837" s="260" t="str">
        <f t="shared" si="74"/>
        <v/>
      </c>
      <c r="O837" s="256">
        <f t="shared" si="76"/>
        <v>0</v>
      </c>
      <c r="P837" s="257" t="str">
        <f t="shared" si="75"/>
        <v>×</v>
      </c>
      <c r="Q837" s="272" t="str">
        <f t="shared" si="77"/>
        <v/>
      </c>
    </row>
    <row r="838" spans="2:17">
      <c r="B838" s="65"/>
      <c r="C838" s="54"/>
      <c r="D838" s="261" t="str">
        <f t="shared" si="73"/>
        <v/>
      </c>
      <c r="E838" s="262" t="str">
        <f t="shared" si="78"/>
        <v/>
      </c>
      <c r="F838" s="125" t="str">
        <f>IF(G838="","",VLOOKUP(G838,プルダウン用リスト!$K$1:$M$16,2,FALSE))</f>
        <v/>
      </c>
      <c r="G838" s="67"/>
      <c r="H838" s="55"/>
      <c r="I838" s="67"/>
      <c r="J838" s="134"/>
      <c r="K838" s="68"/>
      <c r="L838" s="69"/>
      <c r="M838" s="69"/>
      <c r="N838" s="260" t="str">
        <f t="shared" si="74"/>
        <v/>
      </c>
      <c r="O838" s="256">
        <f t="shared" si="76"/>
        <v>0</v>
      </c>
      <c r="P838" s="257" t="str">
        <f t="shared" si="75"/>
        <v>×</v>
      </c>
      <c r="Q838" s="272" t="str">
        <f t="shared" si="77"/>
        <v/>
      </c>
    </row>
    <row r="839" spans="2:17">
      <c r="B839" s="65"/>
      <c r="C839" s="54"/>
      <c r="D839" s="261" t="str">
        <f t="shared" ref="D839:D902" si="79">IF(E839="","",IF(E839="謝金","01.",IF(E839="旅費","02.",IF(E839="その他","04.","03."))))</f>
        <v/>
      </c>
      <c r="E839" s="262" t="str">
        <f t="shared" si="78"/>
        <v/>
      </c>
      <c r="F839" s="125" t="str">
        <f>IF(G839="","",VLOOKUP(G839,プルダウン用リスト!$K$1:$M$16,2,FALSE))</f>
        <v/>
      </c>
      <c r="G839" s="67"/>
      <c r="H839" s="55"/>
      <c r="I839" s="67"/>
      <c r="J839" s="134"/>
      <c r="K839" s="68"/>
      <c r="L839" s="69"/>
      <c r="M839" s="69"/>
      <c r="N839" s="260" t="str">
        <f t="shared" ref="N839:N902" si="80">IF(G839="16.対象外経費",L839,IF(M839="","",L839-M839))</f>
        <v/>
      </c>
      <c r="O839" s="256">
        <f t="shared" si="76"/>
        <v>0</v>
      </c>
      <c r="P839" s="257" t="str">
        <f t="shared" ref="P839:P902" si="81">IF(G839="2.旅費","〇","×")</f>
        <v>×</v>
      </c>
      <c r="Q839" s="272" t="str">
        <f t="shared" si="77"/>
        <v/>
      </c>
    </row>
    <row r="840" spans="2:17">
      <c r="B840" s="65"/>
      <c r="C840" s="54"/>
      <c r="D840" s="261" t="str">
        <f t="shared" si="79"/>
        <v/>
      </c>
      <c r="E840" s="262" t="str">
        <f t="shared" si="78"/>
        <v/>
      </c>
      <c r="F840" s="125" t="str">
        <f>IF(G840="","",VLOOKUP(G840,プルダウン用リスト!$K$1:$M$16,2,FALSE))</f>
        <v/>
      </c>
      <c r="G840" s="67"/>
      <c r="H840" s="67"/>
      <c r="I840" s="67"/>
      <c r="J840" s="134"/>
      <c r="K840" s="68"/>
      <c r="L840" s="69"/>
      <c r="M840" s="69"/>
      <c r="N840" s="260" t="str">
        <f t="shared" si="80"/>
        <v/>
      </c>
      <c r="O840" s="256">
        <f t="shared" ref="O840:O903" si="82">IF(L840&gt;0,COUNTA(B840,C840,G840,H840,I840,K840,,L840,J840),0)</f>
        <v>0</v>
      </c>
      <c r="P840" s="257" t="str">
        <f t="shared" si="81"/>
        <v>×</v>
      </c>
      <c r="Q840" s="272" t="str">
        <f t="shared" ref="Q840:Q903" si="83">_xlfn.IFS(O840=0,"",AND(G840="16.対象外経費",O840=7),"OK",O840&lt;=7,"ピンク色のセルを全て入力してください",O840=9,"OK",P840="〇","旅行区間および宿泊地を入力してください",O840=8,"OK")</f>
        <v/>
      </c>
    </row>
    <row r="841" spans="2:17">
      <c r="B841" s="65"/>
      <c r="C841" s="54"/>
      <c r="D841" s="261" t="str">
        <f t="shared" si="79"/>
        <v/>
      </c>
      <c r="E841" s="262" t="str">
        <f t="shared" si="78"/>
        <v/>
      </c>
      <c r="F841" s="125" t="str">
        <f>IF(G841="","",VLOOKUP(G841,プルダウン用リスト!$K$1:$M$16,2,FALSE))</f>
        <v/>
      </c>
      <c r="G841" s="67"/>
      <c r="H841" s="55"/>
      <c r="I841" s="67"/>
      <c r="J841" s="134"/>
      <c r="K841" s="68"/>
      <c r="L841" s="69"/>
      <c r="M841" s="69"/>
      <c r="N841" s="260" t="str">
        <f t="shared" si="80"/>
        <v/>
      </c>
      <c r="O841" s="256">
        <f t="shared" si="82"/>
        <v>0</v>
      </c>
      <c r="P841" s="257" t="str">
        <f t="shared" si="81"/>
        <v>×</v>
      </c>
      <c r="Q841" s="272" t="str">
        <f t="shared" si="83"/>
        <v/>
      </c>
    </row>
    <row r="842" spans="2:17">
      <c r="B842" s="65"/>
      <c r="C842" s="54"/>
      <c r="D842" s="261" t="str">
        <f t="shared" si="79"/>
        <v/>
      </c>
      <c r="E842" s="262" t="str">
        <f t="shared" si="78"/>
        <v/>
      </c>
      <c r="F842" s="125" t="str">
        <f>IF(G842="","",VLOOKUP(G842,プルダウン用リスト!$K$1:$M$16,2,FALSE))</f>
        <v/>
      </c>
      <c r="G842" s="67"/>
      <c r="H842" s="55"/>
      <c r="I842" s="67"/>
      <c r="J842" s="134"/>
      <c r="K842" s="68"/>
      <c r="L842" s="69"/>
      <c r="M842" s="69"/>
      <c r="N842" s="260" t="str">
        <f t="shared" si="80"/>
        <v/>
      </c>
      <c r="O842" s="256">
        <f t="shared" si="82"/>
        <v>0</v>
      </c>
      <c r="P842" s="257" t="str">
        <f t="shared" si="81"/>
        <v>×</v>
      </c>
      <c r="Q842" s="272" t="str">
        <f t="shared" si="83"/>
        <v/>
      </c>
    </row>
    <row r="843" spans="2:17">
      <c r="B843" s="65"/>
      <c r="C843" s="54"/>
      <c r="D843" s="261" t="str">
        <f t="shared" si="79"/>
        <v/>
      </c>
      <c r="E843" s="262" t="str">
        <f t="shared" si="78"/>
        <v/>
      </c>
      <c r="F843" s="125" t="str">
        <f>IF(G843="","",VLOOKUP(G843,プルダウン用リスト!$K$1:$M$16,2,FALSE))</f>
        <v/>
      </c>
      <c r="G843" s="67"/>
      <c r="H843" s="67"/>
      <c r="I843" s="67"/>
      <c r="J843" s="134"/>
      <c r="K843" s="68"/>
      <c r="L843" s="69"/>
      <c r="M843" s="69"/>
      <c r="N843" s="260" t="str">
        <f t="shared" si="80"/>
        <v/>
      </c>
      <c r="O843" s="256">
        <f t="shared" si="82"/>
        <v>0</v>
      </c>
      <c r="P843" s="257" t="str">
        <f t="shared" si="81"/>
        <v>×</v>
      </c>
      <c r="Q843" s="272" t="str">
        <f t="shared" si="83"/>
        <v/>
      </c>
    </row>
    <row r="844" spans="2:17">
      <c r="B844" s="65"/>
      <c r="C844" s="54"/>
      <c r="D844" s="261" t="str">
        <f t="shared" si="79"/>
        <v/>
      </c>
      <c r="E844" s="262" t="str">
        <f t="shared" si="78"/>
        <v/>
      </c>
      <c r="F844" s="125" t="str">
        <f>IF(G844="","",VLOOKUP(G844,プルダウン用リスト!$K$1:$M$16,2,FALSE))</f>
        <v/>
      </c>
      <c r="G844" s="67"/>
      <c r="H844" s="55"/>
      <c r="I844" s="67"/>
      <c r="J844" s="134"/>
      <c r="K844" s="68"/>
      <c r="L844" s="69"/>
      <c r="M844" s="69"/>
      <c r="N844" s="260" t="str">
        <f t="shared" si="80"/>
        <v/>
      </c>
      <c r="O844" s="256">
        <f t="shared" si="82"/>
        <v>0</v>
      </c>
      <c r="P844" s="257" t="str">
        <f t="shared" si="81"/>
        <v>×</v>
      </c>
      <c r="Q844" s="272" t="str">
        <f t="shared" si="83"/>
        <v/>
      </c>
    </row>
    <row r="845" spans="2:17">
      <c r="B845" s="65"/>
      <c r="C845" s="54"/>
      <c r="D845" s="261" t="str">
        <f t="shared" si="79"/>
        <v/>
      </c>
      <c r="E845" s="262" t="str">
        <f t="shared" si="78"/>
        <v/>
      </c>
      <c r="F845" s="125" t="str">
        <f>IF(G845="","",VLOOKUP(G845,プルダウン用リスト!$K$1:$M$16,2,FALSE))</f>
        <v/>
      </c>
      <c r="G845" s="67"/>
      <c r="H845" s="55"/>
      <c r="I845" s="67"/>
      <c r="J845" s="134"/>
      <c r="K845" s="68"/>
      <c r="L845" s="69"/>
      <c r="M845" s="69"/>
      <c r="N845" s="260" t="str">
        <f t="shared" si="80"/>
        <v/>
      </c>
      <c r="O845" s="256">
        <f t="shared" si="82"/>
        <v>0</v>
      </c>
      <c r="P845" s="257" t="str">
        <f t="shared" si="81"/>
        <v>×</v>
      </c>
      <c r="Q845" s="272" t="str">
        <f t="shared" si="83"/>
        <v/>
      </c>
    </row>
    <row r="846" spans="2:17">
      <c r="B846" s="65"/>
      <c r="C846" s="66"/>
      <c r="D846" s="261" t="str">
        <f t="shared" si="79"/>
        <v/>
      </c>
      <c r="E846" s="262" t="str">
        <f t="shared" si="78"/>
        <v/>
      </c>
      <c r="F846" s="125" t="str">
        <f>IF(G846="","",VLOOKUP(G846,プルダウン用リスト!$K$1:$M$16,2,FALSE))</f>
        <v/>
      </c>
      <c r="G846" s="67"/>
      <c r="H846" s="67"/>
      <c r="I846" s="67"/>
      <c r="J846" s="134"/>
      <c r="K846" s="68"/>
      <c r="L846" s="69"/>
      <c r="M846" s="69"/>
      <c r="N846" s="260" t="str">
        <f t="shared" si="80"/>
        <v/>
      </c>
      <c r="O846" s="256">
        <f t="shared" si="82"/>
        <v>0</v>
      </c>
      <c r="P846" s="257" t="str">
        <f t="shared" si="81"/>
        <v>×</v>
      </c>
      <c r="Q846" s="272" t="str">
        <f t="shared" si="83"/>
        <v/>
      </c>
    </row>
    <row r="847" spans="2:17">
      <c r="B847" s="65"/>
      <c r="C847" s="54"/>
      <c r="D847" s="261" t="str">
        <f t="shared" si="79"/>
        <v/>
      </c>
      <c r="E847" s="262" t="str">
        <f t="shared" si="78"/>
        <v/>
      </c>
      <c r="F847" s="125" t="str">
        <f>IF(G847="","",VLOOKUP(G847,プルダウン用リスト!$K$1:$M$16,2,FALSE))</f>
        <v/>
      </c>
      <c r="G847" s="67"/>
      <c r="H847" s="55"/>
      <c r="I847" s="67"/>
      <c r="J847" s="134"/>
      <c r="K847" s="68"/>
      <c r="L847" s="69"/>
      <c r="M847" s="69"/>
      <c r="N847" s="260" t="str">
        <f t="shared" si="80"/>
        <v/>
      </c>
      <c r="O847" s="256">
        <f t="shared" si="82"/>
        <v>0</v>
      </c>
      <c r="P847" s="257" t="str">
        <f t="shared" si="81"/>
        <v>×</v>
      </c>
      <c r="Q847" s="272" t="str">
        <f t="shared" si="83"/>
        <v/>
      </c>
    </row>
    <row r="848" spans="2:17">
      <c r="B848" s="65"/>
      <c r="C848" s="54"/>
      <c r="D848" s="261" t="str">
        <f t="shared" si="79"/>
        <v/>
      </c>
      <c r="E848" s="262" t="str">
        <f t="shared" si="78"/>
        <v/>
      </c>
      <c r="F848" s="125" t="str">
        <f>IF(G848="","",VLOOKUP(G848,プルダウン用リスト!$K$1:$M$16,2,FALSE))</f>
        <v/>
      </c>
      <c r="G848" s="67"/>
      <c r="H848" s="55"/>
      <c r="I848" s="67"/>
      <c r="J848" s="134"/>
      <c r="K848" s="68"/>
      <c r="L848" s="69"/>
      <c r="M848" s="69"/>
      <c r="N848" s="260" t="str">
        <f t="shared" si="80"/>
        <v/>
      </c>
      <c r="O848" s="256">
        <f t="shared" si="82"/>
        <v>0</v>
      </c>
      <c r="P848" s="257" t="str">
        <f t="shared" si="81"/>
        <v>×</v>
      </c>
      <c r="Q848" s="272" t="str">
        <f t="shared" si="83"/>
        <v/>
      </c>
    </row>
    <row r="849" spans="2:17">
      <c r="B849" s="65"/>
      <c r="C849" s="54"/>
      <c r="D849" s="261" t="str">
        <f t="shared" si="79"/>
        <v/>
      </c>
      <c r="E849" s="262" t="str">
        <f t="shared" si="78"/>
        <v/>
      </c>
      <c r="F849" s="125" t="str">
        <f>IF(G849="","",VLOOKUP(G849,プルダウン用リスト!$K$1:$M$16,2,FALSE))</f>
        <v/>
      </c>
      <c r="G849" s="67"/>
      <c r="H849" s="67"/>
      <c r="I849" s="67"/>
      <c r="J849" s="134"/>
      <c r="K849" s="68"/>
      <c r="L849" s="69"/>
      <c r="M849" s="69"/>
      <c r="N849" s="260" t="str">
        <f t="shared" si="80"/>
        <v/>
      </c>
      <c r="O849" s="256">
        <f t="shared" si="82"/>
        <v>0</v>
      </c>
      <c r="P849" s="257" t="str">
        <f t="shared" si="81"/>
        <v>×</v>
      </c>
      <c r="Q849" s="272" t="str">
        <f t="shared" si="83"/>
        <v/>
      </c>
    </row>
    <row r="850" spans="2:17">
      <c r="B850" s="65"/>
      <c r="C850" s="54"/>
      <c r="D850" s="261" t="str">
        <f t="shared" si="79"/>
        <v/>
      </c>
      <c r="E850" s="262" t="str">
        <f t="shared" si="78"/>
        <v/>
      </c>
      <c r="F850" s="125" t="str">
        <f>IF(G850="","",VLOOKUP(G850,プルダウン用リスト!$K$1:$M$16,2,FALSE))</f>
        <v/>
      </c>
      <c r="G850" s="67"/>
      <c r="H850" s="55"/>
      <c r="I850" s="67"/>
      <c r="J850" s="134"/>
      <c r="K850" s="68"/>
      <c r="L850" s="69"/>
      <c r="M850" s="69"/>
      <c r="N850" s="260" t="str">
        <f t="shared" si="80"/>
        <v/>
      </c>
      <c r="O850" s="256">
        <f t="shared" si="82"/>
        <v>0</v>
      </c>
      <c r="P850" s="257" t="str">
        <f t="shared" si="81"/>
        <v>×</v>
      </c>
      <c r="Q850" s="272" t="str">
        <f t="shared" si="83"/>
        <v/>
      </c>
    </row>
    <row r="851" spans="2:17">
      <c r="B851" s="65"/>
      <c r="C851" s="54"/>
      <c r="D851" s="261" t="str">
        <f t="shared" si="79"/>
        <v/>
      </c>
      <c r="E851" s="262" t="str">
        <f t="shared" si="78"/>
        <v/>
      </c>
      <c r="F851" s="125" t="str">
        <f>IF(G851="","",VLOOKUP(G851,プルダウン用リスト!$K$1:$M$16,2,FALSE))</f>
        <v/>
      </c>
      <c r="G851" s="67"/>
      <c r="H851" s="55"/>
      <c r="I851" s="67"/>
      <c r="J851" s="134"/>
      <c r="K851" s="68"/>
      <c r="L851" s="69"/>
      <c r="M851" s="69"/>
      <c r="N851" s="260" t="str">
        <f t="shared" si="80"/>
        <v/>
      </c>
      <c r="O851" s="256">
        <f t="shared" si="82"/>
        <v>0</v>
      </c>
      <c r="P851" s="257" t="str">
        <f t="shared" si="81"/>
        <v>×</v>
      </c>
      <c r="Q851" s="272" t="str">
        <f t="shared" si="83"/>
        <v/>
      </c>
    </row>
    <row r="852" spans="2:17">
      <c r="B852" s="65"/>
      <c r="C852" s="54"/>
      <c r="D852" s="261" t="str">
        <f t="shared" si="79"/>
        <v/>
      </c>
      <c r="E852" s="262" t="str">
        <f t="shared" si="78"/>
        <v/>
      </c>
      <c r="F852" s="125" t="str">
        <f>IF(G852="","",VLOOKUP(G852,プルダウン用リスト!$K$1:$M$16,2,FALSE))</f>
        <v/>
      </c>
      <c r="G852" s="67"/>
      <c r="H852" s="67"/>
      <c r="I852" s="67"/>
      <c r="J852" s="134"/>
      <c r="K852" s="68"/>
      <c r="L852" s="69"/>
      <c r="M852" s="69"/>
      <c r="N852" s="260" t="str">
        <f t="shared" si="80"/>
        <v/>
      </c>
      <c r="O852" s="256">
        <f t="shared" si="82"/>
        <v>0</v>
      </c>
      <c r="P852" s="257" t="str">
        <f t="shared" si="81"/>
        <v>×</v>
      </c>
      <c r="Q852" s="272" t="str">
        <f t="shared" si="83"/>
        <v/>
      </c>
    </row>
    <row r="853" spans="2:17">
      <c r="B853" s="65"/>
      <c r="C853" s="54"/>
      <c r="D853" s="261" t="str">
        <f t="shared" si="79"/>
        <v/>
      </c>
      <c r="E853" s="262" t="str">
        <f t="shared" si="78"/>
        <v/>
      </c>
      <c r="F853" s="125" t="str">
        <f>IF(G853="","",VLOOKUP(G853,プルダウン用リスト!$K$1:$M$16,2,FALSE))</f>
        <v/>
      </c>
      <c r="G853" s="67"/>
      <c r="H853" s="55"/>
      <c r="I853" s="67"/>
      <c r="J853" s="134"/>
      <c r="K853" s="68"/>
      <c r="L853" s="69"/>
      <c r="M853" s="69"/>
      <c r="N853" s="260" t="str">
        <f t="shared" si="80"/>
        <v/>
      </c>
      <c r="O853" s="256">
        <f t="shared" si="82"/>
        <v>0</v>
      </c>
      <c r="P853" s="257" t="str">
        <f t="shared" si="81"/>
        <v>×</v>
      </c>
      <c r="Q853" s="272" t="str">
        <f t="shared" si="83"/>
        <v/>
      </c>
    </row>
    <row r="854" spans="2:17">
      <c r="B854" s="65"/>
      <c r="C854" s="54"/>
      <c r="D854" s="261" t="str">
        <f t="shared" si="79"/>
        <v/>
      </c>
      <c r="E854" s="262" t="str">
        <f t="shared" si="78"/>
        <v/>
      </c>
      <c r="F854" s="125" t="str">
        <f>IF(G854="","",VLOOKUP(G854,プルダウン用リスト!$K$1:$M$16,2,FALSE))</f>
        <v/>
      </c>
      <c r="G854" s="67"/>
      <c r="H854" s="55"/>
      <c r="I854" s="67"/>
      <c r="J854" s="134"/>
      <c r="K854" s="68"/>
      <c r="L854" s="69"/>
      <c r="M854" s="69"/>
      <c r="N854" s="260" t="str">
        <f t="shared" si="80"/>
        <v/>
      </c>
      <c r="O854" s="256">
        <f t="shared" si="82"/>
        <v>0</v>
      </c>
      <c r="P854" s="257" t="str">
        <f t="shared" si="81"/>
        <v>×</v>
      </c>
      <c r="Q854" s="272" t="str">
        <f t="shared" si="83"/>
        <v/>
      </c>
    </row>
    <row r="855" spans="2:17">
      <c r="B855" s="65"/>
      <c r="C855" s="54"/>
      <c r="D855" s="261" t="str">
        <f t="shared" si="79"/>
        <v/>
      </c>
      <c r="E855" s="262" t="str">
        <f t="shared" ref="E855:E918" si="84">IF(G855="","",IF(OR(G855="1.謝金（内部）",G855="1.謝金（外部）"),"謝金",IF(G855="2.旅費","旅費",IF(G855="16.対象外経費","その他","所費"))))</f>
        <v/>
      </c>
      <c r="F855" s="125" t="str">
        <f>IF(G855="","",VLOOKUP(G855,プルダウン用リスト!$K$1:$M$16,2,FALSE))</f>
        <v/>
      </c>
      <c r="G855" s="67"/>
      <c r="H855" s="67"/>
      <c r="I855" s="67"/>
      <c r="J855" s="134"/>
      <c r="K855" s="68"/>
      <c r="L855" s="69"/>
      <c r="M855" s="69"/>
      <c r="N855" s="260" t="str">
        <f t="shared" si="80"/>
        <v/>
      </c>
      <c r="O855" s="256">
        <f t="shared" si="82"/>
        <v>0</v>
      </c>
      <c r="P855" s="257" t="str">
        <f t="shared" si="81"/>
        <v>×</v>
      </c>
      <c r="Q855" s="272" t="str">
        <f t="shared" si="83"/>
        <v/>
      </c>
    </row>
    <row r="856" spans="2:17">
      <c r="B856" s="65"/>
      <c r="C856" s="54"/>
      <c r="D856" s="261" t="str">
        <f t="shared" si="79"/>
        <v/>
      </c>
      <c r="E856" s="262" t="str">
        <f t="shared" si="84"/>
        <v/>
      </c>
      <c r="F856" s="125" t="str">
        <f>IF(G856="","",VLOOKUP(G856,プルダウン用リスト!$K$1:$M$16,2,FALSE))</f>
        <v/>
      </c>
      <c r="G856" s="67"/>
      <c r="H856" s="55"/>
      <c r="I856" s="67"/>
      <c r="J856" s="134"/>
      <c r="K856" s="68"/>
      <c r="L856" s="69"/>
      <c r="M856" s="69"/>
      <c r="N856" s="260" t="str">
        <f t="shared" si="80"/>
        <v/>
      </c>
      <c r="O856" s="256">
        <f t="shared" si="82"/>
        <v>0</v>
      </c>
      <c r="P856" s="257" t="str">
        <f t="shared" si="81"/>
        <v>×</v>
      </c>
      <c r="Q856" s="272" t="str">
        <f t="shared" si="83"/>
        <v/>
      </c>
    </row>
    <row r="857" spans="2:17">
      <c r="B857" s="65"/>
      <c r="C857" s="54"/>
      <c r="D857" s="261" t="str">
        <f t="shared" si="79"/>
        <v/>
      </c>
      <c r="E857" s="262" t="str">
        <f t="shared" si="84"/>
        <v/>
      </c>
      <c r="F857" s="125" t="str">
        <f>IF(G857="","",VLOOKUP(G857,プルダウン用リスト!$K$1:$M$16,2,FALSE))</f>
        <v/>
      </c>
      <c r="G857" s="67"/>
      <c r="H857" s="55"/>
      <c r="I857" s="67"/>
      <c r="J857" s="134"/>
      <c r="K857" s="68"/>
      <c r="L857" s="69"/>
      <c r="M857" s="69"/>
      <c r="N857" s="260" t="str">
        <f t="shared" si="80"/>
        <v/>
      </c>
      <c r="O857" s="256">
        <f t="shared" si="82"/>
        <v>0</v>
      </c>
      <c r="P857" s="257" t="str">
        <f t="shared" si="81"/>
        <v>×</v>
      </c>
      <c r="Q857" s="272" t="str">
        <f t="shared" si="83"/>
        <v/>
      </c>
    </row>
    <row r="858" spans="2:17">
      <c r="B858" s="65"/>
      <c r="C858" s="66"/>
      <c r="D858" s="261" t="str">
        <f t="shared" si="79"/>
        <v/>
      </c>
      <c r="E858" s="262" t="str">
        <f t="shared" si="84"/>
        <v/>
      </c>
      <c r="F858" s="125" t="str">
        <f>IF(G858="","",VLOOKUP(G858,プルダウン用リスト!$K$1:$M$16,2,FALSE))</f>
        <v/>
      </c>
      <c r="G858" s="67"/>
      <c r="H858" s="67"/>
      <c r="I858" s="67"/>
      <c r="J858" s="134"/>
      <c r="K858" s="68"/>
      <c r="L858" s="69"/>
      <c r="M858" s="69"/>
      <c r="N858" s="260" t="str">
        <f t="shared" si="80"/>
        <v/>
      </c>
      <c r="O858" s="256">
        <f t="shared" si="82"/>
        <v>0</v>
      </c>
      <c r="P858" s="257" t="str">
        <f t="shared" si="81"/>
        <v>×</v>
      </c>
      <c r="Q858" s="272" t="str">
        <f t="shared" si="83"/>
        <v/>
      </c>
    </row>
    <row r="859" spans="2:17">
      <c r="B859" s="65"/>
      <c r="C859" s="54"/>
      <c r="D859" s="261" t="str">
        <f t="shared" si="79"/>
        <v/>
      </c>
      <c r="E859" s="262" t="str">
        <f t="shared" si="84"/>
        <v/>
      </c>
      <c r="F859" s="125" t="str">
        <f>IF(G859="","",VLOOKUP(G859,プルダウン用リスト!$K$1:$M$16,2,FALSE))</f>
        <v/>
      </c>
      <c r="G859" s="67"/>
      <c r="H859" s="55"/>
      <c r="I859" s="67"/>
      <c r="J859" s="134"/>
      <c r="K859" s="68"/>
      <c r="L859" s="69"/>
      <c r="M859" s="69"/>
      <c r="N859" s="260" t="str">
        <f t="shared" si="80"/>
        <v/>
      </c>
      <c r="O859" s="256">
        <f t="shared" si="82"/>
        <v>0</v>
      </c>
      <c r="P859" s="257" t="str">
        <f t="shared" si="81"/>
        <v>×</v>
      </c>
      <c r="Q859" s="272" t="str">
        <f t="shared" si="83"/>
        <v/>
      </c>
    </row>
    <row r="860" spans="2:17">
      <c r="B860" s="65"/>
      <c r="C860" s="54"/>
      <c r="D860" s="261" t="str">
        <f t="shared" si="79"/>
        <v/>
      </c>
      <c r="E860" s="262" t="str">
        <f t="shared" si="84"/>
        <v/>
      </c>
      <c r="F860" s="125" t="str">
        <f>IF(G860="","",VLOOKUP(G860,プルダウン用リスト!$K$1:$M$16,2,FALSE))</f>
        <v/>
      </c>
      <c r="G860" s="67"/>
      <c r="H860" s="55"/>
      <c r="I860" s="67"/>
      <c r="J860" s="134"/>
      <c r="K860" s="68"/>
      <c r="L860" s="69"/>
      <c r="M860" s="69"/>
      <c r="N860" s="260" t="str">
        <f t="shared" si="80"/>
        <v/>
      </c>
      <c r="O860" s="256">
        <f t="shared" si="82"/>
        <v>0</v>
      </c>
      <c r="P860" s="257" t="str">
        <f t="shared" si="81"/>
        <v>×</v>
      </c>
      <c r="Q860" s="272" t="str">
        <f t="shared" si="83"/>
        <v/>
      </c>
    </row>
    <row r="861" spans="2:17">
      <c r="B861" s="65"/>
      <c r="C861" s="54"/>
      <c r="D861" s="261" t="str">
        <f t="shared" si="79"/>
        <v/>
      </c>
      <c r="E861" s="262" t="str">
        <f t="shared" si="84"/>
        <v/>
      </c>
      <c r="F861" s="125" t="str">
        <f>IF(G861="","",VLOOKUP(G861,プルダウン用リスト!$K$1:$M$16,2,FALSE))</f>
        <v/>
      </c>
      <c r="G861" s="67"/>
      <c r="H861" s="67"/>
      <c r="I861" s="67"/>
      <c r="J861" s="134"/>
      <c r="K861" s="68"/>
      <c r="L861" s="69"/>
      <c r="M861" s="69"/>
      <c r="N861" s="260" t="str">
        <f t="shared" si="80"/>
        <v/>
      </c>
      <c r="O861" s="256">
        <f t="shared" si="82"/>
        <v>0</v>
      </c>
      <c r="P861" s="257" t="str">
        <f t="shared" si="81"/>
        <v>×</v>
      </c>
      <c r="Q861" s="272" t="str">
        <f t="shared" si="83"/>
        <v/>
      </c>
    </row>
    <row r="862" spans="2:17">
      <c r="B862" s="65"/>
      <c r="C862" s="54"/>
      <c r="D862" s="261" t="str">
        <f t="shared" si="79"/>
        <v/>
      </c>
      <c r="E862" s="262" t="str">
        <f t="shared" si="84"/>
        <v/>
      </c>
      <c r="F862" s="125" t="str">
        <f>IF(G862="","",VLOOKUP(G862,プルダウン用リスト!$K$1:$M$16,2,FALSE))</f>
        <v/>
      </c>
      <c r="G862" s="67"/>
      <c r="H862" s="55"/>
      <c r="I862" s="67"/>
      <c r="J862" s="134"/>
      <c r="K862" s="68"/>
      <c r="L862" s="69"/>
      <c r="M862" s="69"/>
      <c r="N862" s="260" t="str">
        <f t="shared" si="80"/>
        <v/>
      </c>
      <c r="O862" s="256">
        <f t="shared" si="82"/>
        <v>0</v>
      </c>
      <c r="P862" s="257" t="str">
        <f t="shared" si="81"/>
        <v>×</v>
      </c>
      <c r="Q862" s="272" t="str">
        <f t="shared" si="83"/>
        <v/>
      </c>
    </row>
    <row r="863" spans="2:17">
      <c r="B863" s="65"/>
      <c r="C863" s="54"/>
      <c r="D863" s="261" t="str">
        <f t="shared" si="79"/>
        <v/>
      </c>
      <c r="E863" s="262" t="str">
        <f t="shared" si="84"/>
        <v/>
      </c>
      <c r="F863" s="125" t="str">
        <f>IF(G863="","",VLOOKUP(G863,プルダウン用リスト!$K$1:$M$16,2,FALSE))</f>
        <v/>
      </c>
      <c r="G863" s="67"/>
      <c r="H863" s="55"/>
      <c r="I863" s="67"/>
      <c r="J863" s="134"/>
      <c r="K863" s="68"/>
      <c r="L863" s="69"/>
      <c r="M863" s="69"/>
      <c r="N863" s="260" t="str">
        <f t="shared" si="80"/>
        <v/>
      </c>
      <c r="O863" s="256">
        <f t="shared" si="82"/>
        <v>0</v>
      </c>
      <c r="P863" s="257" t="str">
        <f t="shared" si="81"/>
        <v>×</v>
      </c>
      <c r="Q863" s="272" t="str">
        <f t="shared" si="83"/>
        <v/>
      </c>
    </row>
    <row r="864" spans="2:17">
      <c r="B864" s="65"/>
      <c r="C864" s="54"/>
      <c r="D864" s="261" t="str">
        <f t="shared" si="79"/>
        <v/>
      </c>
      <c r="E864" s="262" t="str">
        <f t="shared" si="84"/>
        <v/>
      </c>
      <c r="F864" s="125" t="str">
        <f>IF(G864="","",VLOOKUP(G864,プルダウン用リスト!$K$1:$M$16,2,FALSE))</f>
        <v/>
      </c>
      <c r="G864" s="67"/>
      <c r="H864" s="67"/>
      <c r="I864" s="67"/>
      <c r="J864" s="134"/>
      <c r="K864" s="68"/>
      <c r="L864" s="69"/>
      <c r="M864" s="69"/>
      <c r="N864" s="260" t="str">
        <f t="shared" si="80"/>
        <v/>
      </c>
      <c r="O864" s="256">
        <f t="shared" si="82"/>
        <v>0</v>
      </c>
      <c r="P864" s="257" t="str">
        <f t="shared" si="81"/>
        <v>×</v>
      </c>
      <c r="Q864" s="272" t="str">
        <f t="shared" si="83"/>
        <v/>
      </c>
    </row>
    <row r="865" spans="2:17">
      <c r="B865" s="65"/>
      <c r="C865" s="54"/>
      <c r="D865" s="261" t="str">
        <f t="shared" si="79"/>
        <v/>
      </c>
      <c r="E865" s="262" t="str">
        <f t="shared" si="84"/>
        <v/>
      </c>
      <c r="F865" s="125" t="str">
        <f>IF(G865="","",VLOOKUP(G865,プルダウン用リスト!$K$1:$M$16,2,FALSE))</f>
        <v/>
      </c>
      <c r="G865" s="67"/>
      <c r="H865" s="55"/>
      <c r="I865" s="67"/>
      <c r="J865" s="134"/>
      <c r="K865" s="68"/>
      <c r="L865" s="69"/>
      <c r="M865" s="69"/>
      <c r="N865" s="260" t="str">
        <f t="shared" si="80"/>
        <v/>
      </c>
      <c r="O865" s="256">
        <f t="shared" si="82"/>
        <v>0</v>
      </c>
      <c r="P865" s="257" t="str">
        <f t="shared" si="81"/>
        <v>×</v>
      </c>
      <c r="Q865" s="272" t="str">
        <f t="shared" si="83"/>
        <v/>
      </c>
    </row>
    <row r="866" spans="2:17">
      <c r="B866" s="65"/>
      <c r="C866" s="54"/>
      <c r="D866" s="261" t="str">
        <f t="shared" si="79"/>
        <v/>
      </c>
      <c r="E866" s="262" t="str">
        <f t="shared" si="84"/>
        <v/>
      </c>
      <c r="F866" s="125" t="str">
        <f>IF(G866="","",VLOOKUP(G866,プルダウン用リスト!$K$1:$M$16,2,FALSE))</f>
        <v/>
      </c>
      <c r="G866" s="67"/>
      <c r="H866" s="55"/>
      <c r="I866" s="67"/>
      <c r="J866" s="134"/>
      <c r="K866" s="68"/>
      <c r="L866" s="69"/>
      <c r="M866" s="69"/>
      <c r="N866" s="260" t="str">
        <f t="shared" si="80"/>
        <v/>
      </c>
      <c r="O866" s="256">
        <f t="shared" si="82"/>
        <v>0</v>
      </c>
      <c r="P866" s="257" t="str">
        <f t="shared" si="81"/>
        <v>×</v>
      </c>
      <c r="Q866" s="272" t="str">
        <f t="shared" si="83"/>
        <v/>
      </c>
    </row>
    <row r="867" spans="2:17">
      <c r="B867" s="65"/>
      <c r="C867" s="54"/>
      <c r="D867" s="261" t="str">
        <f t="shared" si="79"/>
        <v/>
      </c>
      <c r="E867" s="262" t="str">
        <f t="shared" si="84"/>
        <v/>
      </c>
      <c r="F867" s="125" t="str">
        <f>IF(G867="","",VLOOKUP(G867,プルダウン用リスト!$K$1:$M$16,2,FALSE))</f>
        <v/>
      </c>
      <c r="G867" s="67"/>
      <c r="H867" s="67"/>
      <c r="I867" s="67"/>
      <c r="J867" s="134"/>
      <c r="K867" s="68"/>
      <c r="L867" s="69"/>
      <c r="M867" s="69"/>
      <c r="N867" s="260" t="str">
        <f t="shared" si="80"/>
        <v/>
      </c>
      <c r="O867" s="256">
        <f t="shared" si="82"/>
        <v>0</v>
      </c>
      <c r="P867" s="257" t="str">
        <f t="shared" si="81"/>
        <v>×</v>
      </c>
      <c r="Q867" s="272" t="str">
        <f t="shared" si="83"/>
        <v/>
      </c>
    </row>
    <row r="868" spans="2:17">
      <c r="B868" s="65"/>
      <c r="C868" s="54"/>
      <c r="D868" s="261" t="str">
        <f t="shared" si="79"/>
        <v/>
      </c>
      <c r="E868" s="262" t="str">
        <f t="shared" si="84"/>
        <v/>
      </c>
      <c r="F868" s="125" t="str">
        <f>IF(G868="","",VLOOKUP(G868,プルダウン用リスト!$K$1:$M$16,2,FALSE))</f>
        <v/>
      </c>
      <c r="G868" s="67"/>
      <c r="H868" s="55"/>
      <c r="I868" s="67"/>
      <c r="J868" s="134"/>
      <c r="K868" s="68"/>
      <c r="L868" s="69"/>
      <c r="M868" s="69"/>
      <c r="N868" s="260" t="str">
        <f t="shared" si="80"/>
        <v/>
      </c>
      <c r="O868" s="256">
        <f t="shared" si="82"/>
        <v>0</v>
      </c>
      <c r="P868" s="257" t="str">
        <f t="shared" si="81"/>
        <v>×</v>
      </c>
      <c r="Q868" s="272" t="str">
        <f t="shared" si="83"/>
        <v/>
      </c>
    </row>
    <row r="869" spans="2:17">
      <c r="B869" s="65"/>
      <c r="C869" s="54"/>
      <c r="D869" s="261" t="str">
        <f t="shared" si="79"/>
        <v/>
      </c>
      <c r="E869" s="262" t="str">
        <f t="shared" si="84"/>
        <v/>
      </c>
      <c r="F869" s="125" t="str">
        <f>IF(G869="","",VLOOKUP(G869,プルダウン用リスト!$K$1:$M$16,2,FALSE))</f>
        <v/>
      </c>
      <c r="G869" s="67"/>
      <c r="H869" s="55"/>
      <c r="I869" s="67"/>
      <c r="J869" s="134"/>
      <c r="K869" s="68"/>
      <c r="L869" s="69"/>
      <c r="M869" s="69"/>
      <c r="N869" s="260" t="str">
        <f t="shared" si="80"/>
        <v/>
      </c>
      <c r="O869" s="256">
        <f t="shared" si="82"/>
        <v>0</v>
      </c>
      <c r="P869" s="257" t="str">
        <f t="shared" si="81"/>
        <v>×</v>
      </c>
      <c r="Q869" s="272" t="str">
        <f t="shared" si="83"/>
        <v/>
      </c>
    </row>
    <row r="870" spans="2:17">
      <c r="B870" s="65"/>
      <c r="C870" s="66"/>
      <c r="D870" s="261" t="str">
        <f t="shared" si="79"/>
        <v/>
      </c>
      <c r="E870" s="262" t="str">
        <f t="shared" si="84"/>
        <v/>
      </c>
      <c r="F870" s="125" t="str">
        <f>IF(G870="","",VLOOKUP(G870,プルダウン用リスト!$K$1:$M$16,2,FALSE))</f>
        <v/>
      </c>
      <c r="G870" s="67"/>
      <c r="H870" s="67"/>
      <c r="I870" s="67"/>
      <c r="J870" s="134"/>
      <c r="K870" s="68"/>
      <c r="L870" s="69"/>
      <c r="M870" s="69"/>
      <c r="N870" s="260" t="str">
        <f t="shared" si="80"/>
        <v/>
      </c>
      <c r="O870" s="256">
        <f t="shared" si="82"/>
        <v>0</v>
      </c>
      <c r="P870" s="257" t="str">
        <f t="shared" si="81"/>
        <v>×</v>
      </c>
      <c r="Q870" s="272" t="str">
        <f t="shared" si="83"/>
        <v/>
      </c>
    </row>
    <row r="871" spans="2:17">
      <c r="B871" s="65"/>
      <c r="C871" s="54"/>
      <c r="D871" s="261" t="str">
        <f t="shared" si="79"/>
        <v/>
      </c>
      <c r="E871" s="262" t="str">
        <f t="shared" si="84"/>
        <v/>
      </c>
      <c r="F871" s="125" t="str">
        <f>IF(G871="","",VLOOKUP(G871,プルダウン用リスト!$K$1:$M$16,2,FALSE))</f>
        <v/>
      </c>
      <c r="G871" s="67"/>
      <c r="H871" s="55"/>
      <c r="I871" s="67"/>
      <c r="J871" s="134"/>
      <c r="K871" s="68"/>
      <c r="L871" s="69"/>
      <c r="M871" s="69"/>
      <c r="N871" s="260" t="str">
        <f t="shared" si="80"/>
        <v/>
      </c>
      <c r="O871" s="256">
        <f t="shared" si="82"/>
        <v>0</v>
      </c>
      <c r="P871" s="257" t="str">
        <f t="shared" si="81"/>
        <v>×</v>
      </c>
      <c r="Q871" s="272" t="str">
        <f t="shared" si="83"/>
        <v/>
      </c>
    </row>
    <row r="872" spans="2:17">
      <c r="B872" s="65"/>
      <c r="C872" s="54"/>
      <c r="D872" s="261" t="str">
        <f t="shared" si="79"/>
        <v/>
      </c>
      <c r="E872" s="262" t="str">
        <f t="shared" si="84"/>
        <v/>
      </c>
      <c r="F872" s="125" t="str">
        <f>IF(G872="","",VLOOKUP(G872,プルダウン用リスト!$K$1:$M$16,2,FALSE))</f>
        <v/>
      </c>
      <c r="G872" s="67"/>
      <c r="H872" s="55"/>
      <c r="I872" s="67"/>
      <c r="J872" s="134"/>
      <c r="K872" s="68"/>
      <c r="L872" s="69"/>
      <c r="M872" s="69"/>
      <c r="N872" s="260" t="str">
        <f t="shared" si="80"/>
        <v/>
      </c>
      <c r="O872" s="256">
        <f t="shared" si="82"/>
        <v>0</v>
      </c>
      <c r="P872" s="257" t="str">
        <f t="shared" si="81"/>
        <v>×</v>
      </c>
      <c r="Q872" s="272" t="str">
        <f t="shared" si="83"/>
        <v/>
      </c>
    </row>
    <row r="873" spans="2:17">
      <c r="B873" s="65"/>
      <c r="C873" s="54"/>
      <c r="D873" s="261" t="str">
        <f t="shared" si="79"/>
        <v/>
      </c>
      <c r="E873" s="262" t="str">
        <f t="shared" si="84"/>
        <v/>
      </c>
      <c r="F873" s="125" t="str">
        <f>IF(G873="","",VLOOKUP(G873,プルダウン用リスト!$K$1:$M$16,2,FALSE))</f>
        <v/>
      </c>
      <c r="G873" s="67"/>
      <c r="H873" s="67"/>
      <c r="I873" s="67"/>
      <c r="J873" s="134"/>
      <c r="K873" s="68"/>
      <c r="L873" s="69"/>
      <c r="M873" s="69"/>
      <c r="N873" s="260" t="str">
        <f t="shared" si="80"/>
        <v/>
      </c>
      <c r="O873" s="256">
        <f t="shared" si="82"/>
        <v>0</v>
      </c>
      <c r="P873" s="257" t="str">
        <f t="shared" si="81"/>
        <v>×</v>
      </c>
      <c r="Q873" s="272" t="str">
        <f t="shared" si="83"/>
        <v/>
      </c>
    </row>
    <row r="874" spans="2:17">
      <c r="B874" s="65"/>
      <c r="C874" s="54"/>
      <c r="D874" s="261" t="str">
        <f t="shared" si="79"/>
        <v/>
      </c>
      <c r="E874" s="262" t="str">
        <f t="shared" si="84"/>
        <v/>
      </c>
      <c r="F874" s="125" t="str">
        <f>IF(G874="","",VLOOKUP(G874,プルダウン用リスト!$K$1:$M$16,2,FALSE))</f>
        <v/>
      </c>
      <c r="G874" s="67"/>
      <c r="H874" s="55"/>
      <c r="I874" s="67"/>
      <c r="J874" s="134"/>
      <c r="K874" s="68"/>
      <c r="L874" s="69"/>
      <c r="M874" s="69"/>
      <c r="N874" s="260" t="str">
        <f t="shared" si="80"/>
        <v/>
      </c>
      <c r="O874" s="256">
        <f t="shared" si="82"/>
        <v>0</v>
      </c>
      <c r="P874" s="257" t="str">
        <f t="shared" si="81"/>
        <v>×</v>
      </c>
      <c r="Q874" s="272" t="str">
        <f t="shared" si="83"/>
        <v/>
      </c>
    </row>
    <row r="875" spans="2:17">
      <c r="B875" s="65"/>
      <c r="C875" s="54"/>
      <c r="D875" s="261" t="str">
        <f t="shared" si="79"/>
        <v/>
      </c>
      <c r="E875" s="262" t="str">
        <f t="shared" si="84"/>
        <v/>
      </c>
      <c r="F875" s="125" t="str">
        <f>IF(G875="","",VLOOKUP(G875,プルダウン用リスト!$K$1:$M$16,2,FALSE))</f>
        <v/>
      </c>
      <c r="G875" s="67"/>
      <c r="H875" s="55"/>
      <c r="I875" s="67"/>
      <c r="J875" s="134"/>
      <c r="K875" s="68"/>
      <c r="L875" s="69"/>
      <c r="M875" s="69"/>
      <c r="N875" s="260" t="str">
        <f t="shared" si="80"/>
        <v/>
      </c>
      <c r="O875" s="256">
        <f t="shared" si="82"/>
        <v>0</v>
      </c>
      <c r="P875" s="257" t="str">
        <f t="shared" si="81"/>
        <v>×</v>
      </c>
      <c r="Q875" s="272" t="str">
        <f t="shared" si="83"/>
        <v/>
      </c>
    </row>
    <row r="876" spans="2:17">
      <c r="B876" s="65"/>
      <c r="C876" s="54"/>
      <c r="D876" s="261" t="str">
        <f t="shared" si="79"/>
        <v/>
      </c>
      <c r="E876" s="262" t="str">
        <f t="shared" si="84"/>
        <v/>
      </c>
      <c r="F876" s="125" t="str">
        <f>IF(G876="","",VLOOKUP(G876,プルダウン用リスト!$K$1:$M$16,2,FALSE))</f>
        <v/>
      </c>
      <c r="G876" s="67"/>
      <c r="H876" s="67"/>
      <c r="I876" s="67"/>
      <c r="J876" s="134"/>
      <c r="K876" s="68"/>
      <c r="L876" s="69"/>
      <c r="M876" s="69"/>
      <c r="N876" s="260" t="str">
        <f t="shared" si="80"/>
        <v/>
      </c>
      <c r="O876" s="256">
        <f t="shared" si="82"/>
        <v>0</v>
      </c>
      <c r="P876" s="257" t="str">
        <f t="shared" si="81"/>
        <v>×</v>
      </c>
      <c r="Q876" s="272" t="str">
        <f t="shared" si="83"/>
        <v/>
      </c>
    </row>
    <row r="877" spans="2:17">
      <c r="B877" s="65"/>
      <c r="C877" s="54"/>
      <c r="D877" s="261" t="str">
        <f t="shared" si="79"/>
        <v/>
      </c>
      <c r="E877" s="262" t="str">
        <f t="shared" si="84"/>
        <v/>
      </c>
      <c r="F877" s="125" t="str">
        <f>IF(G877="","",VLOOKUP(G877,プルダウン用リスト!$K$1:$M$16,2,FALSE))</f>
        <v/>
      </c>
      <c r="G877" s="67"/>
      <c r="H877" s="55"/>
      <c r="I877" s="67"/>
      <c r="J877" s="134"/>
      <c r="K877" s="68"/>
      <c r="L877" s="69"/>
      <c r="M877" s="69"/>
      <c r="N877" s="260" t="str">
        <f t="shared" si="80"/>
        <v/>
      </c>
      <c r="O877" s="256">
        <f t="shared" si="82"/>
        <v>0</v>
      </c>
      <c r="P877" s="257" t="str">
        <f t="shared" si="81"/>
        <v>×</v>
      </c>
      <c r="Q877" s="272" t="str">
        <f t="shared" si="83"/>
        <v/>
      </c>
    </row>
    <row r="878" spans="2:17">
      <c r="B878" s="65"/>
      <c r="C878" s="54"/>
      <c r="D878" s="261" t="str">
        <f t="shared" si="79"/>
        <v/>
      </c>
      <c r="E878" s="262" t="str">
        <f t="shared" si="84"/>
        <v/>
      </c>
      <c r="F878" s="125" t="str">
        <f>IF(G878="","",VLOOKUP(G878,プルダウン用リスト!$K$1:$M$16,2,FALSE))</f>
        <v/>
      </c>
      <c r="G878" s="67"/>
      <c r="H878" s="55"/>
      <c r="I878" s="67"/>
      <c r="J878" s="134"/>
      <c r="K878" s="68"/>
      <c r="L878" s="69"/>
      <c r="M878" s="69"/>
      <c r="N878" s="260" t="str">
        <f t="shared" si="80"/>
        <v/>
      </c>
      <c r="O878" s="256">
        <f t="shared" si="82"/>
        <v>0</v>
      </c>
      <c r="P878" s="257" t="str">
        <f t="shared" si="81"/>
        <v>×</v>
      </c>
      <c r="Q878" s="272" t="str">
        <f t="shared" si="83"/>
        <v/>
      </c>
    </row>
    <row r="879" spans="2:17">
      <c r="B879" s="65"/>
      <c r="C879" s="54"/>
      <c r="D879" s="261" t="str">
        <f t="shared" si="79"/>
        <v/>
      </c>
      <c r="E879" s="262" t="str">
        <f t="shared" si="84"/>
        <v/>
      </c>
      <c r="F879" s="125" t="str">
        <f>IF(G879="","",VLOOKUP(G879,プルダウン用リスト!$K$1:$M$16,2,FALSE))</f>
        <v/>
      </c>
      <c r="G879" s="67"/>
      <c r="H879" s="67"/>
      <c r="I879" s="67"/>
      <c r="J879" s="134"/>
      <c r="K879" s="68"/>
      <c r="L879" s="69"/>
      <c r="M879" s="69"/>
      <c r="N879" s="260" t="str">
        <f t="shared" si="80"/>
        <v/>
      </c>
      <c r="O879" s="256">
        <f t="shared" si="82"/>
        <v>0</v>
      </c>
      <c r="P879" s="257" t="str">
        <f t="shared" si="81"/>
        <v>×</v>
      </c>
      <c r="Q879" s="272" t="str">
        <f t="shared" si="83"/>
        <v/>
      </c>
    </row>
    <row r="880" spans="2:17">
      <c r="B880" s="65"/>
      <c r="C880" s="54"/>
      <c r="D880" s="261" t="str">
        <f t="shared" si="79"/>
        <v/>
      </c>
      <c r="E880" s="262" t="str">
        <f t="shared" si="84"/>
        <v/>
      </c>
      <c r="F880" s="125" t="str">
        <f>IF(G880="","",VLOOKUP(G880,プルダウン用リスト!$K$1:$M$16,2,FALSE))</f>
        <v/>
      </c>
      <c r="G880" s="67"/>
      <c r="H880" s="55"/>
      <c r="I880" s="67"/>
      <c r="J880" s="134"/>
      <c r="K880" s="68"/>
      <c r="L880" s="69"/>
      <c r="M880" s="69"/>
      <c r="N880" s="260" t="str">
        <f t="shared" si="80"/>
        <v/>
      </c>
      <c r="O880" s="256">
        <f t="shared" si="82"/>
        <v>0</v>
      </c>
      <c r="P880" s="257" t="str">
        <f t="shared" si="81"/>
        <v>×</v>
      </c>
      <c r="Q880" s="272" t="str">
        <f t="shared" si="83"/>
        <v/>
      </c>
    </row>
    <row r="881" spans="2:17">
      <c r="B881" s="65"/>
      <c r="C881" s="54"/>
      <c r="D881" s="261" t="str">
        <f t="shared" si="79"/>
        <v/>
      </c>
      <c r="E881" s="262" t="str">
        <f t="shared" si="84"/>
        <v/>
      </c>
      <c r="F881" s="125" t="str">
        <f>IF(G881="","",VLOOKUP(G881,プルダウン用リスト!$K$1:$M$16,2,FALSE))</f>
        <v/>
      </c>
      <c r="G881" s="67"/>
      <c r="H881" s="55"/>
      <c r="I881" s="67"/>
      <c r="J881" s="134"/>
      <c r="K881" s="68"/>
      <c r="L881" s="69"/>
      <c r="M881" s="69"/>
      <c r="N881" s="260" t="str">
        <f t="shared" si="80"/>
        <v/>
      </c>
      <c r="O881" s="256">
        <f t="shared" si="82"/>
        <v>0</v>
      </c>
      <c r="P881" s="257" t="str">
        <f t="shared" si="81"/>
        <v>×</v>
      </c>
      <c r="Q881" s="272" t="str">
        <f t="shared" si="83"/>
        <v/>
      </c>
    </row>
    <row r="882" spans="2:17">
      <c r="B882" s="65"/>
      <c r="C882" s="66"/>
      <c r="D882" s="261" t="str">
        <f t="shared" si="79"/>
        <v/>
      </c>
      <c r="E882" s="262" t="str">
        <f t="shared" si="84"/>
        <v/>
      </c>
      <c r="F882" s="125" t="str">
        <f>IF(G882="","",VLOOKUP(G882,プルダウン用リスト!$K$1:$M$16,2,FALSE))</f>
        <v/>
      </c>
      <c r="G882" s="67"/>
      <c r="H882" s="67"/>
      <c r="I882" s="67"/>
      <c r="J882" s="134"/>
      <c r="K882" s="68"/>
      <c r="L882" s="69"/>
      <c r="M882" s="69"/>
      <c r="N882" s="260" t="str">
        <f t="shared" si="80"/>
        <v/>
      </c>
      <c r="O882" s="256">
        <f t="shared" si="82"/>
        <v>0</v>
      </c>
      <c r="P882" s="257" t="str">
        <f t="shared" si="81"/>
        <v>×</v>
      </c>
      <c r="Q882" s="272" t="str">
        <f t="shared" si="83"/>
        <v/>
      </c>
    </row>
    <row r="883" spans="2:17">
      <c r="B883" s="65"/>
      <c r="C883" s="54"/>
      <c r="D883" s="261" t="str">
        <f t="shared" si="79"/>
        <v/>
      </c>
      <c r="E883" s="262" t="str">
        <f t="shared" si="84"/>
        <v/>
      </c>
      <c r="F883" s="125" t="str">
        <f>IF(G883="","",VLOOKUP(G883,プルダウン用リスト!$K$1:$M$16,2,FALSE))</f>
        <v/>
      </c>
      <c r="G883" s="67"/>
      <c r="H883" s="55"/>
      <c r="I883" s="67"/>
      <c r="J883" s="134"/>
      <c r="K883" s="68"/>
      <c r="L883" s="69"/>
      <c r="M883" s="69"/>
      <c r="N883" s="260" t="str">
        <f t="shared" si="80"/>
        <v/>
      </c>
      <c r="O883" s="256">
        <f t="shared" si="82"/>
        <v>0</v>
      </c>
      <c r="P883" s="257" t="str">
        <f t="shared" si="81"/>
        <v>×</v>
      </c>
      <c r="Q883" s="272" t="str">
        <f t="shared" si="83"/>
        <v/>
      </c>
    </row>
    <row r="884" spans="2:17">
      <c r="B884" s="65"/>
      <c r="C884" s="54"/>
      <c r="D884" s="261" t="str">
        <f t="shared" si="79"/>
        <v/>
      </c>
      <c r="E884" s="262" t="str">
        <f t="shared" si="84"/>
        <v/>
      </c>
      <c r="F884" s="125" t="str">
        <f>IF(G884="","",VLOOKUP(G884,プルダウン用リスト!$K$1:$M$16,2,FALSE))</f>
        <v/>
      </c>
      <c r="G884" s="67"/>
      <c r="H884" s="55"/>
      <c r="I884" s="67"/>
      <c r="J884" s="134"/>
      <c r="K884" s="68"/>
      <c r="L884" s="69"/>
      <c r="M884" s="69"/>
      <c r="N884" s="260" t="str">
        <f t="shared" si="80"/>
        <v/>
      </c>
      <c r="O884" s="256">
        <f t="shared" si="82"/>
        <v>0</v>
      </c>
      <c r="P884" s="257" t="str">
        <f t="shared" si="81"/>
        <v>×</v>
      </c>
      <c r="Q884" s="272" t="str">
        <f t="shared" si="83"/>
        <v/>
      </c>
    </row>
    <row r="885" spans="2:17">
      <c r="B885" s="65"/>
      <c r="C885" s="54"/>
      <c r="D885" s="261" t="str">
        <f t="shared" si="79"/>
        <v/>
      </c>
      <c r="E885" s="262" t="str">
        <f t="shared" si="84"/>
        <v/>
      </c>
      <c r="F885" s="125" t="str">
        <f>IF(G885="","",VLOOKUP(G885,プルダウン用リスト!$K$1:$M$16,2,FALSE))</f>
        <v/>
      </c>
      <c r="G885" s="67"/>
      <c r="H885" s="67"/>
      <c r="I885" s="67"/>
      <c r="J885" s="134"/>
      <c r="K885" s="68"/>
      <c r="L885" s="69"/>
      <c r="M885" s="69"/>
      <c r="N885" s="260" t="str">
        <f t="shared" si="80"/>
        <v/>
      </c>
      <c r="O885" s="256">
        <f t="shared" si="82"/>
        <v>0</v>
      </c>
      <c r="P885" s="257" t="str">
        <f t="shared" si="81"/>
        <v>×</v>
      </c>
      <c r="Q885" s="272" t="str">
        <f t="shared" si="83"/>
        <v/>
      </c>
    </row>
    <row r="886" spans="2:17">
      <c r="B886" s="65"/>
      <c r="C886" s="54"/>
      <c r="D886" s="261" t="str">
        <f t="shared" si="79"/>
        <v/>
      </c>
      <c r="E886" s="262" t="str">
        <f t="shared" si="84"/>
        <v/>
      </c>
      <c r="F886" s="125" t="str">
        <f>IF(G886="","",VLOOKUP(G886,プルダウン用リスト!$K$1:$M$16,2,FALSE))</f>
        <v/>
      </c>
      <c r="G886" s="67"/>
      <c r="H886" s="55"/>
      <c r="I886" s="67"/>
      <c r="J886" s="134"/>
      <c r="K886" s="68"/>
      <c r="L886" s="69"/>
      <c r="M886" s="69"/>
      <c r="N886" s="260" t="str">
        <f t="shared" si="80"/>
        <v/>
      </c>
      <c r="O886" s="256">
        <f t="shared" si="82"/>
        <v>0</v>
      </c>
      <c r="P886" s="257" t="str">
        <f t="shared" si="81"/>
        <v>×</v>
      </c>
      <c r="Q886" s="272" t="str">
        <f t="shared" si="83"/>
        <v/>
      </c>
    </row>
    <row r="887" spans="2:17">
      <c r="B887" s="65"/>
      <c r="C887" s="54"/>
      <c r="D887" s="261" t="str">
        <f t="shared" si="79"/>
        <v/>
      </c>
      <c r="E887" s="262" t="str">
        <f t="shared" si="84"/>
        <v/>
      </c>
      <c r="F887" s="125" t="str">
        <f>IF(G887="","",VLOOKUP(G887,プルダウン用リスト!$K$1:$M$16,2,FALSE))</f>
        <v/>
      </c>
      <c r="G887" s="67"/>
      <c r="H887" s="55"/>
      <c r="I887" s="67"/>
      <c r="J887" s="134"/>
      <c r="K887" s="68"/>
      <c r="L887" s="69"/>
      <c r="M887" s="69"/>
      <c r="N887" s="260" t="str">
        <f t="shared" si="80"/>
        <v/>
      </c>
      <c r="O887" s="256">
        <f t="shared" si="82"/>
        <v>0</v>
      </c>
      <c r="P887" s="257" t="str">
        <f t="shared" si="81"/>
        <v>×</v>
      </c>
      <c r="Q887" s="272" t="str">
        <f t="shared" si="83"/>
        <v/>
      </c>
    </row>
    <row r="888" spans="2:17">
      <c r="B888" s="65"/>
      <c r="C888" s="54"/>
      <c r="D888" s="261" t="str">
        <f t="shared" si="79"/>
        <v/>
      </c>
      <c r="E888" s="262" t="str">
        <f t="shared" si="84"/>
        <v/>
      </c>
      <c r="F888" s="125" t="str">
        <f>IF(G888="","",VLOOKUP(G888,プルダウン用リスト!$K$1:$M$16,2,FALSE))</f>
        <v/>
      </c>
      <c r="G888" s="67"/>
      <c r="H888" s="67"/>
      <c r="I888" s="67"/>
      <c r="J888" s="134"/>
      <c r="K888" s="68"/>
      <c r="L888" s="69"/>
      <c r="M888" s="69"/>
      <c r="N888" s="260" t="str">
        <f t="shared" si="80"/>
        <v/>
      </c>
      <c r="O888" s="256">
        <f t="shared" si="82"/>
        <v>0</v>
      </c>
      <c r="P888" s="257" t="str">
        <f t="shared" si="81"/>
        <v>×</v>
      </c>
      <c r="Q888" s="272" t="str">
        <f t="shared" si="83"/>
        <v/>
      </c>
    </row>
    <row r="889" spans="2:17">
      <c r="B889" s="65"/>
      <c r="C889" s="54"/>
      <c r="D889" s="261" t="str">
        <f t="shared" si="79"/>
        <v/>
      </c>
      <c r="E889" s="262" t="str">
        <f t="shared" si="84"/>
        <v/>
      </c>
      <c r="F889" s="125" t="str">
        <f>IF(G889="","",VLOOKUP(G889,プルダウン用リスト!$K$1:$M$16,2,FALSE))</f>
        <v/>
      </c>
      <c r="G889" s="67"/>
      <c r="H889" s="55"/>
      <c r="I889" s="67"/>
      <c r="J889" s="134"/>
      <c r="K889" s="68"/>
      <c r="L889" s="69"/>
      <c r="M889" s="69"/>
      <c r="N889" s="260" t="str">
        <f t="shared" si="80"/>
        <v/>
      </c>
      <c r="O889" s="256">
        <f t="shared" si="82"/>
        <v>0</v>
      </c>
      <c r="P889" s="257" t="str">
        <f t="shared" si="81"/>
        <v>×</v>
      </c>
      <c r="Q889" s="272" t="str">
        <f t="shared" si="83"/>
        <v/>
      </c>
    </row>
    <row r="890" spans="2:17">
      <c r="B890" s="65"/>
      <c r="C890" s="54"/>
      <c r="D890" s="261" t="str">
        <f t="shared" si="79"/>
        <v/>
      </c>
      <c r="E890" s="262" t="str">
        <f t="shared" si="84"/>
        <v/>
      </c>
      <c r="F890" s="125" t="str">
        <f>IF(G890="","",VLOOKUP(G890,プルダウン用リスト!$K$1:$M$16,2,FALSE))</f>
        <v/>
      </c>
      <c r="G890" s="67"/>
      <c r="H890" s="55"/>
      <c r="I890" s="67"/>
      <c r="J890" s="134"/>
      <c r="K890" s="68"/>
      <c r="L890" s="69"/>
      <c r="M890" s="69"/>
      <c r="N890" s="260" t="str">
        <f t="shared" si="80"/>
        <v/>
      </c>
      <c r="O890" s="256">
        <f t="shared" si="82"/>
        <v>0</v>
      </c>
      <c r="P890" s="257" t="str">
        <f t="shared" si="81"/>
        <v>×</v>
      </c>
      <c r="Q890" s="272" t="str">
        <f t="shared" si="83"/>
        <v/>
      </c>
    </row>
    <row r="891" spans="2:17">
      <c r="B891" s="65"/>
      <c r="C891" s="54"/>
      <c r="D891" s="261" t="str">
        <f t="shared" si="79"/>
        <v/>
      </c>
      <c r="E891" s="262" t="str">
        <f t="shared" si="84"/>
        <v/>
      </c>
      <c r="F891" s="125" t="str">
        <f>IF(G891="","",VLOOKUP(G891,プルダウン用リスト!$K$1:$M$16,2,FALSE))</f>
        <v/>
      </c>
      <c r="G891" s="67"/>
      <c r="H891" s="67"/>
      <c r="I891" s="67"/>
      <c r="J891" s="134"/>
      <c r="K891" s="68"/>
      <c r="L891" s="69"/>
      <c r="M891" s="69"/>
      <c r="N891" s="260" t="str">
        <f t="shared" si="80"/>
        <v/>
      </c>
      <c r="O891" s="256">
        <f t="shared" si="82"/>
        <v>0</v>
      </c>
      <c r="P891" s="257" t="str">
        <f t="shared" si="81"/>
        <v>×</v>
      </c>
      <c r="Q891" s="272" t="str">
        <f t="shared" si="83"/>
        <v/>
      </c>
    </row>
    <row r="892" spans="2:17">
      <c r="B892" s="65"/>
      <c r="C892" s="54"/>
      <c r="D892" s="261" t="str">
        <f t="shared" si="79"/>
        <v/>
      </c>
      <c r="E892" s="262" t="str">
        <f t="shared" si="84"/>
        <v/>
      </c>
      <c r="F892" s="125" t="str">
        <f>IF(G892="","",VLOOKUP(G892,プルダウン用リスト!$K$1:$M$16,2,FALSE))</f>
        <v/>
      </c>
      <c r="G892" s="67"/>
      <c r="H892" s="55"/>
      <c r="I892" s="67"/>
      <c r="J892" s="134"/>
      <c r="K892" s="68"/>
      <c r="L892" s="69"/>
      <c r="M892" s="69"/>
      <c r="N892" s="260" t="str">
        <f t="shared" si="80"/>
        <v/>
      </c>
      <c r="O892" s="256">
        <f t="shared" si="82"/>
        <v>0</v>
      </c>
      <c r="P892" s="257" t="str">
        <f t="shared" si="81"/>
        <v>×</v>
      </c>
      <c r="Q892" s="272" t="str">
        <f t="shared" si="83"/>
        <v/>
      </c>
    </row>
    <row r="893" spans="2:17">
      <c r="B893" s="65"/>
      <c r="C893" s="54"/>
      <c r="D893" s="261" t="str">
        <f t="shared" si="79"/>
        <v/>
      </c>
      <c r="E893" s="262" t="str">
        <f t="shared" si="84"/>
        <v/>
      </c>
      <c r="F893" s="125" t="str">
        <f>IF(G893="","",VLOOKUP(G893,プルダウン用リスト!$K$1:$M$16,2,FALSE))</f>
        <v/>
      </c>
      <c r="G893" s="67"/>
      <c r="H893" s="55"/>
      <c r="I893" s="67"/>
      <c r="J893" s="134"/>
      <c r="K893" s="68"/>
      <c r="L893" s="69"/>
      <c r="M893" s="69"/>
      <c r="N893" s="260" t="str">
        <f t="shared" si="80"/>
        <v/>
      </c>
      <c r="O893" s="256">
        <f t="shared" si="82"/>
        <v>0</v>
      </c>
      <c r="P893" s="257" t="str">
        <f t="shared" si="81"/>
        <v>×</v>
      </c>
      <c r="Q893" s="272" t="str">
        <f t="shared" si="83"/>
        <v/>
      </c>
    </row>
    <row r="894" spans="2:17">
      <c r="B894" s="65"/>
      <c r="C894" s="66"/>
      <c r="D894" s="261" t="str">
        <f t="shared" si="79"/>
        <v/>
      </c>
      <c r="E894" s="262" t="str">
        <f t="shared" si="84"/>
        <v/>
      </c>
      <c r="F894" s="125" t="str">
        <f>IF(G894="","",VLOOKUP(G894,プルダウン用リスト!$K$1:$M$16,2,FALSE))</f>
        <v/>
      </c>
      <c r="G894" s="67"/>
      <c r="H894" s="67"/>
      <c r="I894" s="67"/>
      <c r="J894" s="134"/>
      <c r="K894" s="68"/>
      <c r="L894" s="69"/>
      <c r="M894" s="69"/>
      <c r="N894" s="260" t="str">
        <f t="shared" si="80"/>
        <v/>
      </c>
      <c r="O894" s="256">
        <f t="shared" si="82"/>
        <v>0</v>
      </c>
      <c r="P894" s="257" t="str">
        <f t="shared" si="81"/>
        <v>×</v>
      </c>
      <c r="Q894" s="272" t="str">
        <f t="shared" si="83"/>
        <v/>
      </c>
    </row>
    <row r="895" spans="2:17">
      <c r="B895" s="65"/>
      <c r="C895" s="54"/>
      <c r="D895" s="261" t="str">
        <f t="shared" si="79"/>
        <v/>
      </c>
      <c r="E895" s="262" t="str">
        <f t="shared" si="84"/>
        <v/>
      </c>
      <c r="F895" s="125" t="str">
        <f>IF(G895="","",VLOOKUP(G895,プルダウン用リスト!$K$1:$M$16,2,FALSE))</f>
        <v/>
      </c>
      <c r="G895" s="67"/>
      <c r="H895" s="55"/>
      <c r="I895" s="67"/>
      <c r="J895" s="134"/>
      <c r="K895" s="68"/>
      <c r="L895" s="69"/>
      <c r="M895" s="69"/>
      <c r="N895" s="260" t="str">
        <f t="shared" si="80"/>
        <v/>
      </c>
      <c r="O895" s="256">
        <f t="shared" si="82"/>
        <v>0</v>
      </c>
      <c r="P895" s="257" t="str">
        <f t="shared" si="81"/>
        <v>×</v>
      </c>
      <c r="Q895" s="272" t="str">
        <f t="shared" si="83"/>
        <v/>
      </c>
    </row>
    <row r="896" spans="2:17">
      <c r="B896" s="65"/>
      <c r="C896" s="54"/>
      <c r="D896" s="261" t="str">
        <f t="shared" si="79"/>
        <v/>
      </c>
      <c r="E896" s="262" t="str">
        <f t="shared" si="84"/>
        <v/>
      </c>
      <c r="F896" s="125" t="str">
        <f>IF(G896="","",VLOOKUP(G896,プルダウン用リスト!$K$1:$M$16,2,FALSE))</f>
        <v/>
      </c>
      <c r="G896" s="67"/>
      <c r="H896" s="55"/>
      <c r="I896" s="67"/>
      <c r="J896" s="134"/>
      <c r="K896" s="68"/>
      <c r="L896" s="69"/>
      <c r="M896" s="69"/>
      <c r="N896" s="260" t="str">
        <f t="shared" si="80"/>
        <v/>
      </c>
      <c r="O896" s="256">
        <f t="shared" si="82"/>
        <v>0</v>
      </c>
      <c r="P896" s="257" t="str">
        <f t="shared" si="81"/>
        <v>×</v>
      </c>
      <c r="Q896" s="272" t="str">
        <f t="shared" si="83"/>
        <v/>
      </c>
    </row>
    <row r="897" spans="2:17">
      <c r="B897" s="65"/>
      <c r="C897" s="54"/>
      <c r="D897" s="261" t="str">
        <f t="shared" si="79"/>
        <v/>
      </c>
      <c r="E897" s="262" t="str">
        <f t="shared" si="84"/>
        <v/>
      </c>
      <c r="F897" s="125" t="str">
        <f>IF(G897="","",VLOOKUP(G897,プルダウン用リスト!$K$1:$M$16,2,FALSE))</f>
        <v/>
      </c>
      <c r="G897" s="67"/>
      <c r="H897" s="67"/>
      <c r="I897" s="67"/>
      <c r="J897" s="134"/>
      <c r="K897" s="68"/>
      <c r="L897" s="69"/>
      <c r="M897" s="69"/>
      <c r="N897" s="260" t="str">
        <f t="shared" si="80"/>
        <v/>
      </c>
      <c r="O897" s="256">
        <f t="shared" si="82"/>
        <v>0</v>
      </c>
      <c r="P897" s="257" t="str">
        <f t="shared" si="81"/>
        <v>×</v>
      </c>
      <c r="Q897" s="272" t="str">
        <f t="shared" si="83"/>
        <v/>
      </c>
    </row>
    <row r="898" spans="2:17">
      <c r="B898" s="65"/>
      <c r="C898" s="54"/>
      <c r="D898" s="261" t="str">
        <f t="shared" si="79"/>
        <v/>
      </c>
      <c r="E898" s="262" t="str">
        <f t="shared" si="84"/>
        <v/>
      </c>
      <c r="F898" s="125" t="str">
        <f>IF(G898="","",VLOOKUP(G898,プルダウン用リスト!$K$1:$M$16,2,FALSE))</f>
        <v/>
      </c>
      <c r="G898" s="67"/>
      <c r="H898" s="55"/>
      <c r="I898" s="67"/>
      <c r="J898" s="134"/>
      <c r="K898" s="68"/>
      <c r="L898" s="69"/>
      <c r="M898" s="69"/>
      <c r="N898" s="260" t="str">
        <f t="shared" si="80"/>
        <v/>
      </c>
      <c r="O898" s="256">
        <f t="shared" si="82"/>
        <v>0</v>
      </c>
      <c r="P898" s="257" t="str">
        <f t="shared" si="81"/>
        <v>×</v>
      </c>
      <c r="Q898" s="272" t="str">
        <f t="shared" si="83"/>
        <v/>
      </c>
    </row>
    <row r="899" spans="2:17">
      <c r="B899" s="65"/>
      <c r="C899" s="54"/>
      <c r="D899" s="261" t="str">
        <f t="shared" si="79"/>
        <v/>
      </c>
      <c r="E899" s="262" t="str">
        <f t="shared" si="84"/>
        <v/>
      </c>
      <c r="F899" s="125" t="str">
        <f>IF(G899="","",VLOOKUP(G899,プルダウン用リスト!$K$1:$M$16,2,FALSE))</f>
        <v/>
      </c>
      <c r="G899" s="67"/>
      <c r="H899" s="55"/>
      <c r="I899" s="67"/>
      <c r="J899" s="134"/>
      <c r="K899" s="68"/>
      <c r="L899" s="69"/>
      <c r="M899" s="69"/>
      <c r="N899" s="260" t="str">
        <f t="shared" si="80"/>
        <v/>
      </c>
      <c r="O899" s="256">
        <f t="shared" si="82"/>
        <v>0</v>
      </c>
      <c r="P899" s="257" t="str">
        <f t="shared" si="81"/>
        <v>×</v>
      </c>
      <c r="Q899" s="272" t="str">
        <f t="shared" si="83"/>
        <v/>
      </c>
    </row>
    <row r="900" spans="2:17">
      <c r="B900" s="65"/>
      <c r="C900" s="54"/>
      <c r="D900" s="261" t="str">
        <f t="shared" si="79"/>
        <v/>
      </c>
      <c r="E900" s="262" t="str">
        <f t="shared" si="84"/>
        <v/>
      </c>
      <c r="F900" s="125" t="str">
        <f>IF(G900="","",VLOOKUP(G900,プルダウン用リスト!$K$1:$M$16,2,FALSE))</f>
        <v/>
      </c>
      <c r="G900" s="67"/>
      <c r="H900" s="67"/>
      <c r="I900" s="67"/>
      <c r="J900" s="134"/>
      <c r="K900" s="68"/>
      <c r="L900" s="69"/>
      <c r="M900" s="69"/>
      <c r="N900" s="260" t="str">
        <f t="shared" si="80"/>
        <v/>
      </c>
      <c r="O900" s="256">
        <f t="shared" si="82"/>
        <v>0</v>
      </c>
      <c r="P900" s="257" t="str">
        <f t="shared" si="81"/>
        <v>×</v>
      </c>
      <c r="Q900" s="272" t="str">
        <f t="shared" si="83"/>
        <v/>
      </c>
    </row>
    <row r="901" spans="2:17">
      <c r="B901" s="65"/>
      <c r="C901" s="54"/>
      <c r="D901" s="261" t="str">
        <f t="shared" si="79"/>
        <v/>
      </c>
      <c r="E901" s="262" t="str">
        <f t="shared" si="84"/>
        <v/>
      </c>
      <c r="F901" s="125" t="str">
        <f>IF(G901="","",VLOOKUP(G901,プルダウン用リスト!$K$1:$M$16,2,FALSE))</f>
        <v/>
      </c>
      <c r="G901" s="67"/>
      <c r="H901" s="55"/>
      <c r="I901" s="67"/>
      <c r="J901" s="134"/>
      <c r="K901" s="68"/>
      <c r="L901" s="69"/>
      <c r="M901" s="69"/>
      <c r="N901" s="260" t="str">
        <f t="shared" si="80"/>
        <v/>
      </c>
      <c r="O901" s="256">
        <f t="shared" si="82"/>
        <v>0</v>
      </c>
      <c r="P901" s="257" t="str">
        <f t="shared" si="81"/>
        <v>×</v>
      </c>
      <c r="Q901" s="272" t="str">
        <f t="shared" si="83"/>
        <v/>
      </c>
    </row>
    <row r="902" spans="2:17">
      <c r="B902" s="65"/>
      <c r="C902" s="54"/>
      <c r="D902" s="261" t="str">
        <f t="shared" si="79"/>
        <v/>
      </c>
      <c r="E902" s="262" t="str">
        <f t="shared" si="84"/>
        <v/>
      </c>
      <c r="F902" s="125" t="str">
        <f>IF(G902="","",VLOOKUP(G902,プルダウン用リスト!$K$1:$M$16,2,FALSE))</f>
        <v/>
      </c>
      <c r="G902" s="67"/>
      <c r="H902" s="55"/>
      <c r="I902" s="67"/>
      <c r="J902" s="134"/>
      <c r="K902" s="68"/>
      <c r="L902" s="69"/>
      <c r="M902" s="69"/>
      <c r="N902" s="260" t="str">
        <f t="shared" si="80"/>
        <v/>
      </c>
      <c r="O902" s="256">
        <f t="shared" si="82"/>
        <v>0</v>
      </c>
      <c r="P902" s="257" t="str">
        <f t="shared" si="81"/>
        <v>×</v>
      </c>
      <c r="Q902" s="272" t="str">
        <f t="shared" si="83"/>
        <v/>
      </c>
    </row>
    <row r="903" spans="2:17">
      <c r="B903" s="65"/>
      <c r="C903" s="54"/>
      <c r="D903" s="261" t="str">
        <f t="shared" ref="D903:D966" si="85">IF(E903="","",IF(E903="謝金","01.",IF(E903="旅費","02.",IF(E903="その他","04.","03."))))</f>
        <v/>
      </c>
      <c r="E903" s="262" t="str">
        <f t="shared" si="84"/>
        <v/>
      </c>
      <c r="F903" s="125" t="str">
        <f>IF(G903="","",VLOOKUP(G903,プルダウン用リスト!$K$1:$M$16,2,FALSE))</f>
        <v/>
      </c>
      <c r="G903" s="67"/>
      <c r="H903" s="67"/>
      <c r="I903" s="67"/>
      <c r="J903" s="134"/>
      <c r="K903" s="68"/>
      <c r="L903" s="69"/>
      <c r="M903" s="69"/>
      <c r="N903" s="260" t="str">
        <f t="shared" ref="N903:N966" si="86">IF(G903="16.対象外経費",L903,IF(M903="","",L903-M903))</f>
        <v/>
      </c>
      <c r="O903" s="256">
        <f t="shared" si="82"/>
        <v>0</v>
      </c>
      <c r="P903" s="257" t="str">
        <f t="shared" ref="P903:P966" si="87">IF(G903="2.旅費","〇","×")</f>
        <v>×</v>
      </c>
      <c r="Q903" s="272" t="str">
        <f t="shared" si="83"/>
        <v/>
      </c>
    </row>
    <row r="904" spans="2:17">
      <c r="B904" s="65"/>
      <c r="C904" s="54"/>
      <c r="D904" s="261" t="str">
        <f t="shared" si="85"/>
        <v/>
      </c>
      <c r="E904" s="262" t="str">
        <f t="shared" si="84"/>
        <v/>
      </c>
      <c r="F904" s="125" t="str">
        <f>IF(G904="","",VLOOKUP(G904,プルダウン用リスト!$K$1:$M$16,2,FALSE))</f>
        <v/>
      </c>
      <c r="G904" s="67"/>
      <c r="H904" s="55"/>
      <c r="I904" s="67"/>
      <c r="J904" s="134"/>
      <c r="K904" s="68"/>
      <c r="L904" s="69"/>
      <c r="M904" s="69"/>
      <c r="N904" s="260" t="str">
        <f t="shared" si="86"/>
        <v/>
      </c>
      <c r="O904" s="256">
        <f t="shared" ref="O904:O967" si="88">IF(L904&gt;0,COUNTA(B904,C904,G904,H904,I904,K904,,L904,J904),0)</f>
        <v>0</v>
      </c>
      <c r="P904" s="257" t="str">
        <f t="shared" si="87"/>
        <v>×</v>
      </c>
      <c r="Q904" s="272" t="str">
        <f t="shared" ref="Q904:Q967" si="89">_xlfn.IFS(O904=0,"",AND(G904="16.対象外経費",O904=7),"OK",O904&lt;=7,"ピンク色のセルを全て入力してください",O904=9,"OK",P904="〇","旅行区間および宿泊地を入力してください",O904=8,"OK")</f>
        <v/>
      </c>
    </row>
    <row r="905" spans="2:17">
      <c r="B905" s="65"/>
      <c r="C905" s="54"/>
      <c r="D905" s="261" t="str">
        <f t="shared" si="85"/>
        <v/>
      </c>
      <c r="E905" s="262" t="str">
        <f t="shared" si="84"/>
        <v/>
      </c>
      <c r="F905" s="125" t="str">
        <f>IF(G905="","",VLOOKUP(G905,プルダウン用リスト!$K$1:$M$16,2,FALSE))</f>
        <v/>
      </c>
      <c r="G905" s="67"/>
      <c r="H905" s="55"/>
      <c r="I905" s="67"/>
      <c r="J905" s="134"/>
      <c r="K905" s="68"/>
      <c r="L905" s="69"/>
      <c r="M905" s="69"/>
      <c r="N905" s="260" t="str">
        <f t="shared" si="86"/>
        <v/>
      </c>
      <c r="O905" s="256">
        <f t="shared" si="88"/>
        <v>0</v>
      </c>
      <c r="P905" s="257" t="str">
        <f t="shared" si="87"/>
        <v>×</v>
      </c>
      <c r="Q905" s="272" t="str">
        <f t="shared" si="89"/>
        <v/>
      </c>
    </row>
    <row r="906" spans="2:17">
      <c r="B906" s="65"/>
      <c r="C906" s="66"/>
      <c r="D906" s="261" t="str">
        <f t="shared" si="85"/>
        <v/>
      </c>
      <c r="E906" s="262" t="str">
        <f t="shared" si="84"/>
        <v/>
      </c>
      <c r="F906" s="125" t="str">
        <f>IF(G906="","",VLOOKUP(G906,プルダウン用リスト!$K$1:$M$16,2,FALSE))</f>
        <v/>
      </c>
      <c r="G906" s="67"/>
      <c r="H906" s="67"/>
      <c r="I906" s="67"/>
      <c r="J906" s="134"/>
      <c r="K906" s="68"/>
      <c r="L906" s="69"/>
      <c r="M906" s="69"/>
      <c r="N906" s="260" t="str">
        <f t="shared" si="86"/>
        <v/>
      </c>
      <c r="O906" s="256">
        <f t="shared" si="88"/>
        <v>0</v>
      </c>
      <c r="P906" s="257" t="str">
        <f t="shared" si="87"/>
        <v>×</v>
      </c>
      <c r="Q906" s="272" t="str">
        <f t="shared" si="89"/>
        <v/>
      </c>
    </row>
    <row r="907" spans="2:17">
      <c r="B907" s="65"/>
      <c r="C907" s="54"/>
      <c r="D907" s="261" t="str">
        <f t="shared" si="85"/>
        <v/>
      </c>
      <c r="E907" s="262" t="str">
        <f t="shared" si="84"/>
        <v/>
      </c>
      <c r="F907" s="125" t="str">
        <f>IF(G907="","",VLOOKUP(G907,プルダウン用リスト!$K$1:$M$16,2,FALSE))</f>
        <v/>
      </c>
      <c r="G907" s="67"/>
      <c r="H907" s="55"/>
      <c r="I907" s="67"/>
      <c r="J907" s="134"/>
      <c r="K907" s="68"/>
      <c r="L907" s="69"/>
      <c r="M907" s="69"/>
      <c r="N907" s="260" t="str">
        <f t="shared" si="86"/>
        <v/>
      </c>
      <c r="O907" s="256">
        <f t="shared" si="88"/>
        <v>0</v>
      </c>
      <c r="P907" s="257" t="str">
        <f t="shared" si="87"/>
        <v>×</v>
      </c>
      <c r="Q907" s="272" t="str">
        <f t="shared" si="89"/>
        <v/>
      </c>
    </row>
    <row r="908" spans="2:17">
      <c r="B908" s="65"/>
      <c r="C908" s="54"/>
      <c r="D908" s="261" t="str">
        <f t="shared" si="85"/>
        <v/>
      </c>
      <c r="E908" s="262" t="str">
        <f t="shared" si="84"/>
        <v/>
      </c>
      <c r="F908" s="125" t="str">
        <f>IF(G908="","",VLOOKUP(G908,プルダウン用リスト!$K$1:$M$16,2,FALSE))</f>
        <v/>
      </c>
      <c r="G908" s="67"/>
      <c r="H908" s="55"/>
      <c r="I908" s="67"/>
      <c r="J908" s="134"/>
      <c r="K908" s="68"/>
      <c r="L908" s="69"/>
      <c r="M908" s="69"/>
      <c r="N908" s="260" t="str">
        <f t="shared" si="86"/>
        <v/>
      </c>
      <c r="O908" s="256">
        <f t="shared" si="88"/>
        <v>0</v>
      </c>
      <c r="P908" s="257" t="str">
        <f t="shared" si="87"/>
        <v>×</v>
      </c>
      <c r="Q908" s="272" t="str">
        <f t="shared" si="89"/>
        <v/>
      </c>
    </row>
    <row r="909" spans="2:17">
      <c r="B909" s="65"/>
      <c r="C909" s="54"/>
      <c r="D909" s="261" t="str">
        <f t="shared" si="85"/>
        <v/>
      </c>
      <c r="E909" s="262" t="str">
        <f t="shared" si="84"/>
        <v/>
      </c>
      <c r="F909" s="125" t="str">
        <f>IF(G909="","",VLOOKUP(G909,プルダウン用リスト!$K$1:$M$16,2,FALSE))</f>
        <v/>
      </c>
      <c r="G909" s="67"/>
      <c r="H909" s="67"/>
      <c r="I909" s="67"/>
      <c r="J909" s="134"/>
      <c r="K909" s="68"/>
      <c r="L909" s="69"/>
      <c r="M909" s="69"/>
      <c r="N909" s="260" t="str">
        <f t="shared" si="86"/>
        <v/>
      </c>
      <c r="O909" s="256">
        <f t="shared" si="88"/>
        <v>0</v>
      </c>
      <c r="P909" s="257" t="str">
        <f t="shared" si="87"/>
        <v>×</v>
      </c>
      <c r="Q909" s="272" t="str">
        <f t="shared" si="89"/>
        <v/>
      </c>
    </row>
    <row r="910" spans="2:17">
      <c r="B910" s="65"/>
      <c r="C910" s="54"/>
      <c r="D910" s="261" t="str">
        <f t="shared" si="85"/>
        <v/>
      </c>
      <c r="E910" s="262" t="str">
        <f t="shared" si="84"/>
        <v/>
      </c>
      <c r="F910" s="125" t="str">
        <f>IF(G910="","",VLOOKUP(G910,プルダウン用リスト!$K$1:$M$16,2,FALSE))</f>
        <v/>
      </c>
      <c r="G910" s="67"/>
      <c r="H910" s="55"/>
      <c r="I910" s="67"/>
      <c r="J910" s="134"/>
      <c r="K910" s="68"/>
      <c r="L910" s="69"/>
      <c r="M910" s="69"/>
      <c r="N910" s="260" t="str">
        <f t="shared" si="86"/>
        <v/>
      </c>
      <c r="O910" s="256">
        <f t="shared" si="88"/>
        <v>0</v>
      </c>
      <c r="P910" s="257" t="str">
        <f t="shared" si="87"/>
        <v>×</v>
      </c>
      <c r="Q910" s="272" t="str">
        <f t="shared" si="89"/>
        <v/>
      </c>
    </row>
    <row r="911" spans="2:17">
      <c r="B911" s="65"/>
      <c r="C911" s="54"/>
      <c r="D911" s="261" t="str">
        <f t="shared" si="85"/>
        <v/>
      </c>
      <c r="E911" s="262" t="str">
        <f t="shared" si="84"/>
        <v/>
      </c>
      <c r="F911" s="125" t="str">
        <f>IF(G911="","",VLOOKUP(G911,プルダウン用リスト!$K$1:$M$16,2,FALSE))</f>
        <v/>
      </c>
      <c r="G911" s="67"/>
      <c r="H911" s="55"/>
      <c r="I911" s="67"/>
      <c r="J911" s="134"/>
      <c r="K911" s="68"/>
      <c r="L911" s="69"/>
      <c r="M911" s="69"/>
      <c r="N911" s="260" t="str">
        <f t="shared" si="86"/>
        <v/>
      </c>
      <c r="O911" s="256">
        <f t="shared" si="88"/>
        <v>0</v>
      </c>
      <c r="P911" s="257" t="str">
        <f t="shared" si="87"/>
        <v>×</v>
      </c>
      <c r="Q911" s="272" t="str">
        <f t="shared" si="89"/>
        <v/>
      </c>
    </row>
    <row r="912" spans="2:17">
      <c r="B912" s="65"/>
      <c r="C912" s="54"/>
      <c r="D912" s="261" t="str">
        <f t="shared" si="85"/>
        <v/>
      </c>
      <c r="E912" s="262" t="str">
        <f t="shared" si="84"/>
        <v/>
      </c>
      <c r="F912" s="125" t="str">
        <f>IF(G912="","",VLOOKUP(G912,プルダウン用リスト!$K$1:$M$16,2,FALSE))</f>
        <v/>
      </c>
      <c r="G912" s="67"/>
      <c r="H912" s="67"/>
      <c r="I912" s="67"/>
      <c r="J912" s="134"/>
      <c r="K912" s="68"/>
      <c r="L912" s="69"/>
      <c r="M912" s="69"/>
      <c r="N912" s="260" t="str">
        <f t="shared" si="86"/>
        <v/>
      </c>
      <c r="O912" s="256">
        <f t="shared" si="88"/>
        <v>0</v>
      </c>
      <c r="P912" s="257" t="str">
        <f t="shared" si="87"/>
        <v>×</v>
      </c>
      <c r="Q912" s="272" t="str">
        <f t="shared" si="89"/>
        <v/>
      </c>
    </row>
    <row r="913" spans="2:17">
      <c r="B913" s="65"/>
      <c r="C913" s="54"/>
      <c r="D913" s="261" t="str">
        <f t="shared" si="85"/>
        <v/>
      </c>
      <c r="E913" s="262" t="str">
        <f t="shared" si="84"/>
        <v/>
      </c>
      <c r="F913" s="125" t="str">
        <f>IF(G913="","",VLOOKUP(G913,プルダウン用リスト!$K$1:$M$16,2,FALSE))</f>
        <v/>
      </c>
      <c r="G913" s="67"/>
      <c r="H913" s="55"/>
      <c r="I913" s="67"/>
      <c r="J913" s="134"/>
      <c r="K913" s="68"/>
      <c r="L913" s="69"/>
      <c r="M913" s="69"/>
      <c r="N913" s="260" t="str">
        <f t="shared" si="86"/>
        <v/>
      </c>
      <c r="O913" s="256">
        <f t="shared" si="88"/>
        <v>0</v>
      </c>
      <c r="P913" s="257" t="str">
        <f t="shared" si="87"/>
        <v>×</v>
      </c>
      <c r="Q913" s="272" t="str">
        <f t="shared" si="89"/>
        <v/>
      </c>
    </row>
    <row r="914" spans="2:17">
      <c r="B914" s="65"/>
      <c r="C914" s="54"/>
      <c r="D914" s="261" t="str">
        <f t="shared" si="85"/>
        <v/>
      </c>
      <c r="E914" s="262" t="str">
        <f t="shared" si="84"/>
        <v/>
      </c>
      <c r="F914" s="125" t="str">
        <f>IF(G914="","",VLOOKUP(G914,プルダウン用リスト!$K$1:$M$16,2,FALSE))</f>
        <v/>
      </c>
      <c r="G914" s="67"/>
      <c r="H914" s="55"/>
      <c r="I914" s="67"/>
      <c r="J914" s="134"/>
      <c r="K914" s="68"/>
      <c r="L914" s="69"/>
      <c r="M914" s="69"/>
      <c r="N914" s="260" t="str">
        <f t="shared" si="86"/>
        <v/>
      </c>
      <c r="O914" s="256">
        <f t="shared" si="88"/>
        <v>0</v>
      </c>
      <c r="P914" s="257" t="str">
        <f t="shared" si="87"/>
        <v>×</v>
      </c>
      <c r="Q914" s="272" t="str">
        <f t="shared" si="89"/>
        <v/>
      </c>
    </row>
    <row r="915" spans="2:17">
      <c r="B915" s="65"/>
      <c r="C915" s="54"/>
      <c r="D915" s="261" t="str">
        <f t="shared" si="85"/>
        <v/>
      </c>
      <c r="E915" s="262" t="str">
        <f t="shared" si="84"/>
        <v/>
      </c>
      <c r="F915" s="125" t="str">
        <f>IF(G915="","",VLOOKUP(G915,プルダウン用リスト!$K$1:$M$16,2,FALSE))</f>
        <v/>
      </c>
      <c r="G915" s="67"/>
      <c r="H915" s="67"/>
      <c r="I915" s="67"/>
      <c r="J915" s="134"/>
      <c r="K915" s="68"/>
      <c r="L915" s="69"/>
      <c r="M915" s="69"/>
      <c r="N915" s="260" t="str">
        <f t="shared" si="86"/>
        <v/>
      </c>
      <c r="O915" s="256">
        <f t="shared" si="88"/>
        <v>0</v>
      </c>
      <c r="P915" s="257" t="str">
        <f t="shared" si="87"/>
        <v>×</v>
      </c>
      <c r="Q915" s="272" t="str">
        <f t="shared" si="89"/>
        <v/>
      </c>
    </row>
    <row r="916" spans="2:17">
      <c r="B916" s="65"/>
      <c r="C916" s="54"/>
      <c r="D916" s="261" t="str">
        <f t="shared" si="85"/>
        <v/>
      </c>
      <c r="E916" s="262" t="str">
        <f t="shared" si="84"/>
        <v/>
      </c>
      <c r="F916" s="125" t="str">
        <f>IF(G916="","",VLOOKUP(G916,プルダウン用リスト!$K$1:$M$16,2,FALSE))</f>
        <v/>
      </c>
      <c r="G916" s="67"/>
      <c r="H916" s="55"/>
      <c r="I916" s="67"/>
      <c r="J916" s="134"/>
      <c r="K916" s="68"/>
      <c r="L916" s="69"/>
      <c r="M916" s="69"/>
      <c r="N916" s="260" t="str">
        <f t="shared" si="86"/>
        <v/>
      </c>
      <c r="O916" s="256">
        <f t="shared" si="88"/>
        <v>0</v>
      </c>
      <c r="P916" s="257" t="str">
        <f t="shared" si="87"/>
        <v>×</v>
      </c>
      <c r="Q916" s="272" t="str">
        <f t="shared" si="89"/>
        <v/>
      </c>
    </row>
    <row r="917" spans="2:17">
      <c r="B917" s="65"/>
      <c r="C917" s="54"/>
      <c r="D917" s="261" t="str">
        <f t="shared" si="85"/>
        <v/>
      </c>
      <c r="E917" s="262" t="str">
        <f t="shared" si="84"/>
        <v/>
      </c>
      <c r="F917" s="125" t="str">
        <f>IF(G917="","",VLOOKUP(G917,プルダウン用リスト!$K$1:$M$16,2,FALSE))</f>
        <v/>
      </c>
      <c r="G917" s="67"/>
      <c r="H917" s="55"/>
      <c r="I917" s="67"/>
      <c r="J917" s="134"/>
      <c r="K917" s="68"/>
      <c r="L917" s="69"/>
      <c r="M917" s="69"/>
      <c r="N917" s="260" t="str">
        <f t="shared" si="86"/>
        <v/>
      </c>
      <c r="O917" s="256">
        <f t="shared" si="88"/>
        <v>0</v>
      </c>
      <c r="P917" s="257" t="str">
        <f t="shared" si="87"/>
        <v>×</v>
      </c>
      <c r="Q917" s="272" t="str">
        <f t="shared" si="89"/>
        <v/>
      </c>
    </row>
    <row r="918" spans="2:17">
      <c r="B918" s="65"/>
      <c r="C918" s="66"/>
      <c r="D918" s="261" t="str">
        <f t="shared" si="85"/>
        <v/>
      </c>
      <c r="E918" s="262" t="str">
        <f t="shared" si="84"/>
        <v/>
      </c>
      <c r="F918" s="125" t="str">
        <f>IF(G918="","",VLOOKUP(G918,プルダウン用リスト!$K$1:$M$16,2,FALSE))</f>
        <v/>
      </c>
      <c r="G918" s="67"/>
      <c r="H918" s="67"/>
      <c r="I918" s="67"/>
      <c r="J918" s="134"/>
      <c r="K918" s="68"/>
      <c r="L918" s="69"/>
      <c r="M918" s="69"/>
      <c r="N918" s="260" t="str">
        <f t="shared" si="86"/>
        <v/>
      </c>
      <c r="O918" s="256">
        <f t="shared" si="88"/>
        <v>0</v>
      </c>
      <c r="P918" s="257" t="str">
        <f t="shared" si="87"/>
        <v>×</v>
      </c>
      <c r="Q918" s="272" t="str">
        <f t="shared" si="89"/>
        <v/>
      </c>
    </row>
    <row r="919" spans="2:17">
      <c r="B919" s="65"/>
      <c r="C919" s="54"/>
      <c r="D919" s="261" t="str">
        <f t="shared" si="85"/>
        <v/>
      </c>
      <c r="E919" s="262" t="str">
        <f t="shared" ref="E919:E982" si="90">IF(G919="","",IF(OR(G919="1.謝金（内部）",G919="1.謝金（外部）"),"謝金",IF(G919="2.旅費","旅費",IF(G919="16.対象外経費","その他","所費"))))</f>
        <v/>
      </c>
      <c r="F919" s="125" t="str">
        <f>IF(G919="","",VLOOKUP(G919,プルダウン用リスト!$K$1:$M$16,2,FALSE))</f>
        <v/>
      </c>
      <c r="G919" s="67"/>
      <c r="H919" s="55"/>
      <c r="I919" s="67"/>
      <c r="J919" s="134"/>
      <c r="K919" s="68"/>
      <c r="L919" s="69"/>
      <c r="M919" s="69"/>
      <c r="N919" s="260" t="str">
        <f t="shared" si="86"/>
        <v/>
      </c>
      <c r="O919" s="256">
        <f t="shared" si="88"/>
        <v>0</v>
      </c>
      <c r="P919" s="257" t="str">
        <f t="shared" si="87"/>
        <v>×</v>
      </c>
      <c r="Q919" s="272" t="str">
        <f t="shared" si="89"/>
        <v/>
      </c>
    </row>
    <row r="920" spans="2:17">
      <c r="B920" s="65"/>
      <c r="C920" s="54"/>
      <c r="D920" s="261" t="str">
        <f t="shared" si="85"/>
        <v/>
      </c>
      <c r="E920" s="262" t="str">
        <f t="shared" si="90"/>
        <v/>
      </c>
      <c r="F920" s="125" t="str">
        <f>IF(G920="","",VLOOKUP(G920,プルダウン用リスト!$K$1:$M$16,2,FALSE))</f>
        <v/>
      </c>
      <c r="G920" s="67"/>
      <c r="H920" s="55"/>
      <c r="I920" s="67"/>
      <c r="J920" s="134"/>
      <c r="K920" s="68"/>
      <c r="L920" s="69"/>
      <c r="M920" s="69"/>
      <c r="N920" s="260" t="str">
        <f t="shared" si="86"/>
        <v/>
      </c>
      <c r="O920" s="256">
        <f t="shared" si="88"/>
        <v>0</v>
      </c>
      <c r="P920" s="257" t="str">
        <f t="shared" si="87"/>
        <v>×</v>
      </c>
      <c r="Q920" s="272" t="str">
        <f t="shared" si="89"/>
        <v/>
      </c>
    </row>
    <row r="921" spans="2:17">
      <c r="B921" s="65"/>
      <c r="C921" s="54"/>
      <c r="D921" s="261" t="str">
        <f t="shared" si="85"/>
        <v/>
      </c>
      <c r="E921" s="262" t="str">
        <f t="shared" si="90"/>
        <v/>
      </c>
      <c r="F921" s="125" t="str">
        <f>IF(G921="","",VLOOKUP(G921,プルダウン用リスト!$K$1:$M$16,2,FALSE))</f>
        <v/>
      </c>
      <c r="G921" s="67"/>
      <c r="H921" s="67"/>
      <c r="I921" s="67"/>
      <c r="J921" s="134"/>
      <c r="K921" s="68"/>
      <c r="L921" s="69"/>
      <c r="M921" s="69"/>
      <c r="N921" s="260" t="str">
        <f t="shared" si="86"/>
        <v/>
      </c>
      <c r="O921" s="256">
        <f t="shared" si="88"/>
        <v>0</v>
      </c>
      <c r="P921" s="257" t="str">
        <f t="shared" si="87"/>
        <v>×</v>
      </c>
      <c r="Q921" s="272" t="str">
        <f t="shared" si="89"/>
        <v/>
      </c>
    </row>
    <row r="922" spans="2:17">
      <c r="B922" s="65"/>
      <c r="C922" s="54"/>
      <c r="D922" s="261" t="str">
        <f t="shared" si="85"/>
        <v/>
      </c>
      <c r="E922" s="262" t="str">
        <f t="shared" si="90"/>
        <v/>
      </c>
      <c r="F922" s="125" t="str">
        <f>IF(G922="","",VLOOKUP(G922,プルダウン用リスト!$K$1:$M$16,2,FALSE))</f>
        <v/>
      </c>
      <c r="G922" s="67"/>
      <c r="H922" s="55"/>
      <c r="I922" s="67"/>
      <c r="J922" s="134"/>
      <c r="K922" s="68"/>
      <c r="L922" s="69"/>
      <c r="M922" s="69"/>
      <c r="N922" s="260" t="str">
        <f t="shared" si="86"/>
        <v/>
      </c>
      <c r="O922" s="256">
        <f t="shared" si="88"/>
        <v>0</v>
      </c>
      <c r="P922" s="257" t="str">
        <f t="shared" si="87"/>
        <v>×</v>
      </c>
      <c r="Q922" s="272" t="str">
        <f t="shared" si="89"/>
        <v/>
      </c>
    </row>
    <row r="923" spans="2:17">
      <c r="B923" s="65"/>
      <c r="C923" s="54"/>
      <c r="D923" s="261" t="str">
        <f t="shared" si="85"/>
        <v/>
      </c>
      <c r="E923" s="262" t="str">
        <f t="shared" si="90"/>
        <v/>
      </c>
      <c r="F923" s="125" t="str">
        <f>IF(G923="","",VLOOKUP(G923,プルダウン用リスト!$K$1:$M$16,2,FALSE))</f>
        <v/>
      </c>
      <c r="G923" s="67"/>
      <c r="H923" s="55"/>
      <c r="I923" s="67"/>
      <c r="J923" s="134"/>
      <c r="K923" s="68"/>
      <c r="L923" s="69"/>
      <c r="M923" s="69"/>
      <c r="N923" s="260" t="str">
        <f t="shared" si="86"/>
        <v/>
      </c>
      <c r="O923" s="256">
        <f t="shared" si="88"/>
        <v>0</v>
      </c>
      <c r="P923" s="257" t="str">
        <f t="shared" si="87"/>
        <v>×</v>
      </c>
      <c r="Q923" s="272" t="str">
        <f t="shared" si="89"/>
        <v/>
      </c>
    </row>
    <row r="924" spans="2:17">
      <c r="B924" s="65"/>
      <c r="C924" s="54"/>
      <c r="D924" s="261" t="str">
        <f t="shared" si="85"/>
        <v/>
      </c>
      <c r="E924" s="262" t="str">
        <f t="shared" si="90"/>
        <v/>
      </c>
      <c r="F924" s="125" t="str">
        <f>IF(G924="","",VLOOKUP(G924,プルダウン用リスト!$K$1:$M$16,2,FALSE))</f>
        <v/>
      </c>
      <c r="G924" s="67"/>
      <c r="H924" s="67"/>
      <c r="I924" s="67"/>
      <c r="J924" s="134"/>
      <c r="K924" s="68"/>
      <c r="L924" s="69"/>
      <c r="M924" s="69"/>
      <c r="N924" s="260" t="str">
        <f t="shared" si="86"/>
        <v/>
      </c>
      <c r="O924" s="256">
        <f t="shared" si="88"/>
        <v>0</v>
      </c>
      <c r="P924" s="257" t="str">
        <f t="shared" si="87"/>
        <v>×</v>
      </c>
      <c r="Q924" s="272" t="str">
        <f t="shared" si="89"/>
        <v/>
      </c>
    </row>
    <row r="925" spans="2:17">
      <c r="B925" s="65"/>
      <c r="C925" s="54"/>
      <c r="D925" s="261" t="str">
        <f t="shared" si="85"/>
        <v/>
      </c>
      <c r="E925" s="262" t="str">
        <f t="shared" si="90"/>
        <v/>
      </c>
      <c r="F925" s="125" t="str">
        <f>IF(G925="","",VLOOKUP(G925,プルダウン用リスト!$K$1:$M$16,2,FALSE))</f>
        <v/>
      </c>
      <c r="G925" s="67"/>
      <c r="H925" s="55"/>
      <c r="I925" s="67"/>
      <c r="J925" s="134"/>
      <c r="K925" s="68"/>
      <c r="L925" s="69"/>
      <c r="M925" s="69"/>
      <c r="N925" s="260" t="str">
        <f t="shared" si="86"/>
        <v/>
      </c>
      <c r="O925" s="256">
        <f t="shared" si="88"/>
        <v>0</v>
      </c>
      <c r="P925" s="257" t="str">
        <f t="shared" si="87"/>
        <v>×</v>
      </c>
      <c r="Q925" s="272" t="str">
        <f t="shared" si="89"/>
        <v/>
      </c>
    </row>
    <row r="926" spans="2:17">
      <c r="B926" s="65"/>
      <c r="C926" s="54"/>
      <c r="D926" s="261" t="str">
        <f t="shared" si="85"/>
        <v/>
      </c>
      <c r="E926" s="262" t="str">
        <f t="shared" si="90"/>
        <v/>
      </c>
      <c r="F926" s="125" t="str">
        <f>IF(G926="","",VLOOKUP(G926,プルダウン用リスト!$K$1:$M$16,2,FALSE))</f>
        <v/>
      </c>
      <c r="G926" s="67"/>
      <c r="H926" s="55"/>
      <c r="I926" s="67"/>
      <c r="J926" s="134"/>
      <c r="K926" s="68"/>
      <c r="L926" s="69"/>
      <c r="M926" s="69"/>
      <c r="N926" s="260" t="str">
        <f t="shared" si="86"/>
        <v/>
      </c>
      <c r="O926" s="256">
        <f t="shared" si="88"/>
        <v>0</v>
      </c>
      <c r="P926" s="257" t="str">
        <f t="shared" si="87"/>
        <v>×</v>
      </c>
      <c r="Q926" s="272" t="str">
        <f t="shared" si="89"/>
        <v/>
      </c>
    </row>
    <row r="927" spans="2:17">
      <c r="B927" s="65"/>
      <c r="C927" s="54"/>
      <c r="D927" s="261" t="str">
        <f t="shared" si="85"/>
        <v/>
      </c>
      <c r="E927" s="262" t="str">
        <f t="shared" si="90"/>
        <v/>
      </c>
      <c r="F927" s="125" t="str">
        <f>IF(G927="","",VLOOKUP(G927,プルダウン用リスト!$K$1:$M$16,2,FALSE))</f>
        <v/>
      </c>
      <c r="G927" s="67"/>
      <c r="H927" s="67"/>
      <c r="I927" s="67"/>
      <c r="J927" s="134"/>
      <c r="K927" s="68"/>
      <c r="L927" s="69"/>
      <c r="M927" s="69"/>
      <c r="N927" s="260" t="str">
        <f t="shared" si="86"/>
        <v/>
      </c>
      <c r="O927" s="256">
        <f t="shared" si="88"/>
        <v>0</v>
      </c>
      <c r="P927" s="257" t="str">
        <f t="shared" si="87"/>
        <v>×</v>
      </c>
      <c r="Q927" s="272" t="str">
        <f t="shared" si="89"/>
        <v/>
      </c>
    </row>
    <row r="928" spans="2:17">
      <c r="B928" s="65"/>
      <c r="C928" s="54"/>
      <c r="D928" s="261" t="str">
        <f t="shared" si="85"/>
        <v/>
      </c>
      <c r="E928" s="262" t="str">
        <f t="shared" si="90"/>
        <v/>
      </c>
      <c r="F928" s="125" t="str">
        <f>IF(G928="","",VLOOKUP(G928,プルダウン用リスト!$K$1:$M$16,2,FALSE))</f>
        <v/>
      </c>
      <c r="G928" s="67"/>
      <c r="H928" s="55"/>
      <c r="I928" s="67"/>
      <c r="J928" s="134"/>
      <c r="K928" s="68"/>
      <c r="L928" s="69"/>
      <c r="M928" s="69"/>
      <c r="N928" s="260" t="str">
        <f t="shared" si="86"/>
        <v/>
      </c>
      <c r="O928" s="256">
        <f t="shared" si="88"/>
        <v>0</v>
      </c>
      <c r="P928" s="257" t="str">
        <f t="shared" si="87"/>
        <v>×</v>
      </c>
      <c r="Q928" s="272" t="str">
        <f t="shared" si="89"/>
        <v/>
      </c>
    </row>
    <row r="929" spans="2:17">
      <c r="B929" s="65"/>
      <c r="C929" s="54"/>
      <c r="D929" s="261" t="str">
        <f t="shared" si="85"/>
        <v/>
      </c>
      <c r="E929" s="262" t="str">
        <f t="shared" si="90"/>
        <v/>
      </c>
      <c r="F929" s="125" t="str">
        <f>IF(G929="","",VLOOKUP(G929,プルダウン用リスト!$K$1:$M$16,2,FALSE))</f>
        <v/>
      </c>
      <c r="G929" s="67"/>
      <c r="H929" s="55"/>
      <c r="I929" s="67"/>
      <c r="J929" s="134"/>
      <c r="K929" s="68"/>
      <c r="L929" s="69"/>
      <c r="M929" s="69"/>
      <c r="N929" s="260" t="str">
        <f t="shared" si="86"/>
        <v/>
      </c>
      <c r="O929" s="256">
        <f t="shared" si="88"/>
        <v>0</v>
      </c>
      <c r="P929" s="257" t="str">
        <f t="shared" si="87"/>
        <v>×</v>
      </c>
      <c r="Q929" s="272" t="str">
        <f t="shared" si="89"/>
        <v/>
      </c>
    </row>
    <row r="930" spans="2:17">
      <c r="B930" s="65"/>
      <c r="C930" s="66"/>
      <c r="D930" s="261" t="str">
        <f t="shared" si="85"/>
        <v/>
      </c>
      <c r="E930" s="262" t="str">
        <f t="shared" si="90"/>
        <v/>
      </c>
      <c r="F930" s="125" t="str">
        <f>IF(G930="","",VLOOKUP(G930,プルダウン用リスト!$K$1:$M$16,2,FALSE))</f>
        <v/>
      </c>
      <c r="G930" s="67"/>
      <c r="H930" s="67"/>
      <c r="I930" s="67"/>
      <c r="J930" s="134"/>
      <c r="K930" s="68"/>
      <c r="L930" s="69"/>
      <c r="M930" s="69"/>
      <c r="N930" s="260" t="str">
        <f t="shared" si="86"/>
        <v/>
      </c>
      <c r="O930" s="256">
        <f t="shared" si="88"/>
        <v>0</v>
      </c>
      <c r="P930" s="257" t="str">
        <f t="shared" si="87"/>
        <v>×</v>
      </c>
      <c r="Q930" s="272" t="str">
        <f t="shared" si="89"/>
        <v/>
      </c>
    </row>
    <row r="931" spans="2:17">
      <c r="B931" s="65"/>
      <c r="C931" s="54"/>
      <c r="D931" s="261" t="str">
        <f t="shared" si="85"/>
        <v/>
      </c>
      <c r="E931" s="262" t="str">
        <f t="shared" si="90"/>
        <v/>
      </c>
      <c r="F931" s="125" t="str">
        <f>IF(G931="","",VLOOKUP(G931,プルダウン用リスト!$K$1:$M$16,2,FALSE))</f>
        <v/>
      </c>
      <c r="G931" s="67"/>
      <c r="H931" s="55"/>
      <c r="I931" s="67"/>
      <c r="J931" s="134"/>
      <c r="K931" s="68"/>
      <c r="L931" s="69"/>
      <c r="M931" s="69"/>
      <c r="N931" s="260" t="str">
        <f t="shared" si="86"/>
        <v/>
      </c>
      <c r="O931" s="256">
        <f t="shared" si="88"/>
        <v>0</v>
      </c>
      <c r="P931" s="257" t="str">
        <f t="shared" si="87"/>
        <v>×</v>
      </c>
      <c r="Q931" s="272" t="str">
        <f t="shared" si="89"/>
        <v/>
      </c>
    </row>
    <row r="932" spans="2:17">
      <c r="B932" s="65"/>
      <c r="C932" s="54"/>
      <c r="D932" s="261" t="str">
        <f t="shared" si="85"/>
        <v/>
      </c>
      <c r="E932" s="262" t="str">
        <f t="shared" si="90"/>
        <v/>
      </c>
      <c r="F932" s="125" t="str">
        <f>IF(G932="","",VLOOKUP(G932,プルダウン用リスト!$K$1:$M$16,2,FALSE))</f>
        <v/>
      </c>
      <c r="G932" s="67"/>
      <c r="H932" s="55"/>
      <c r="I932" s="67"/>
      <c r="J932" s="134"/>
      <c r="K932" s="68"/>
      <c r="L932" s="69"/>
      <c r="M932" s="69"/>
      <c r="N932" s="260" t="str">
        <f t="shared" si="86"/>
        <v/>
      </c>
      <c r="O932" s="256">
        <f t="shared" si="88"/>
        <v>0</v>
      </c>
      <c r="P932" s="257" t="str">
        <f t="shared" si="87"/>
        <v>×</v>
      </c>
      <c r="Q932" s="272" t="str">
        <f t="shared" si="89"/>
        <v/>
      </c>
    </row>
    <row r="933" spans="2:17">
      <c r="B933" s="65"/>
      <c r="C933" s="54"/>
      <c r="D933" s="261" t="str">
        <f t="shared" si="85"/>
        <v/>
      </c>
      <c r="E933" s="262" t="str">
        <f t="shared" si="90"/>
        <v/>
      </c>
      <c r="F933" s="125" t="str">
        <f>IF(G933="","",VLOOKUP(G933,プルダウン用リスト!$K$1:$M$16,2,FALSE))</f>
        <v/>
      </c>
      <c r="G933" s="67"/>
      <c r="H933" s="67"/>
      <c r="I933" s="67"/>
      <c r="J933" s="134"/>
      <c r="K933" s="68"/>
      <c r="L933" s="69"/>
      <c r="M933" s="69"/>
      <c r="N933" s="260" t="str">
        <f t="shared" si="86"/>
        <v/>
      </c>
      <c r="O933" s="256">
        <f t="shared" si="88"/>
        <v>0</v>
      </c>
      <c r="P933" s="257" t="str">
        <f t="shared" si="87"/>
        <v>×</v>
      </c>
      <c r="Q933" s="272" t="str">
        <f t="shared" si="89"/>
        <v/>
      </c>
    </row>
    <row r="934" spans="2:17">
      <c r="B934" s="65"/>
      <c r="C934" s="54"/>
      <c r="D934" s="261" t="str">
        <f t="shared" si="85"/>
        <v/>
      </c>
      <c r="E934" s="262" t="str">
        <f t="shared" si="90"/>
        <v/>
      </c>
      <c r="F934" s="125" t="str">
        <f>IF(G934="","",VLOOKUP(G934,プルダウン用リスト!$K$1:$M$16,2,FALSE))</f>
        <v/>
      </c>
      <c r="G934" s="67"/>
      <c r="H934" s="55"/>
      <c r="I934" s="67"/>
      <c r="J934" s="134"/>
      <c r="K934" s="68"/>
      <c r="L934" s="69"/>
      <c r="M934" s="69"/>
      <c r="N934" s="260" t="str">
        <f t="shared" si="86"/>
        <v/>
      </c>
      <c r="O934" s="256">
        <f t="shared" si="88"/>
        <v>0</v>
      </c>
      <c r="P934" s="257" t="str">
        <f t="shared" si="87"/>
        <v>×</v>
      </c>
      <c r="Q934" s="272" t="str">
        <f t="shared" si="89"/>
        <v/>
      </c>
    </row>
    <row r="935" spans="2:17">
      <c r="B935" s="65"/>
      <c r="C935" s="54"/>
      <c r="D935" s="261" t="str">
        <f t="shared" si="85"/>
        <v/>
      </c>
      <c r="E935" s="262" t="str">
        <f t="shared" si="90"/>
        <v/>
      </c>
      <c r="F935" s="125" t="str">
        <f>IF(G935="","",VLOOKUP(G935,プルダウン用リスト!$K$1:$M$16,2,FALSE))</f>
        <v/>
      </c>
      <c r="G935" s="67"/>
      <c r="H935" s="55"/>
      <c r="I935" s="67"/>
      <c r="J935" s="134"/>
      <c r="K935" s="68"/>
      <c r="L935" s="69"/>
      <c r="M935" s="69"/>
      <c r="N935" s="260" t="str">
        <f t="shared" si="86"/>
        <v/>
      </c>
      <c r="O935" s="256">
        <f t="shared" si="88"/>
        <v>0</v>
      </c>
      <c r="P935" s="257" t="str">
        <f t="shared" si="87"/>
        <v>×</v>
      </c>
      <c r="Q935" s="272" t="str">
        <f t="shared" si="89"/>
        <v/>
      </c>
    </row>
    <row r="936" spans="2:17">
      <c r="B936" s="65"/>
      <c r="C936" s="54"/>
      <c r="D936" s="261" t="str">
        <f t="shared" si="85"/>
        <v/>
      </c>
      <c r="E936" s="262" t="str">
        <f t="shared" si="90"/>
        <v/>
      </c>
      <c r="F936" s="125" t="str">
        <f>IF(G936="","",VLOOKUP(G936,プルダウン用リスト!$K$1:$M$16,2,FALSE))</f>
        <v/>
      </c>
      <c r="G936" s="67"/>
      <c r="H936" s="67"/>
      <c r="I936" s="67"/>
      <c r="J936" s="134"/>
      <c r="K936" s="68"/>
      <c r="L936" s="69"/>
      <c r="M936" s="69"/>
      <c r="N936" s="260" t="str">
        <f t="shared" si="86"/>
        <v/>
      </c>
      <c r="O936" s="256">
        <f t="shared" si="88"/>
        <v>0</v>
      </c>
      <c r="P936" s="257" t="str">
        <f t="shared" si="87"/>
        <v>×</v>
      </c>
      <c r="Q936" s="272" t="str">
        <f t="shared" si="89"/>
        <v/>
      </c>
    </row>
    <row r="937" spans="2:17">
      <c r="B937" s="65"/>
      <c r="C937" s="54"/>
      <c r="D937" s="261" t="str">
        <f t="shared" si="85"/>
        <v/>
      </c>
      <c r="E937" s="262" t="str">
        <f t="shared" si="90"/>
        <v/>
      </c>
      <c r="F937" s="125" t="str">
        <f>IF(G937="","",VLOOKUP(G937,プルダウン用リスト!$K$1:$M$16,2,FALSE))</f>
        <v/>
      </c>
      <c r="G937" s="67"/>
      <c r="H937" s="55"/>
      <c r="I937" s="67"/>
      <c r="J937" s="134"/>
      <c r="K937" s="68"/>
      <c r="L937" s="69"/>
      <c r="M937" s="69"/>
      <c r="N937" s="260" t="str">
        <f t="shared" si="86"/>
        <v/>
      </c>
      <c r="O937" s="256">
        <f t="shared" si="88"/>
        <v>0</v>
      </c>
      <c r="P937" s="257" t="str">
        <f t="shared" si="87"/>
        <v>×</v>
      </c>
      <c r="Q937" s="272" t="str">
        <f t="shared" si="89"/>
        <v/>
      </c>
    </row>
    <row r="938" spans="2:17">
      <c r="B938" s="65"/>
      <c r="C938" s="54"/>
      <c r="D938" s="261" t="str">
        <f t="shared" si="85"/>
        <v/>
      </c>
      <c r="E938" s="262" t="str">
        <f t="shared" si="90"/>
        <v/>
      </c>
      <c r="F938" s="125" t="str">
        <f>IF(G938="","",VLOOKUP(G938,プルダウン用リスト!$K$1:$M$16,2,FALSE))</f>
        <v/>
      </c>
      <c r="G938" s="67"/>
      <c r="H938" s="55"/>
      <c r="I938" s="67"/>
      <c r="J938" s="134"/>
      <c r="K938" s="68"/>
      <c r="L938" s="69"/>
      <c r="M938" s="69"/>
      <c r="N938" s="260" t="str">
        <f t="shared" si="86"/>
        <v/>
      </c>
      <c r="O938" s="256">
        <f t="shared" si="88"/>
        <v>0</v>
      </c>
      <c r="P938" s="257" t="str">
        <f t="shared" si="87"/>
        <v>×</v>
      </c>
      <c r="Q938" s="272" t="str">
        <f t="shared" si="89"/>
        <v/>
      </c>
    </row>
    <row r="939" spans="2:17">
      <c r="B939" s="65"/>
      <c r="C939" s="54"/>
      <c r="D939" s="261" t="str">
        <f t="shared" si="85"/>
        <v/>
      </c>
      <c r="E939" s="262" t="str">
        <f t="shared" si="90"/>
        <v/>
      </c>
      <c r="F939" s="125" t="str">
        <f>IF(G939="","",VLOOKUP(G939,プルダウン用リスト!$K$1:$M$16,2,FALSE))</f>
        <v/>
      </c>
      <c r="G939" s="67"/>
      <c r="H939" s="67"/>
      <c r="I939" s="67"/>
      <c r="J939" s="134"/>
      <c r="K939" s="68"/>
      <c r="L939" s="69"/>
      <c r="M939" s="69"/>
      <c r="N939" s="260" t="str">
        <f t="shared" si="86"/>
        <v/>
      </c>
      <c r="O939" s="256">
        <f t="shared" si="88"/>
        <v>0</v>
      </c>
      <c r="P939" s="257" t="str">
        <f t="shared" si="87"/>
        <v>×</v>
      </c>
      <c r="Q939" s="272" t="str">
        <f t="shared" si="89"/>
        <v/>
      </c>
    </row>
    <row r="940" spans="2:17">
      <c r="B940" s="65"/>
      <c r="C940" s="54"/>
      <c r="D940" s="261" t="str">
        <f t="shared" si="85"/>
        <v/>
      </c>
      <c r="E940" s="262" t="str">
        <f t="shared" si="90"/>
        <v/>
      </c>
      <c r="F940" s="125" t="str">
        <f>IF(G940="","",VLOOKUP(G940,プルダウン用リスト!$K$1:$M$16,2,FALSE))</f>
        <v/>
      </c>
      <c r="G940" s="67"/>
      <c r="H940" s="55"/>
      <c r="I940" s="67"/>
      <c r="J940" s="134"/>
      <c r="K940" s="68"/>
      <c r="L940" s="69"/>
      <c r="M940" s="69"/>
      <c r="N940" s="260" t="str">
        <f t="shared" si="86"/>
        <v/>
      </c>
      <c r="O940" s="256">
        <f t="shared" si="88"/>
        <v>0</v>
      </c>
      <c r="P940" s="257" t="str">
        <f t="shared" si="87"/>
        <v>×</v>
      </c>
      <c r="Q940" s="272" t="str">
        <f t="shared" si="89"/>
        <v/>
      </c>
    </row>
    <row r="941" spans="2:17">
      <c r="B941" s="65"/>
      <c r="C941" s="54"/>
      <c r="D941" s="261" t="str">
        <f t="shared" si="85"/>
        <v/>
      </c>
      <c r="E941" s="262" t="str">
        <f t="shared" si="90"/>
        <v/>
      </c>
      <c r="F941" s="125" t="str">
        <f>IF(G941="","",VLOOKUP(G941,プルダウン用リスト!$K$1:$M$16,2,FALSE))</f>
        <v/>
      </c>
      <c r="G941" s="67"/>
      <c r="H941" s="55"/>
      <c r="I941" s="67"/>
      <c r="J941" s="134"/>
      <c r="K941" s="68"/>
      <c r="L941" s="69"/>
      <c r="M941" s="69"/>
      <c r="N941" s="260" t="str">
        <f t="shared" si="86"/>
        <v/>
      </c>
      <c r="O941" s="256">
        <f t="shared" si="88"/>
        <v>0</v>
      </c>
      <c r="P941" s="257" t="str">
        <f t="shared" si="87"/>
        <v>×</v>
      </c>
      <c r="Q941" s="272" t="str">
        <f t="shared" si="89"/>
        <v/>
      </c>
    </row>
    <row r="942" spans="2:17">
      <c r="B942" s="65"/>
      <c r="C942" s="66"/>
      <c r="D942" s="261" t="str">
        <f t="shared" si="85"/>
        <v/>
      </c>
      <c r="E942" s="262" t="str">
        <f t="shared" si="90"/>
        <v/>
      </c>
      <c r="F942" s="125" t="str">
        <f>IF(G942="","",VLOOKUP(G942,プルダウン用リスト!$K$1:$M$16,2,FALSE))</f>
        <v/>
      </c>
      <c r="G942" s="67"/>
      <c r="H942" s="67"/>
      <c r="I942" s="67"/>
      <c r="J942" s="134"/>
      <c r="K942" s="68"/>
      <c r="L942" s="69"/>
      <c r="M942" s="69"/>
      <c r="N942" s="260" t="str">
        <f t="shared" si="86"/>
        <v/>
      </c>
      <c r="O942" s="256">
        <f t="shared" si="88"/>
        <v>0</v>
      </c>
      <c r="P942" s="257" t="str">
        <f t="shared" si="87"/>
        <v>×</v>
      </c>
      <c r="Q942" s="272" t="str">
        <f t="shared" si="89"/>
        <v/>
      </c>
    </row>
    <row r="943" spans="2:17">
      <c r="B943" s="65"/>
      <c r="C943" s="54"/>
      <c r="D943" s="261" t="str">
        <f t="shared" si="85"/>
        <v/>
      </c>
      <c r="E943" s="262" t="str">
        <f t="shared" si="90"/>
        <v/>
      </c>
      <c r="F943" s="125" t="str">
        <f>IF(G943="","",VLOOKUP(G943,プルダウン用リスト!$K$1:$M$16,2,FALSE))</f>
        <v/>
      </c>
      <c r="G943" s="67"/>
      <c r="H943" s="55"/>
      <c r="I943" s="67"/>
      <c r="J943" s="134"/>
      <c r="K943" s="68"/>
      <c r="L943" s="69"/>
      <c r="M943" s="69"/>
      <c r="N943" s="260" t="str">
        <f t="shared" si="86"/>
        <v/>
      </c>
      <c r="O943" s="256">
        <f t="shared" si="88"/>
        <v>0</v>
      </c>
      <c r="P943" s="257" t="str">
        <f t="shared" si="87"/>
        <v>×</v>
      </c>
      <c r="Q943" s="272" t="str">
        <f t="shared" si="89"/>
        <v/>
      </c>
    </row>
    <row r="944" spans="2:17">
      <c r="B944" s="65"/>
      <c r="C944" s="54"/>
      <c r="D944" s="261" t="str">
        <f t="shared" si="85"/>
        <v/>
      </c>
      <c r="E944" s="262" t="str">
        <f t="shared" si="90"/>
        <v/>
      </c>
      <c r="F944" s="125" t="str">
        <f>IF(G944="","",VLOOKUP(G944,プルダウン用リスト!$K$1:$M$16,2,FALSE))</f>
        <v/>
      </c>
      <c r="G944" s="67"/>
      <c r="H944" s="55"/>
      <c r="I944" s="67"/>
      <c r="J944" s="134"/>
      <c r="K944" s="68"/>
      <c r="L944" s="69"/>
      <c r="M944" s="69"/>
      <c r="N944" s="260" t="str">
        <f t="shared" si="86"/>
        <v/>
      </c>
      <c r="O944" s="256">
        <f t="shared" si="88"/>
        <v>0</v>
      </c>
      <c r="P944" s="257" t="str">
        <f t="shared" si="87"/>
        <v>×</v>
      </c>
      <c r="Q944" s="272" t="str">
        <f t="shared" si="89"/>
        <v/>
      </c>
    </row>
    <row r="945" spans="2:17">
      <c r="B945" s="65"/>
      <c r="C945" s="54"/>
      <c r="D945" s="261" t="str">
        <f t="shared" si="85"/>
        <v/>
      </c>
      <c r="E945" s="262" t="str">
        <f t="shared" si="90"/>
        <v/>
      </c>
      <c r="F945" s="125" t="str">
        <f>IF(G945="","",VLOOKUP(G945,プルダウン用リスト!$K$1:$M$16,2,FALSE))</f>
        <v/>
      </c>
      <c r="G945" s="67"/>
      <c r="H945" s="67"/>
      <c r="I945" s="67"/>
      <c r="J945" s="134"/>
      <c r="K945" s="68"/>
      <c r="L945" s="69"/>
      <c r="M945" s="69"/>
      <c r="N945" s="260" t="str">
        <f t="shared" si="86"/>
        <v/>
      </c>
      <c r="O945" s="256">
        <f t="shared" si="88"/>
        <v>0</v>
      </c>
      <c r="P945" s="257" t="str">
        <f t="shared" si="87"/>
        <v>×</v>
      </c>
      <c r="Q945" s="272" t="str">
        <f t="shared" si="89"/>
        <v/>
      </c>
    </row>
    <row r="946" spans="2:17">
      <c r="B946" s="65"/>
      <c r="C946" s="54"/>
      <c r="D946" s="261" t="str">
        <f t="shared" si="85"/>
        <v/>
      </c>
      <c r="E946" s="262" t="str">
        <f t="shared" si="90"/>
        <v/>
      </c>
      <c r="F946" s="125" t="str">
        <f>IF(G946="","",VLOOKUP(G946,プルダウン用リスト!$K$1:$M$16,2,FALSE))</f>
        <v/>
      </c>
      <c r="G946" s="67"/>
      <c r="H946" s="55"/>
      <c r="I946" s="67"/>
      <c r="J946" s="134"/>
      <c r="K946" s="68"/>
      <c r="L946" s="69"/>
      <c r="M946" s="69"/>
      <c r="N946" s="260" t="str">
        <f t="shared" si="86"/>
        <v/>
      </c>
      <c r="O946" s="256">
        <f t="shared" si="88"/>
        <v>0</v>
      </c>
      <c r="P946" s="257" t="str">
        <f t="shared" si="87"/>
        <v>×</v>
      </c>
      <c r="Q946" s="272" t="str">
        <f t="shared" si="89"/>
        <v/>
      </c>
    </row>
    <row r="947" spans="2:17">
      <c r="B947" s="65"/>
      <c r="C947" s="54"/>
      <c r="D947" s="261" t="str">
        <f t="shared" si="85"/>
        <v/>
      </c>
      <c r="E947" s="262" t="str">
        <f t="shared" si="90"/>
        <v/>
      </c>
      <c r="F947" s="125" t="str">
        <f>IF(G947="","",VLOOKUP(G947,プルダウン用リスト!$K$1:$M$16,2,FALSE))</f>
        <v/>
      </c>
      <c r="G947" s="67"/>
      <c r="H947" s="55"/>
      <c r="I947" s="67"/>
      <c r="J947" s="134"/>
      <c r="K947" s="68"/>
      <c r="L947" s="69"/>
      <c r="M947" s="69"/>
      <c r="N947" s="260" t="str">
        <f t="shared" si="86"/>
        <v/>
      </c>
      <c r="O947" s="256">
        <f t="shared" si="88"/>
        <v>0</v>
      </c>
      <c r="P947" s="257" t="str">
        <f t="shared" si="87"/>
        <v>×</v>
      </c>
      <c r="Q947" s="272" t="str">
        <f t="shared" si="89"/>
        <v/>
      </c>
    </row>
    <row r="948" spans="2:17">
      <c r="B948" s="65"/>
      <c r="C948" s="54"/>
      <c r="D948" s="261" t="str">
        <f t="shared" si="85"/>
        <v/>
      </c>
      <c r="E948" s="262" t="str">
        <f t="shared" si="90"/>
        <v/>
      </c>
      <c r="F948" s="125" t="str">
        <f>IF(G948="","",VLOOKUP(G948,プルダウン用リスト!$K$1:$M$16,2,FALSE))</f>
        <v/>
      </c>
      <c r="G948" s="67"/>
      <c r="H948" s="67"/>
      <c r="I948" s="67"/>
      <c r="J948" s="134"/>
      <c r="K948" s="68"/>
      <c r="L948" s="69"/>
      <c r="M948" s="69"/>
      <c r="N948" s="260" t="str">
        <f t="shared" si="86"/>
        <v/>
      </c>
      <c r="O948" s="256">
        <f t="shared" si="88"/>
        <v>0</v>
      </c>
      <c r="P948" s="257" t="str">
        <f t="shared" si="87"/>
        <v>×</v>
      </c>
      <c r="Q948" s="272" t="str">
        <f t="shared" si="89"/>
        <v/>
      </c>
    </row>
    <row r="949" spans="2:17">
      <c r="B949" s="65"/>
      <c r="C949" s="54"/>
      <c r="D949" s="261" t="str">
        <f t="shared" si="85"/>
        <v/>
      </c>
      <c r="E949" s="262" t="str">
        <f t="shared" si="90"/>
        <v/>
      </c>
      <c r="F949" s="125" t="str">
        <f>IF(G949="","",VLOOKUP(G949,プルダウン用リスト!$K$1:$M$16,2,FALSE))</f>
        <v/>
      </c>
      <c r="G949" s="67"/>
      <c r="H949" s="55"/>
      <c r="I949" s="67"/>
      <c r="J949" s="134"/>
      <c r="K949" s="68"/>
      <c r="L949" s="69"/>
      <c r="M949" s="69"/>
      <c r="N949" s="260" t="str">
        <f t="shared" si="86"/>
        <v/>
      </c>
      <c r="O949" s="256">
        <f t="shared" si="88"/>
        <v>0</v>
      </c>
      <c r="P949" s="257" t="str">
        <f t="shared" si="87"/>
        <v>×</v>
      </c>
      <c r="Q949" s="272" t="str">
        <f t="shared" si="89"/>
        <v/>
      </c>
    </row>
    <row r="950" spans="2:17">
      <c r="B950" s="65"/>
      <c r="C950" s="54"/>
      <c r="D950" s="261" t="str">
        <f t="shared" si="85"/>
        <v/>
      </c>
      <c r="E950" s="262" t="str">
        <f t="shared" si="90"/>
        <v/>
      </c>
      <c r="F950" s="125" t="str">
        <f>IF(G950="","",VLOOKUP(G950,プルダウン用リスト!$K$1:$M$16,2,FALSE))</f>
        <v/>
      </c>
      <c r="G950" s="67"/>
      <c r="H950" s="55"/>
      <c r="I950" s="67"/>
      <c r="J950" s="134"/>
      <c r="K950" s="68"/>
      <c r="L950" s="69"/>
      <c r="M950" s="69"/>
      <c r="N950" s="260" t="str">
        <f t="shared" si="86"/>
        <v/>
      </c>
      <c r="O950" s="256">
        <f t="shared" si="88"/>
        <v>0</v>
      </c>
      <c r="P950" s="257" t="str">
        <f t="shared" si="87"/>
        <v>×</v>
      </c>
      <c r="Q950" s="272" t="str">
        <f t="shared" si="89"/>
        <v/>
      </c>
    </row>
    <row r="951" spans="2:17">
      <c r="B951" s="65"/>
      <c r="C951" s="54"/>
      <c r="D951" s="261" t="str">
        <f t="shared" si="85"/>
        <v/>
      </c>
      <c r="E951" s="262" t="str">
        <f t="shared" si="90"/>
        <v/>
      </c>
      <c r="F951" s="125" t="str">
        <f>IF(G951="","",VLOOKUP(G951,プルダウン用リスト!$K$1:$M$16,2,FALSE))</f>
        <v/>
      </c>
      <c r="G951" s="67"/>
      <c r="H951" s="67"/>
      <c r="I951" s="67"/>
      <c r="J951" s="134"/>
      <c r="K951" s="68"/>
      <c r="L951" s="69"/>
      <c r="M951" s="69"/>
      <c r="N951" s="260" t="str">
        <f t="shared" si="86"/>
        <v/>
      </c>
      <c r="O951" s="256">
        <f t="shared" si="88"/>
        <v>0</v>
      </c>
      <c r="P951" s="257" t="str">
        <f t="shared" si="87"/>
        <v>×</v>
      </c>
      <c r="Q951" s="272" t="str">
        <f t="shared" si="89"/>
        <v/>
      </c>
    </row>
    <row r="952" spans="2:17">
      <c r="B952" s="65"/>
      <c r="C952" s="54"/>
      <c r="D952" s="261" t="str">
        <f t="shared" si="85"/>
        <v/>
      </c>
      <c r="E952" s="262" t="str">
        <f t="shared" si="90"/>
        <v/>
      </c>
      <c r="F952" s="125" t="str">
        <f>IF(G952="","",VLOOKUP(G952,プルダウン用リスト!$K$1:$M$16,2,FALSE))</f>
        <v/>
      </c>
      <c r="G952" s="67"/>
      <c r="H952" s="55"/>
      <c r="I952" s="67"/>
      <c r="J952" s="134"/>
      <c r="K952" s="68"/>
      <c r="L952" s="69"/>
      <c r="M952" s="69"/>
      <c r="N952" s="260" t="str">
        <f t="shared" si="86"/>
        <v/>
      </c>
      <c r="O952" s="256">
        <f t="shared" si="88"/>
        <v>0</v>
      </c>
      <c r="P952" s="257" t="str">
        <f t="shared" si="87"/>
        <v>×</v>
      </c>
      <c r="Q952" s="272" t="str">
        <f t="shared" si="89"/>
        <v/>
      </c>
    </row>
    <row r="953" spans="2:17">
      <c r="B953" s="65"/>
      <c r="C953" s="54"/>
      <c r="D953" s="261" t="str">
        <f t="shared" si="85"/>
        <v/>
      </c>
      <c r="E953" s="262" t="str">
        <f t="shared" si="90"/>
        <v/>
      </c>
      <c r="F953" s="125" t="str">
        <f>IF(G953="","",VLOOKUP(G953,プルダウン用リスト!$K$1:$M$16,2,FALSE))</f>
        <v/>
      </c>
      <c r="G953" s="67"/>
      <c r="H953" s="55"/>
      <c r="I953" s="67"/>
      <c r="J953" s="134"/>
      <c r="K953" s="68"/>
      <c r="L953" s="69"/>
      <c r="M953" s="69"/>
      <c r="N953" s="260" t="str">
        <f t="shared" si="86"/>
        <v/>
      </c>
      <c r="O953" s="256">
        <f t="shared" si="88"/>
        <v>0</v>
      </c>
      <c r="P953" s="257" t="str">
        <f t="shared" si="87"/>
        <v>×</v>
      </c>
      <c r="Q953" s="272" t="str">
        <f t="shared" si="89"/>
        <v/>
      </c>
    </row>
    <row r="954" spans="2:17">
      <c r="B954" s="65"/>
      <c r="C954" s="66"/>
      <c r="D954" s="261" t="str">
        <f t="shared" si="85"/>
        <v/>
      </c>
      <c r="E954" s="262" t="str">
        <f t="shared" si="90"/>
        <v/>
      </c>
      <c r="F954" s="125" t="str">
        <f>IF(G954="","",VLOOKUP(G954,プルダウン用リスト!$K$1:$M$16,2,FALSE))</f>
        <v/>
      </c>
      <c r="G954" s="67"/>
      <c r="H954" s="67"/>
      <c r="I954" s="67"/>
      <c r="J954" s="134"/>
      <c r="K954" s="68"/>
      <c r="L954" s="69"/>
      <c r="M954" s="69"/>
      <c r="N954" s="260" t="str">
        <f t="shared" si="86"/>
        <v/>
      </c>
      <c r="O954" s="256">
        <f t="shared" si="88"/>
        <v>0</v>
      </c>
      <c r="P954" s="257" t="str">
        <f t="shared" si="87"/>
        <v>×</v>
      </c>
      <c r="Q954" s="272" t="str">
        <f t="shared" si="89"/>
        <v/>
      </c>
    </row>
    <row r="955" spans="2:17">
      <c r="B955" s="65"/>
      <c r="C955" s="54"/>
      <c r="D955" s="261" t="str">
        <f t="shared" si="85"/>
        <v/>
      </c>
      <c r="E955" s="262" t="str">
        <f t="shared" si="90"/>
        <v/>
      </c>
      <c r="F955" s="125" t="str">
        <f>IF(G955="","",VLOOKUP(G955,プルダウン用リスト!$K$1:$M$16,2,FALSE))</f>
        <v/>
      </c>
      <c r="G955" s="67"/>
      <c r="H955" s="55"/>
      <c r="I955" s="67"/>
      <c r="J955" s="134"/>
      <c r="K955" s="68"/>
      <c r="L955" s="69"/>
      <c r="M955" s="69"/>
      <c r="N955" s="260" t="str">
        <f t="shared" si="86"/>
        <v/>
      </c>
      <c r="O955" s="256">
        <f t="shared" si="88"/>
        <v>0</v>
      </c>
      <c r="P955" s="257" t="str">
        <f t="shared" si="87"/>
        <v>×</v>
      </c>
      <c r="Q955" s="272" t="str">
        <f t="shared" si="89"/>
        <v/>
      </c>
    </row>
    <row r="956" spans="2:17">
      <c r="B956" s="65"/>
      <c r="C956" s="54"/>
      <c r="D956" s="261" t="str">
        <f t="shared" si="85"/>
        <v/>
      </c>
      <c r="E956" s="262" t="str">
        <f t="shared" si="90"/>
        <v/>
      </c>
      <c r="F956" s="125" t="str">
        <f>IF(G956="","",VLOOKUP(G956,プルダウン用リスト!$K$1:$M$16,2,FALSE))</f>
        <v/>
      </c>
      <c r="G956" s="67"/>
      <c r="H956" s="55"/>
      <c r="I956" s="67"/>
      <c r="J956" s="134"/>
      <c r="K956" s="68"/>
      <c r="L956" s="69"/>
      <c r="M956" s="69"/>
      <c r="N956" s="260" t="str">
        <f t="shared" si="86"/>
        <v/>
      </c>
      <c r="O956" s="256">
        <f t="shared" si="88"/>
        <v>0</v>
      </c>
      <c r="P956" s="257" t="str">
        <f t="shared" si="87"/>
        <v>×</v>
      </c>
      <c r="Q956" s="272" t="str">
        <f t="shared" si="89"/>
        <v/>
      </c>
    </row>
    <row r="957" spans="2:17">
      <c r="B957" s="65"/>
      <c r="C957" s="54"/>
      <c r="D957" s="261" t="str">
        <f t="shared" si="85"/>
        <v/>
      </c>
      <c r="E957" s="262" t="str">
        <f t="shared" si="90"/>
        <v/>
      </c>
      <c r="F957" s="125" t="str">
        <f>IF(G957="","",VLOOKUP(G957,プルダウン用リスト!$K$1:$M$16,2,FALSE))</f>
        <v/>
      </c>
      <c r="G957" s="67"/>
      <c r="H957" s="67"/>
      <c r="I957" s="67"/>
      <c r="J957" s="134"/>
      <c r="K957" s="68"/>
      <c r="L957" s="69"/>
      <c r="M957" s="69"/>
      <c r="N957" s="260" t="str">
        <f t="shared" si="86"/>
        <v/>
      </c>
      <c r="O957" s="256">
        <f t="shared" si="88"/>
        <v>0</v>
      </c>
      <c r="P957" s="257" t="str">
        <f t="shared" si="87"/>
        <v>×</v>
      </c>
      <c r="Q957" s="272" t="str">
        <f t="shared" si="89"/>
        <v/>
      </c>
    </row>
    <row r="958" spans="2:17">
      <c r="B958" s="65"/>
      <c r="C958" s="54"/>
      <c r="D958" s="261" t="str">
        <f t="shared" si="85"/>
        <v/>
      </c>
      <c r="E958" s="262" t="str">
        <f t="shared" si="90"/>
        <v/>
      </c>
      <c r="F958" s="125" t="str">
        <f>IF(G958="","",VLOOKUP(G958,プルダウン用リスト!$K$1:$M$16,2,FALSE))</f>
        <v/>
      </c>
      <c r="G958" s="67"/>
      <c r="H958" s="55"/>
      <c r="I958" s="67"/>
      <c r="J958" s="134"/>
      <c r="K958" s="68"/>
      <c r="L958" s="69"/>
      <c r="M958" s="69"/>
      <c r="N958" s="260" t="str">
        <f t="shared" si="86"/>
        <v/>
      </c>
      <c r="O958" s="256">
        <f t="shared" si="88"/>
        <v>0</v>
      </c>
      <c r="P958" s="257" t="str">
        <f t="shared" si="87"/>
        <v>×</v>
      </c>
      <c r="Q958" s="272" t="str">
        <f t="shared" si="89"/>
        <v/>
      </c>
    </row>
    <row r="959" spans="2:17">
      <c r="B959" s="65"/>
      <c r="C959" s="54"/>
      <c r="D959" s="261" t="str">
        <f t="shared" si="85"/>
        <v/>
      </c>
      <c r="E959" s="262" t="str">
        <f t="shared" si="90"/>
        <v/>
      </c>
      <c r="F959" s="125" t="str">
        <f>IF(G959="","",VLOOKUP(G959,プルダウン用リスト!$K$1:$M$16,2,FALSE))</f>
        <v/>
      </c>
      <c r="G959" s="67"/>
      <c r="H959" s="55"/>
      <c r="I959" s="67"/>
      <c r="J959" s="134"/>
      <c r="K959" s="68"/>
      <c r="L959" s="69"/>
      <c r="M959" s="69"/>
      <c r="N959" s="260" t="str">
        <f t="shared" si="86"/>
        <v/>
      </c>
      <c r="O959" s="256">
        <f t="shared" si="88"/>
        <v>0</v>
      </c>
      <c r="P959" s="257" t="str">
        <f t="shared" si="87"/>
        <v>×</v>
      </c>
      <c r="Q959" s="272" t="str">
        <f t="shared" si="89"/>
        <v/>
      </c>
    </row>
    <row r="960" spans="2:17">
      <c r="B960" s="65"/>
      <c r="C960" s="54"/>
      <c r="D960" s="261" t="str">
        <f t="shared" si="85"/>
        <v/>
      </c>
      <c r="E960" s="262" t="str">
        <f t="shared" si="90"/>
        <v/>
      </c>
      <c r="F960" s="125" t="str">
        <f>IF(G960="","",VLOOKUP(G960,プルダウン用リスト!$K$1:$M$16,2,FALSE))</f>
        <v/>
      </c>
      <c r="G960" s="67"/>
      <c r="H960" s="67"/>
      <c r="I960" s="67"/>
      <c r="J960" s="134"/>
      <c r="K960" s="68"/>
      <c r="L960" s="69"/>
      <c r="M960" s="69"/>
      <c r="N960" s="260" t="str">
        <f t="shared" si="86"/>
        <v/>
      </c>
      <c r="O960" s="256">
        <f t="shared" si="88"/>
        <v>0</v>
      </c>
      <c r="P960" s="257" t="str">
        <f t="shared" si="87"/>
        <v>×</v>
      </c>
      <c r="Q960" s="272" t="str">
        <f t="shared" si="89"/>
        <v/>
      </c>
    </row>
    <row r="961" spans="2:17">
      <c r="B961" s="65"/>
      <c r="C961" s="54"/>
      <c r="D961" s="261" t="str">
        <f t="shared" si="85"/>
        <v/>
      </c>
      <c r="E961" s="262" t="str">
        <f t="shared" si="90"/>
        <v/>
      </c>
      <c r="F961" s="125" t="str">
        <f>IF(G961="","",VLOOKUP(G961,プルダウン用リスト!$K$1:$M$16,2,FALSE))</f>
        <v/>
      </c>
      <c r="G961" s="67"/>
      <c r="H961" s="55"/>
      <c r="I961" s="67"/>
      <c r="J961" s="134"/>
      <c r="K961" s="68"/>
      <c r="L961" s="69"/>
      <c r="M961" s="69"/>
      <c r="N961" s="260" t="str">
        <f t="shared" si="86"/>
        <v/>
      </c>
      <c r="O961" s="256">
        <f t="shared" si="88"/>
        <v>0</v>
      </c>
      <c r="P961" s="257" t="str">
        <f t="shared" si="87"/>
        <v>×</v>
      </c>
      <c r="Q961" s="272" t="str">
        <f t="shared" si="89"/>
        <v/>
      </c>
    </row>
    <row r="962" spans="2:17">
      <c r="B962" s="65"/>
      <c r="C962" s="54"/>
      <c r="D962" s="261" t="str">
        <f t="shared" si="85"/>
        <v/>
      </c>
      <c r="E962" s="262" t="str">
        <f t="shared" si="90"/>
        <v/>
      </c>
      <c r="F962" s="125" t="str">
        <f>IF(G962="","",VLOOKUP(G962,プルダウン用リスト!$K$1:$M$16,2,FALSE))</f>
        <v/>
      </c>
      <c r="G962" s="67"/>
      <c r="H962" s="55"/>
      <c r="I962" s="67"/>
      <c r="J962" s="134"/>
      <c r="K962" s="68"/>
      <c r="L962" s="69"/>
      <c r="M962" s="69"/>
      <c r="N962" s="260" t="str">
        <f t="shared" si="86"/>
        <v/>
      </c>
      <c r="O962" s="256">
        <f t="shared" si="88"/>
        <v>0</v>
      </c>
      <c r="P962" s="257" t="str">
        <f t="shared" si="87"/>
        <v>×</v>
      </c>
      <c r="Q962" s="272" t="str">
        <f t="shared" si="89"/>
        <v/>
      </c>
    </row>
    <row r="963" spans="2:17">
      <c r="B963" s="65"/>
      <c r="C963" s="54"/>
      <c r="D963" s="261" t="str">
        <f t="shared" si="85"/>
        <v/>
      </c>
      <c r="E963" s="262" t="str">
        <f t="shared" si="90"/>
        <v/>
      </c>
      <c r="F963" s="125" t="str">
        <f>IF(G963="","",VLOOKUP(G963,プルダウン用リスト!$K$1:$M$16,2,FALSE))</f>
        <v/>
      </c>
      <c r="G963" s="67"/>
      <c r="H963" s="67"/>
      <c r="I963" s="67"/>
      <c r="J963" s="134"/>
      <c r="K963" s="68"/>
      <c r="L963" s="69"/>
      <c r="M963" s="69"/>
      <c r="N963" s="260" t="str">
        <f t="shared" si="86"/>
        <v/>
      </c>
      <c r="O963" s="256">
        <f t="shared" si="88"/>
        <v>0</v>
      </c>
      <c r="P963" s="257" t="str">
        <f t="shared" si="87"/>
        <v>×</v>
      </c>
      <c r="Q963" s="272" t="str">
        <f t="shared" si="89"/>
        <v/>
      </c>
    </row>
    <row r="964" spans="2:17">
      <c r="B964" s="65"/>
      <c r="C964" s="54"/>
      <c r="D964" s="261" t="str">
        <f t="shared" si="85"/>
        <v/>
      </c>
      <c r="E964" s="262" t="str">
        <f t="shared" si="90"/>
        <v/>
      </c>
      <c r="F964" s="125" t="str">
        <f>IF(G964="","",VLOOKUP(G964,プルダウン用リスト!$K$1:$M$16,2,FALSE))</f>
        <v/>
      </c>
      <c r="G964" s="67"/>
      <c r="H964" s="55"/>
      <c r="I964" s="67"/>
      <c r="J964" s="134"/>
      <c r="K964" s="68"/>
      <c r="L964" s="69"/>
      <c r="M964" s="69"/>
      <c r="N964" s="260" t="str">
        <f t="shared" si="86"/>
        <v/>
      </c>
      <c r="O964" s="256">
        <f t="shared" si="88"/>
        <v>0</v>
      </c>
      <c r="P964" s="257" t="str">
        <f t="shared" si="87"/>
        <v>×</v>
      </c>
      <c r="Q964" s="272" t="str">
        <f t="shared" si="89"/>
        <v/>
      </c>
    </row>
    <row r="965" spans="2:17">
      <c r="B965" s="65"/>
      <c r="C965" s="54"/>
      <c r="D965" s="261" t="str">
        <f t="shared" si="85"/>
        <v/>
      </c>
      <c r="E965" s="262" t="str">
        <f t="shared" si="90"/>
        <v/>
      </c>
      <c r="F965" s="125" t="str">
        <f>IF(G965="","",VLOOKUP(G965,プルダウン用リスト!$K$1:$M$16,2,FALSE))</f>
        <v/>
      </c>
      <c r="G965" s="67"/>
      <c r="H965" s="55"/>
      <c r="I965" s="67"/>
      <c r="J965" s="134"/>
      <c r="K965" s="68"/>
      <c r="L965" s="69"/>
      <c r="M965" s="69"/>
      <c r="N965" s="260" t="str">
        <f t="shared" si="86"/>
        <v/>
      </c>
      <c r="O965" s="256">
        <f t="shared" si="88"/>
        <v>0</v>
      </c>
      <c r="P965" s="257" t="str">
        <f t="shared" si="87"/>
        <v>×</v>
      </c>
      <c r="Q965" s="272" t="str">
        <f t="shared" si="89"/>
        <v/>
      </c>
    </row>
    <row r="966" spans="2:17">
      <c r="B966" s="65"/>
      <c r="C966" s="66"/>
      <c r="D966" s="261" t="str">
        <f t="shared" si="85"/>
        <v/>
      </c>
      <c r="E966" s="262" t="str">
        <f t="shared" si="90"/>
        <v/>
      </c>
      <c r="F966" s="125" t="str">
        <f>IF(G966="","",VLOOKUP(G966,プルダウン用リスト!$K$1:$M$16,2,FALSE))</f>
        <v/>
      </c>
      <c r="G966" s="67"/>
      <c r="H966" s="67"/>
      <c r="I966" s="67"/>
      <c r="J966" s="134"/>
      <c r="K966" s="68"/>
      <c r="L966" s="69"/>
      <c r="M966" s="69"/>
      <c r="N966" s="260" t="str">
        <f t="shared" si="86"/>
        <v/>
      </c>
      <c r="O966" s="256">
        <f t="shared" si="88"/>
        <v>0</v>
      </c>
      <c r="P966" s="257" t="str">
        <f t="shared" si="87"/>
        <v>×</v>
      </c>
      <c r="Q966" s="272" t="str">
        <f t="shared" si="89"/>
        <v/>
      </c>
    </row>
    <row r="967" spans="2:17">
      <c r="B967" s="65"/>
      <c r="C967" s="54"/>
      <c r="D967" s="261" t="str">
        <f t="shared" ref="D967:D1000" si="91">IF(E967="","",IF(E967="謝金","01.",IF(E967="旅費","02.",IF(E967="その他","04.","03."))))</f>
        <v/>
      </c>
      <c r="E967" s="262" t="str">
        <f t="shared" si="90"/>
        <v/>
      </c>
      <c r="F967" s="125" t="str">
        <f>IF(G967="","",VLOOKUP(G967,プルダウン用リスト!$K$1:$M$16,2,FALSE))</f>
        <v/>
      </c>
      <c r="G967" s="67"/>
      <c r="H967" s="55"/>
      <c r="I967" s="67"/>
      <c r="J967" s="134"/>
      <c r="K967" s="68"/>
      <c r="L967" s="69"/>
      <c r="M967" s="69"/>
      <c r="N967" s="260" t="str">
        <f t="shared" ref="N967:N1000" si="92">IF(G967="16.対象外経費",L967,IF(M967="","",L967-M967))</f>
        <v/>
      </c>
      <c r="O967" s="256">
        <f t="shared" si="88"/>
        <v>0</v>
      </c>
      <c r="P967" s="257" t="str">
        <f t="shared" ref="P967:P1000" si="93">IF(G967="2.旅費","〇","×")</f>
        <v>×</v>
      </c>
      <c r="Q967" s="272" t="str">
        <f t="shared" si="89"/>
        <v/>
      </c>
    </row>
    <row r="968" spans="2:17">
      <c r="B968" s="65"/>
      <c r="C968" s="54"/>
      <c r="D968" s="261" t="str">
        <f t="shared" si="91"/>
        <v/>
      </c>
      <c r="E968" s="262" t="str">
        <f t="shared" si="90"/>
        <v/>
      </c>
      <c r="F968" s="125" t="str">
        <f>IF(G968="","",VLOOKUP(G968,プルダウン用リスト!$K$1:$M$16,2,FALSE))</f>
        <v/>
      </c>
      <c r="G968" s="67"/>
      <c r="H968" s="55"/>
      <c r="I968" s="67"/>
      <c r="J968" s="134"/>
      <c r="K968" s="68"/>
      <c r="L968" s="69"/>
      <c r="M968" s="69"/>
      <c r="N968" s="260" t="str">
        <f t="shared" si="92"/>
        <v/>
      </c>
      <c r="O968" s="256">
        <f t="shared" ref="O968:O1000" si="94">IF(L968&gt;0,COUNTA(B968,C968,G968,H968,I968,K968,,L968,J968),0)</f>
        <v>0</v>
      </c>
      <c r="P968" s="257" t="str">
        <f t="shared" si="93"/>
        <v>×</v>
      </c>
      <c r="Q968" s="272" t="str">
        <f t="shared" ref="Q968:Q1000" si="95">_xlfn.IFS(O968=0,"",AND(G968="16.対象外経費",O968=7),"OK",O968&lt;=7,"ピンク色のセルを全て入力してください",O968=9,"OK",P968="〇","旅行区間および宿泊地を入力してください",O968=8,"OK")</f>
        <v/>
      </c>
    </row>
    <row r="969" spans="2:17">
      <c r="B969" s="65"/>
      <c r="C969" s="54"/>
      <c r="D969" s="261" t="str">
        <f t="shared" si="91"/>
        <v/>
      </c>
      <c r="E969" s="262" t="str">
        <f t="shared" si="90"/>
        <v/>
      </c>
      <c r="F969" s="125" t="str">
        <f>IF(G969="","",VLOOKUP(G969,プルダウン用リスト!$K$1:$M$16,2,FALSE))</f>
        <v/>
      </c>
      <c r="G969" s="67"/>
      <c r="H969" s="67"/>
      <c r="I969" s="67"/>
      <c r="J969" s="134"/>
      <c r="K969" s="68"/>
      <c r="L969" s="69"/>
      <c r="M969" s="69"/>
      <c r="N969" s="260" t="str">
        <f t="shared" si="92"/>
        <v/>
      </c>
      <c r="O969" s="256">
        <f t="shared" si="94"/>
        <v>0</v>
      </c>
      <c r="P969" s="257" t="str">
        <f t="shared" si="93"/>
        <v>×</v>
      </c>
      <c r="Q969" s="272" t="str">
        <f t="shared" si="95"/>
        <v/>
      </c>
    </row>
    <row r="970" spans="2:17">
      <c r="B970" s="65"/>
      <c r="C970" s="54"/>
      <c r="D970" s="261" t="str">
        <f t="shared" si="91"/>
        <v/>
      </c>
      <c r="E970" s="262" t="str">
        <f t="shared" si="90"/>
        <v/>
      </c>
      <c r="F970" s="125" t="str">
        <f>IF(G970="","",VLOOKUP(G970,プルダウン用リスト!$K$1:$M$16,2,FALSE))</f>
        <v/>
      </c>
      <c r="G970" s="67"/>
      <c r="H970" s="55"/>
      <c r="I970" s="67"/>
      <c r="J970" s="134"/>
      <c r="K970" s="68"/>
      <c r="L970" s="69"/>
      <c r="M970" s="69"/>
      <c r="N970" s="260" t="str">
        <f t="shared" si="92"/>
        <v/>
      </c>
      <c r="O970" s="256">
        <f t="shared" si="94"/>
        <v>0</v>
      </c>
      <c r="P970" s="257" t="str">
        <f t="shared" si="93"/>
        <v>×</v>
      </c>
      <c r="Q970" s="272" t="str">
        <f t="shared" si="95"/>
        <v/>
      </c>
    </row>
    <row r="971" spans="2:17">
      <c r="B971" s="65"/>
      <c r="C971" s="54"/>
      <c r="D971" s="261" t="str">
        <f t="shared" si="91"/>
        <v/>
      </c>
      <c r="E971" s="262" t="str">
        <f t="shared" si="90"/>
        <v/>
      </c>
      <c r="F971" s="125" t="str">
        <f>IF(G971="","",VLOOKUP(G971,プルダウン用リスト!$K$1:$M$16,2,FALSE))</f>
        <v/>
      </c>
      <c r="G971" s="67"/>
      <c r="H971" s="55"/>
      <c r="I971" s="67"/>
      <c r="J971" s="134"/>
      <c r="K971" s="68"/>
      <c r="L971" s="69"/>
      <c r="M971" s="69"/>
      <c r="N971" s="260" t="str">
        <f t="shared" si="92"/>
        <v/>
      </c>
      <c r="O971" s="256">
        <f t="shared" si="94"/>
        <v>0</v>
      </c>
      <c r="P971" s="257" t="str">
        <f t="shared" si="93"/>
        <v>×</v>
      </c>
      <c r="Q971" s="272" t="str">
        <f t="shared" si="95"/>
        <v/>
      </c>
    </row>
    <row r="972" spans="2:17">
      <c r="B972" s="65"/>
      <c r="C972" s="54"/>
      <c r="D972" s="261" t="str">
        <f t="shared" si="91"/>
        <v/>
      </c>
      <c r="E972" s="262" t="str">
        <f t="shared" si="90"/>
        <v/>
      </c>
      <c r="F972" s="125" t="str">
        <f>IF(G972="","",VLOOKUP(G972,プルダウン用リスト!$K$1:$M$16,2,FALSE))</f>
        <v/>
      </c>
      <c r="G972" s="67"/>
      <c r="H972" s="67"/>
      <c r="I972" s="67"/>
      <c r="J972" s="134"/>
      <c r="K972" s="68"/>
      <c r="L972" s="69"/>
      <c r="M972" s="69"/>
      <c r="N972" s="260" t="str">
        <f t="shared" si="92"/>
        <v/>
      </c>
      <c r="O972" s="256">
        <f t="shared" si="94"/>
        <v>0</v>
      </c>
      <c r="P972" s="257" t="str">
        <f t="shared" si="93"/>
        <v>×</v>
      </c>
      <c r="Q972" s="272" t="str">
        <f t="shared" si="95"/>
        <v/>
      </c>
    </row>
    <row r="973" spans="2:17">
      <c r="B973" s="65"/>
      <c r="C973" s="54"/>
      <c r="D973" s="261" t="str">
        <f t="shared" si="91"/>
        <v/>
      </c>
      <c r="E973" s="262" t="str">
        <f t="shared" si="90"/>
        <v/>
      </c>
      <c r="F973" s="125" t="str">
        <f>IF(G973="","",VLOOKUP(G973,プルダウン用リスト!$K$1:$M$16,2,FALSE))</f>
        <v/>
      </c>
      <c r="G973" s="67"/>
      <c r="H973" s="55"/>
      <c r="I973" s="67"/>
      <c r="J973" s="134"/>
      <c r="K973" s="68"/>
      <c r="L973" s="69"/>
      <c r="M973" s="69"/>
      <c r="N973" s="260" t="str">
        <f t="shared" si="92"/>
        <v/>
      </c>
      <c r="O973" s="256">
        <f t="shared" si="94"/>
        <v>0</v>
      </c>
      <c r="P973" s="257" t="str">
        <f t="shared" si="93"/>
        <v>×</v>
      </c>
      <c r="Q973" s="272" t="str">
        <f t="shared" si="95"/>
        <v/>
      </c>
    </row>
    <row r="974" spans="2:17">
      <c r="B974" s="65"/>
      <c r="C974" s="54"/>
      <c r="D974" s="261" t="str">
        <f t="shared" si="91"/>
        <v/>
      </c>
      <c r="E974" s="262" t="str">
        <f t="shared" si="90"/>
        <v/>
      </c>
      <c r="F974" s="125" t="str">
        <f>IF(G974="","",VLOOKUP(G974,プルダウン用リスト!$K$1:$M$16,2,FALSE))</f>
        <v/>
      </c>
      <c r="G974" s="67"/>
      <c r="H974" s="55"/>
      <c r="I974" s="67"/>
      <c r="J974" s="134"/>
      <c r="K974" s="68"/>
      <c r="L974" s="69"/>
      <c r="M974" s="69"/>
      <c r="N974" s="260" t="str">
        <f t="shared" si="92"/>
        <v/>
      </c>
      <c r="O974" s="256">
        <f t="shared" si="94"/>
        <v>0</v>
      </c>
      <c r="P974" s="257" t="str">
        <f t="shared" si="93"/>
        <v>×</v>
      </c>
      <c r="Q974" s="272" t="str">
        <f t="shared" si="95"/>
        <v/>
      </c>
    </row>
    <row r="975" spans="2:17">
      <c r="B975" s="65"/>
      <c r="C975" s="54"/>
      <c r="D975" s="261" t="str">
        <f t="shared" si="91"/>
        <v/>
      </c>
      <c r="E975" s="262" t="str">
        <f t="shared" si="90"/>
        <v/>
      </c>
      <c r="F975" s="125" t="str">
        <f>IF(G975="","",VLOOKUP(G975,プルダウン用リスト!$K$1:$M$16,2,FALSE))</f>
        <v/>
      </c>
      <c r="G975" s="67"/>
      <c r="H975" s="67"/>
      <c r="I975" s="67"/>
      <c r="J975" s="134"/>
      <c r="K975" s="68"/>
      <c r="L975" s="69"/>
      <c r="M975" s="69"/>
      <c r="N975" s="260" t="str">
        <f t="shared" si="92"/>
        <v/>
      </c>
      <c r="O975" s="256">
        <f t="shared" si="94"/>
        <v>0</v>
      </c>
      <c r="P975" s="257" t="str">
        <f t="shared" si="93"/>
        <v>×</v>
      </c>
      <c r="Q975" s="272" t="str">
        <f t="shared" si="95"/>
        <v/>
      </c>
    </row>
    <row r="976" spans="2:17">
      <c r="B976" s="65"/>
      <c r="C976" s="54"/>
      <c r="D976" s="261" t="str">
        <f t="shared" si="91"/>
        <v/>
      </c>
      <c r="E976" s="262" t="str">
        <f t="shared" si="90"/>
        <v/>
      </c>
      <c r="F976" s="125" t="str">
        <f>IF(G976="","",VLOOKUP(G976,プルダウン用リスト!$K$1:$M$16,2,FALSE))</f>
        <v/>
      </c>
      <c r="G976" s="67"/>
      <c r="H976" s="55"/>
      <c r="I976" s="67"/>
      <c r="J976" s="134"/>
      <c r="K976" s="68"/>
      <c r="L976" s="69"/>
      <c r="M976" s="69"/>
      <c r="N976" s="260" t="str">
        <f t="shared" si="92"/>
        <v/>
      </c>
      <c r="O976" s="256">
        <f t="shared" si="94"/>
        <v>0</v>
      </c>
      <c r="P976" s="257" t="str">
        <f t="shared" si="93"/>
        <v>×</v>
      </c>
      <c r="Q976" s="272" t="str">
        <f t="shared" si="95"/>
        <v/>
      </c>
    </row>
    <row r="977" spans="2:17">
      <c r="B977" s="65"/>
      <c r="C977" s="54"/>
      <c r="D977" s="261" t="str">
        <f t="shared" si="91"/>
        <v/>
      </c>
      <c r="E977" s="262" t="str">
        <f t="shared" si="90"/>
        <v/>
      </c>
      <c r="F977" s="125" t="str">
        <f>IF(G977="","",VLOOKUP(G977,プルダウン用リスト!$K$1:$M$16,2,FALSE))</f>
        <v/>
      </c>
      <c r="G977" s="67"/>
      <c r="H977" s="55"/>
      <c r="I977" s="67"/>
      <c r="J977" s="134"/>
      <c r="K977" s="68"/>
      <c r="L977" s="69"/>
      <c r="M977" s="69"/>
      <c r="N977" s="260" t="str">
        <f t="shared" si="92"/>
        <v/>
      </c>
      <c r="O977" s="256">
        <f t="shared" si="94"/>
        <v>0</v>
      </c>
      <c r="P977" s="257" t="str">
        <f t="shared" si="93"/>
        <v>×</v>
      </c>
      <c r="Q977" s="272" t="str">
        <f t="shared" si="95"/>
        <v/>
      </c>
    </row>
    <row r="978" spans="2:17">
      <c r="B978" s="65"/>
      <c r="C978" s="66"/>
      <c r="D978" s="261" t="str">
        <f t="shared" si="91"/>
        <v/>
      </c>
      <c r="E978" s="262" t="str">
        <f t="shared" si="90"/>
        <v/>
      </c>
      <c r="F978" s="125" t="str">
        <f>IF(G978="","",VLOOKUP(G978,プルダウン用リスト!$K$1:$M$16,2,FALSE))</f>
        <v/>
      </c>
      <c r="G978" s="67"/>
      <c r="H978" s="67"/>
      <c r="I978" s="67"/>
      <c r="J978" s="134"/>
      <c r="K978" s="68"/>
      <c r="L978" s="69"/>
      <c r="M978" s="69"/>
      <c r="N978" s="260" t="str">
        <f t="shared" si="92"/>
        <v/>
      </c>
      <c r="O978" s="256">
        <f t="shared" si="94"/>
        <v>0</v>
      </c>
      <c r="P978" s="257" t="str">
        <f t="shared" si="93"/>
        <v>×</v>
      </c>
      <c r="Q978" s="272" t="str">
        <f t="shared" si="95"/>
        <v/>
      </c>
    </row>
    <row r="979" spans="2:17">
      <c r="B979" s="65"/>
      <c r="C979" s="54"/>
      <c r="D979" s="261" t="str">
        <f t="shared" si="91"/>
        <v/>
      </c>
      <c r="E979" s="262" t="str">
        <f t="shared" si="90"/>
        <v/>
      </c>
      <c r="F979" s="125" t="str">
        <f>IF(G979="","",VLOOKUP(G979,プルダウン用リスト!$K$1:$M$16,2,FALSE))</f>
        <v/>
      </c>
      <c r="G979" s="67"/>
      <c r="H979" s="55"/>
      <c r="I979" s="67"/>
      <c r="J979" s="134"/>
      <c r="K979" s="68"/>
      <c r="L979" s="69"/>
      <c r="M979" s="69"/>
      <c r="N979" s="260" t="str">
        <f t="shared" si="92"/>
        <v/>
      </c>
      <c r="O979" s="256">
        <f t="shared" si="94"/>
        <v>0</v>
      </c>
      <c r="P979" s="257" t="str">
        <f t="shared" si="93"/>
        <v>×</v>
      </c>
      <c r="Q979" s="272" t="str">
        <f t="shared" si="95"/>
        <v/>
      </c>
    </row>
    <row r="980" spans="2:17">
      <c r="B980" s="65"/>
      <c r="C980" s="54"/>
      <c r="D980" s="261" t="str">
        <f t="shared" si="91"/>
        <v/>
      </c>
      <c r="E980" s="262" t="str">
        <f t="shared" si="90"/>
        <v/>
      </c>
      <c r="F980" s="125" t="str">
        <f>IF(G980="","",VLOOKUP(G980,プルダウン用リスト!$K$1:$M$16,2,FALSE))</f>
        <v/>
      </c>
      <c r="G980" s="67"/>
      <c r="H980" s="55"/>
      <c r="I980" s="67"/>
      <c r="J980" s="134"/>
      <c r="K980" s="68"/>
      <c r="L980" s="69"/>
      <c r="M980" s="69"/>
      <c r="N980" s="260" t="str">
        <f t="shared" si="92"/>
        <v/>
      </c>
      <c r="O980" s="256">
        <f t="shared" si="94"/>
        <v>0</v>
      </c>
      <c r="P980" s="257" t="str">
        <f t="shared" si="93"/>
        <v>×</v>
      </c>
      <c r="Q980" s="272" t="str">
        <f t="shared" si="95"/>
        <v/>
      </c>
    </row>
    <row r="981" spans="2:17">
      <c r="B981" s="65"/>
      <c r="C981" s="54"/>
      <c r="D981" s="261" t="str">
        <f t="shared" si="91"/>
        <v/>
      </c>
      <c r="E981" s="262" t="str">
        <f t="shared" si="90"/>
        <v/>
      </c>
      <c r="F981" s="125" t="str">
        <f>IF(G981="","",VLOOKUP(G981,プルダウン用リスト!$K$1:$M$16,2,FALSE))</f>
        <v/>
      </c>
      <c r="G981" s="67"/>
      <c r="H981" s="67"/>
      <c r="I981" s="67"/>
      <c r="J981" s="134"/>
      <c r="K981" s="68"/>
      <c r="L981" s="69"/>
      <c r="M981" s="69"/>
      <c r="N981" s="260" t="str">
        <f t="shared" si="92"/>
        <v/>
      </c>
      <c r="O981" s="256">
        <f t="shared" si="94"/>
        <v>0</v>
      </c>
      <c r="P981" s="257" t="str">
        <f t="shared" si="93"/>
        <v>×</v>
      </c>
      <c r="Q981" s="272" t="str">
        <f t="shared" si="95"/>
        <v/>
      </c>
    </row>
    <row r="982" spans="2:17">
      <c r="B982" s="65"/>
      <c r="C982" s="54"/>
      <c r="D982" s="261" t="str">
        <f t="shared" si="91"/>
        <v/>
      </c>
      <c r="E982" s="262" t="str">
        <f t="shared" si="90"/>
        <v/>
      </c>
      <c r="F982" s="125" t="str">
        <f>IF(G982="","",VLOOKUP(G982,プルダウン用リスト!$K$1:$M$16,2,FALSE))</f>
        <v/>
      </c>
      <c r="G982" s="67"/>
      <c r="H982" s="55"/>
      <c r="I982" s="67"/>
      <c r="J982" s="134"/>
      <c r="K982" s="68"/>
      <c r="L982" s="69"/>
      <c r="M982" s="69"/>
      <c r="N982" s="260" t="str">
        <f t="shared" si="92"/>
        <v/>
      </c>
      <c r="O982" s="256">
        <f t="shared" si="94"/>
        <v>0</v>
      </c>
      <c r="P982" s="257" t="str">
        <f t="shared" si="93"/>
        <v>×</v>
      </c>
      <c r="Q982" s="272" t="str">
        <f t="shared" si="95"/>
        <v/>
      </c>
    </row>
    <row r="983" spans="2:17">
      <c r="B983" s="65"/>
      <c r="C983" s="54"/>
      <c r="D983" s="261" t="str">
        <f t="shared" si="91"/>
        <v/>
      </c>
      <c r="E983" s="262" t="str">
        <f t="shared" ref="E983:E1000" si="96">IF(G983="","",IF(OR(G983="1.謝金（内部）",G983="1.謝金（外部）"),"謝金",IF(G983="2.旅費","旅費",IF(G983="16.対象外経費","その他","所費"))))</f>
        <v/>
      </c>
      <c r="F983" s="125" t="str">
        <f>IF(G983="","",VLOOKUP(G983,プルダウン用リスト!$K$1:$M$16,2,FALSE))</f>
        <v/>
      </c>
      <c r="G983" s="67"/>
      <c r="H983" s="55"/>
      <c r="I983" s="67"/>
      <c r="J983" s="134"/>
      <c r="K983" s="68"/>
      <c r="L983" s="69"/>
      <c r="M983" s="69"/>
      <c r="N983" s="260" t="str">
        <f t="shared" si="92"/>
        <v/>
      </c>
      <c r="O983" s="256">
        <f t="shared" si="94"/>
        <v>0</v>
      </c>
      <c r="P983" s="257" t="str">
        <f t="shared" si="93"/>
        <v>×</v>
      </c>
      <c r="Q983" s="272" t="str">
        <f t="shared" si="95"/>
        <v/>
      </c>
    </row>
    <row r="984" spans="2:17">
      <c r="B984" s="65"/>
      <c r="C984" s="54"/>
      <c r="D984" s="261" t="str">
        <f t="shared" si="91"/>
        <v/>
      </c>
      <c r="E984" s="262" t="str">
        <f t="shared" si="96"/>
        <v/>
      </c>
      <c r="F984" s="125" t="str">
        <f>IF(G984="","",VLOOKUP(G984,プルダウン用リスト!$K$1:$M$16,2,FALSE))</f>
        <v/>
      </c>
      <c r="G984" s="67"/>
      <c r="H984" s="67"/>
      <c r="I984" s="67"/>
      <c r="J984" s="134"/>
      <c r="K984" s="68"/>
      <c r="L984" s="69"/>
      <c r="M984" s="69"/>
      <c r="N984" s="260" t="str">
        <f t="shared" si="92"/>
        <v/>
      </c>
      <c r="O984" s="256">
        <f t="shared" si="94"/>
        <v>0</v>
      </c>
      <c r="P984" s="257" t="str">
        <f t="shared" si="93"/>
        <v>×</v>
      </c>
      <c r="Q984" s="272" t="str">
        <f t="shared" si="95"/>
        <v/>
      </c>
    </row>
    <row r="985" spans="2:17">
      <c r="B985" s="65"/>
      <c r="C985" s="54"/>
      <c r="D985" s="261" t="str">
        <f t="shared" si="91"/>
        <v/>
      </c>
      <c r="E985" s="262" t="str">
        <f t="shared" si="96"/>
        <v/>
      </c>
      <c r="F985" s="125" t="str">
        <f>IF(G985="","",VLOOKUP(G985,プルダウン用リスト!$K$1:$M$16,2,FALSE))</f>
        <v/>
      </c>
      <c r="G985" s="67"/>
      <c r="H985" s="55"/>
      <c r="I985" s="67"/>
      <c r="J985" s="134"/>
      <c r="K985" s="68"/>
      <c r="L985" s="69"/>
      <c r="M985" s="69"/>
      <c r="N985" s="260" t="str">
        <f t="shared" si="92"/>
        <v/>
      </c>
      <c r="O985" s="256">
        <f t="shared" si="94"/>
        <v>0</v>
      </c>
      <c r="P985" s="257" t="str">
        <f t="shared" si="93"/>
        <v>×</v>
      </c>
      <c r="Q985" s="272" t="str">
        <f t="shared" si="95"/>
        <v/>
      </c>
    </row>
    <row r="986" spans="2:17">
      <c r="B986" s="65"/>
      <c r="C986" s="54"/>
      <c r="D986" s="261" t="str">
        <f t="shared" si="91"/>
        <v/>
      </c>
      <c r="E986" s="262" t="str">
        <f t="shared" si="96"/>
        <v/>
      </c>
      <c r="F986" s="125" t="str">
        <f>IF(G986="","",VLOOKUP(G986,プルダウン用リスト!$K$1:$M$16,2,FALSE))</f>
        <v/>
      </c>
      <c r="G986" s="67"/>
      <c r="H986" s="55"/>
      <c r="I986" s="67"/>
      <c r="J986" s="134"/>
      <c r="K986" s="68"/>
      <c r="L986" s="69"/>
      <c r="M986" s="69"/>
      <c r="N986" s="260" t="str">
        <f t="shared" si="92"/>
        <v/>
      </c>
      <c r="O986" s="256">
        <f t="shared" si="94"/>
        <v>0</v>
      </c>
      <c r="P986" s="257" t="str">
        <f t="shared" si="93"/>
        <v>×</v>
      </c>
      <c r="Q986" s="272" t="str">
        <f t="shared" si="95"/>
        <v/>
      </c>
    </row>
    <row r="987" spans="2:17">
      <c r="B987" s="65"/>
      <c r="C987" s="54"/>
      <c r="D987" s="261" t="str">
        <f t="shared" si="91"/>
        <v/>
      </c>
      <c r="E987" s="262" t="str">
        <f t="shared" si="96"/>
        <v/>
      </c>
      <c r="F987" s="125" t="str">
        <f>IF(G987="","",VLOOKUP(G987,プルダウン用リスト!$K$1:$M$16,2,FALSE))</f>
        <v/>
      </c>
      <c r="G987" s="67"/>
      <c r="H987" s="67"/>
      <c r="I987" s="67"/>
      <c r="J987" s="134"/>
      <c r="K987" s="68"/>
      <c r="L987" s="69"/>
      <c r="M987" s="69"/>
      <c r="N987" s="260" t="str">
        <f t="shared" si="92"/>
        <v/>
      </c>
      <c r="O987" s="256">
        <f t="shared" si="94"/>
        <v>0</v>
      </c>
      <c r="P987" s="257" t="str">
        <f t="shared" si="93"/>
        <v>×</v>
      </c>
      <c r="Q987" s="272" t="str">
        <f t="shared" si="95"/>
        <v/>
      </c>
    </row>
    <row r="988" spans="2:17">
      <c r="B988" s="65"/>
      <c r="C988" s="54"/>
      <c r="D988" s="261" t="str">
        <f t="shared" si="91"/>
        <v/>
      </c>
      <c r="E988" s="262" t="str">
        <f t="shared" si="96"/>
        <v/>
      </c>
      <c r="F988" s="125" t="str">
        <f>IF(G988="","",VLOOKUP(G988,プルダウン用リスト!$K$1:$M$16,2,FALSE))</f>
        <v/>
      </c>
      <c r="G988" s="67"/>
      <c r="H988" s="55"/>
      <c r="I988" s="67"/>
      <c r="J988" s="134"/>
      <c r="K988" s="68"/>
      <c r="L988" s="69"/>
      <c r="M988" s="69"/>
      <c r="N988" s="260" t="str">
        <f t="shared" si="92"/>
        <v/>
      </c>
      <c r="O988" s="256">
        <f t="shared" si="94"/>
        <v>0</v>
      </c>
      <c r="P988" s="257" t="str">
        <f t="shared" si="93"/>
        <v>×</v>
      </c>
      <c r="Q988" s="272" t="str">
        <f t="shared" si="95"/>
        <v/>
      </c>
    </row>
    <row r="989" spans="2:17">
      <c r="B989" s="65"/>
      <c r="C989" s="54"/>
      <c r="D989" s="261" t="str">
        <f t="shared" si="91"/>
        <v/>
      </c>
      <c r="E989" s="262" t="str">
        <f t="shared" si="96"/>
        <v/>
      </c>
      <c r="F989" s="125" t="str">
        <f>IF(G989="","",VLOOKUP(G989,プルダウン用リスト!$K$1:$M$16,2,FALSE))</f>
        <v/>
      </c>
      <c r="G989" s="67"/>
      <c r="H989" s="55"/>
      <c r="I989" s="67"/>
      <c r="J989" s="134"/>
      <c r="K989" s="68"/>
      <c r="L989" s="69"/>
      <c r="M989" s="69"/>
      <c r="N989" s="260" t="str">
        <f t="shared" si="92"/>
        <v/>
      </c>
      <c r="O989" s="256">
        <f t="shared" si="94"/>
        <v>0</v>
      </c>
      <c r="P989" s="257" t="str">
        <f t="shared" si="93"/>
        <v>×</v>
      </c>
      <c r="Q989" s="272" t="str">
        <f t="shared" si="95"/>
        <v/>
      </c>
    </row>
    <row r="990" spans="2:17">
      <c r="B990" s="65"/>
      <c r="C990" s="66"/>
      <c r="D990" s="261" t="str">
        <f t="shared" si="91"/>
        <v/>
      </c>
      <c r="E990" s="262" t="str">
        <f t="shared" si="96"/>
        <v/>
      </c>
      <c r="F990" s="125" t="str">
        <f>IF(G990="","",VLOOKUP(G990,プルダウン用リスト!$K$1:$M$16,2,FALSE))</f>
        <v/>
      </c>
      <c r="G990" s="67"/>
      <c r="H990" s="67"/>
      <c r="I990" s="67"/>
      <c r="J990" s="134"/>
      <c r="K990" s="68"/>
      <c r="L990" s="69"/>
      <c r="M990" s="69"/>
      <c r="N990" s="260" t="str">
        <f t="shared" si="92"/>
        <v/>
      </c>
      <c r="O990" s="256">
        <f t="shared" si="94"/>
        <v>0</v>
      </c>
      <c r="P990" s="257" t="str">
        <f t="shared" si="93"/>
        <v>×</v>
      </c>
      <c r="Q990" s="272" t="str">
        <f t="shared" si="95"/>
        <v/>
      </c>
    </row>
    <row r="991" spans="2:17">
      <c r="B991" s="65"/>
      <c r="C991" s="54"/>
      <c r="D991" s="261" t="str">
        <f t="shared" si="91"/>
        <v/>
      </c>
      <c r="E991" s="262" t="str">
        <f t="shared" si="96"/>
        <v/>
      </c>
      <c r="F991" s="125" t="str">
        <f>IF(G991="","",VLOOKUP(G991,プルダウン用リスト!$K$1:$M$16,2,FALSE))</f>
        <v/>
      </c>
      <c r="G991" s="67"/>
      <c r="H991" s="55"/>
      <c r="I991" s="67"/>
      <c r="J991" s="134"/>
      <c r="K991" s="68"/>
      <c r="L991" s="69"/>
      <c r="M991" s="69"/>
      <c r="N991" s="260" t="str">
        <f t="shared" si="92"/>
        <v/>
      </c>
      <c r="O991" s="256">
        <f t="shared" si="94"/>
        <v>0</v>
      </c>
      <c r="P991" s="257" t="str">
        <f t="shared" si="93"/>
        <v>×</v>
      </c>
      <c r="Q991" s="272" t="str">
        <f t="shared" si="95"/>
        <v/>
      </c>
    </row>
    <row r="992" spans="2:17">
      <c r="B992" s="65"/>
      <c r="C992" s="54"/>
      <c r="D992" s="261" t="str">
        <f t="shared" si="91"/>
        <v/>
      </c>
      <c r="E992" s="262" t="str">
        <f t="shared" si="96"/>
        <v/>
      </c>
      <c r="F992" s="125" t="str">
        <f>IF(G992="","",VLOOKUP(G992,プルダウン用リスト!$K$1:$M$16,2,FALSE))</f>
        <v/>
      </c>
      <c r="G992" s="67"/>
      <c r="H992" s="55"/>
      <c r="I992" s="67"/>
      <c r="J992" s="134"/>
      <c r="K992" s="68"/>
      <c r="L992" s="69"/>
      <c r="M992" s="69"/>
      <c r="N992" s="260" t="str">
        <f t="shared" si="92"/>
        <v/>
      </c>
      <c r="O992" s="256">
        <f t="shared" si="94"/>
        <v>0</v>
      </c>
      <c r="P992" s="257" t="str">
        <f t="shared" si="93"/>
        <v>×</v>
      </c>
      <c r="Q992" s="272" t="str">
        <f t="shared" si="95"/>
        <v/>
      </c>
    </row>
    <row r="993" spans="2:17">
      <c r="B993" s="65"/>
      <c r="C993" s="54"/>
      <c r="D993" s="261" t="str">
        <f t="shared" si="91"/>
        <v/>
      </c>
      <c r="E993" s="262" t="str">
        <f t="shared" si="96"/>
        <v/>
      </c>
      <c r="F993" s="125" t="str">
        <f>IF(G993="","",VLOOKUP(G993,プルダウン用リスト!$K$1:$M$16,2,FALSE))</f>
        <v/>
      </c>
      <c r="G993" s="67"/>
      <c r="H993" s="67"/>
      <c r="I993" s="67"/>
      <c r="J993" s="134"/>
      <c r="K993" s="68"/>
      <c r="L993" s="69"/>
      <c r="M993" s="69"/>
      <c r="N993" s="260" t="str">
        <f t="shared" si="92"/>
        <v/>
      </c>
      <c r="O993" s="256">
        <f t="shared" si="94"/>
        <v>0</v>
      </c>
      <c r="P993" s="257" t="str">
        <f t="shared" si="93"/>
        <v>×</v>
      </c>
      <c r="Q993" s="272" t="str">
        <f t="shared" si="95"/>
        <v/>
      </c>
    </row>
    <row r="994" spans="2:17">
      <c r="B994" s="65"/>
      <c r="C994" s="54"/>
      <c r="D994" s="261" t="str">
        <f t="shared" si="91"/>
        <v/>
      </c>
      <c r="E994" s="262" t="str">
        <f t="shared" si="96"/>
        <v/>
      </c>
      <c r="F994" s="125" t="str">
        <f>IF(G994="","",VLOOKUP(G994,プルダウン用リスト!$K$1:$M$16,2,FALSE))</f>
        <v/>
      </c>
      <c r="G994" s="67"/>
      <c r="H994" s="55"/>
      <c r="I994" s="67"/>
      <c r="J994" s="134"/>
      <c r="K994" s="68"/>
      <c r="L994" s="69"/>
      <c r="M994" s="69"/>
      <c r="N994" s="260" t="str">
        <f t="shared" si="92"/>
        <v/>
      </c>
      <c r="O994" s="256">
        <f t="shared" si="94"/>
        <v>0</v>
      </c>
      <c r="P994" s="257" t="str">
        <f t="shared" si="93"/>
        <v>×</v>
      </c>
      <c r="Q994" s="272" t="str">
        <f t="shared" si="95"/>
        <v/>
      </c>
    </row>
    <row r="995" spans="2:17">
      <c r="B995" s="65"/>
      <c r="C995" s="54"/>
      <c r="D995" s="261" t="str">
        <f t="shared" si="91"/>
        <v/>
      </c>
      <c r="E995" s="262" t="str">
        <f t="shared" si="96"/>
        <v/>
      </c>
      <c r="F995" s="125" t="str">
        <f>IF(G995="","",VLOOKUP(G995,プルダウン用リスト!$K$1:$M$16,2,FALSE))</f>
        <v/>
      </c>
      <c r="G995" s="67"/>
      <c r="H995" s="55"/>
      <c r="I995" s="67"/>
      <c r="J995" s="134"/>
      <c r="K995" s="68"/>
      <c r="L995" s="69"/>
      <c r="M995" s="69"/>
      <c r="N995" s="260" t="str">
        <f t="shared" si="92"/>
        <v/>
      </c>
      <c r="O995" s="256">
        <f t="shared" si="94"/>
        <v>0</v>
      </c>
      <c r="P995" s="257" t="str">
        <f t="shared" si="93"/>
        <v>×</v>
      </c>
      <c r="Q995" s="272" t="str">
        <f t="shared" si="95"/>
        <v/>
      </c>
    </row>
    <row r="996" spans="2:17">
      <c r="B996" s="65"/>
      <c r="C996" s="54"/>
      <c r="D996" s="261" t="str">
        <f t="shared" si="91"/>
        <v/>
      </c>
      <c r="E996" s="262" t="str">
        <f t="shared" si="96"/>
        <v/>
      </c>
      <c r="F996" s="125" t="str">
        <f>IF(G996="","",VLOOKUP(G996,プルダウン用リスト!$K$1:$M$16,2,FALSE))</f>
        <v/>
      </c>
      <c r="G996" s="67"/>
      <c r="H996" s="67"/>
      <c r="I996" s="67"/>
      <c r="J996" s="134"/>
      <c r="K996" s="68"/>
      <c r="L996" s="69"/>
      <c r="M996" s="69"/>
      <c r="N996" s="260" t="str">
        <f t="shared" si="92"/>
        <v/>
      </c>
      <c r="O996" s="256">
        <f t="shared" si="94"/>
        <v>0</v>
      </c>
      <c r="P996" s="257" t="str">
        <f t="shared" si="93"/>
        <v>×</v>
      </c>
      <c r="Q996" s="272" t="str">
        <f t="shared" si="95"/>
        <v/>
      </c>
    </row>
    <row r="997" spans="2:17">
      <c r="B997" s="65"/>
      <c r="C997" s="54"/>
      <c r="D997" s="261" t="str">
        <f t="shared" si="91"/>
        <v/>
      </c>
      <c r="E997" s="262" t="str">
        <f t="shared" si="96"/>
        <v/>
      </c>
      <c r="F997" s="125" t="str">
        <f>IF(G997="","",VLOOKUP(G997,プルダウン用リスト!$K$1:$M$16,2,FALSE))</f>
        <v/>
      </c>
      <c r="G997" s="67"/>
      <c r="H997" s="55"/>
      <c r="I997" s="67"/>
      <c r="J997" s="134"/>
      <c r="K997" s="68"/>
      <c r="L997" s="69"/>
      <c r="M997" s="69"/>
      <c r="N997" s="260" t="str">
        <f t="shared" si="92"/>
        <v/>
      </c>
      <c r="O997" s="256">
        <f t="shared" si="94"/>
        <v>0</v>
      </c>
      <c r="P997" s="257" t="str">
        <f t="shared" si="93"/>
        <v>×</v>
      </c>
      <c r="Q997" s="272" t="str">
        <f t="shared" si="95"/>
        <v/>
      </c>
    </row>
    <row r="998" spans="2:17">
      <c r="B998" s="65"/>
      <c r="C998" s="54"/>
      <c r="D998" s="261" t="str">
        <f t="shared" si="91"/>
        <v/>
      </c>
      <c r="E998" s="262" t="str">
        <f t="shared" si="96"/>
        <v/>
      </c>
      <c r="F998" s="125" t="str">
        <f>IF(G998="","",VLOOKUP(G998,プルダウン用リスト!$K$1:$M$16,2,FALSE))</f>
        <v/>
      </c>
      <c r="G998" s="67"/>
      <c r="H998" s="55"/>
      <c r="I998" s="67"/>
      <c r="J998" s="134"/>
      <c r="K998" s="68"/>
      <c r="L998" s="69"/>
      <c r="M998" s="69"/>
      <c r="N998" s="260" t="str">
        <f t="shared" si="92"/>
        <v/>
      </c>
      <c r="O998" s="256">
        <f t="shared" si="94"/>
        <v>0</v>
      </c>
      <c r="P998" s="257" t="str">
        <f t="shared" si="93"/>
        <v>×</v>
      </c>
      <c r="Q998" s="272" t="str">
        <f t="shared" si="95"/>
        <v/>
      </c>
    </row>
    <row r="999" spans="2:17">
      <c r="B999" s="65"/>
      <c r="C999" s="54"/>
      <c r="D999" s="261" t="str">
        <f t="shared" si="91"/>
        <v/>
      </c>
      <c r="E999" s="262" t="str">
        <f t="shared" si="96"/>
        <v/>
      </c>
      <c r="F999" s="125" t="str">
        <f>IF(G999="","",VLOOKUP(G999,プルダウン用リスト!$K$1:$M$16,2,FALSE))</f>
        <v/>
      </c>
      <c r="G999" s="67"/>
      <c r="H999" s="67"/>
      <c r="I999" s="67"/>
      <c r="J999" s="134"/>
      <c r="K999" s="68"/>
      <c r="L999" s="69"/>
      <c r="M999" s="69"/>
      <c r="N999" s="260" t="str">
        <f t="shared" si="92"/>
        <v/>
      </c>
      <c r="O999" s="256">
        <f t="shared" si="94"/>
        <v>0</v>
      </c>
      <c r="P999" s="257" t="str">
        <f t="shared" si="93"/>
        <v>×</v>
      </c>
      <c r="Q999" s="272" t="str">
        <f t="shared" si="95"/>
        <v/>
      </c>
    </row>
    <row r="1000" spans="2:17" ht="19.5" thickBot="1">
      <c r="B1000" s="157"/>
      <c r="C1000" s="158"/>
      <c r="D1000" s="263" t="str">
        <f t="shared" si="91"/>
        <v/>
      </c>
      <c r="E1000" s="279" t="str">
        <f t="shared" si="96"/>
        <v/>
      </c>
      <c r="F1000" s="172" t="str">
        <f>IF(G1000="","",VLOOKUP(G1000,プルダウン用リスト!$K$1:$M$16,2,FALSE))</f>
        <v/>
      </c>
      <c r="G1000" s="67"/>
      <c r="H1000" s="159"/>
      <c r="I1000" s="159"/>
      <c r="J1000" s="160"/>
      <c r="K1000" s="161"/>
      <c r="L1000" s="182"/>
      <c r="M1000" s="217"/>
      <c r="N1000" s="274" t="str">
        <f t="shared" si="92"/>
        <v/>
      </c>
      <c r="O1000" s="276">
        <f t="shared" si="94"/>
        <v>0</v>
      </c>
      <c r="P1000" s="258" t="str">
        <f t="shared" si="93"/>
        <v>×</v>
      </c>
      <c r="Q1000" s="273" t="str">
        <f t="shared" si="95"/>
        <v/>
      </c>
    </row>
    <row r="1001" spans="2:17" ht="28.5" customHeight="1">
      <c r="D1001" s="132" t="s">
        <v>138</v>
      </c>
      <c r="E1001" s="216" t="s">
        <v>135</v>
      </c>
      <c r="F1001" s="171"/>
      <c r="G1001" s="216" t="s">
        <v>183</v>
      </c>
      <c r="H1001" s="190"/>
      <c r="I1001" s="190"/>
      <c r="J1001" s="131"/>
      <c r="K1001" s="166" t="s">
        <v>143</v>
      </c>
      <c r="L1001" s="167">
        <f>SUMIFS($L$6:$L$1000,$D$6:$D$1000,"01.")</f>
        <v>0</v>
      </c>
      <c r="M1001" s="218">
        <f>SUMIFS($M$6:$M$1000,$D$6:$D$1000,"01")</f>
        <v>0</v>
      </c>
      <c r="N1001" s="168">
        <f>SUMIFS($N$6:$N$1000,$D$6:$D$1000,"01")</f>
        <v>0</v>
      </c>
      <c r="O1001" s="251"/>
      <c r="P1001" s="251"/>
      <c r="Q1001" s="251"/>
    </row>
    <row r="1002" spans="2:17" ht="28.5" customHeight="1">
      <c r="D1002" s="132" t="s">
        <v>139</v>
      </c>
      <c r="E1002" s="51" t="s">
        <v>136</v>
      </c>
      <c r="F1002" s="171"/>
      <c r="G1002" s="51" t="s">
        <v>184</v>
      </c>
      <c r="H1002" s="190"/>
      <c r="I1002" s="190"/>
      <c r="J1002" s="131"/>
      <c r="K1002" s="166" t="s">
        <v>144</v>
      </c>
      <c r="L1002" s="169">
        <f>SUMIFS($L$6:$L$1000,$D$6:$D$1000,"02.")</f>
        <v>0</v>
      </c>
      <c r="M1002" s="169">
        <f>SUMIFS($M$6:$M$1000,$D$6:$D$1000,"02.")</f>
        <v>0</v>
      </c>
      <c r="N1002" s="170">
        <f>SUMIFS($N$6:$N$1000,$D$6:$D$1000,"02")</f>
        <v>0</v>
      </c>
      <c r="O1002" s="251"/>
      <c r="P1002" s="251"/>
      <c r="Q1002" s="251"/>
    </row>
    <row r="1003" spans="2:17" ht="28.5" customHeight="1">
      <c r="D1003" s="132" t="s">
        <v>140</v>
      </c>
      <c r="E1003" s="51" t="s">
        <v>137</v>
      </c>
      <c r="F1003" s="171"/>
      <c r="G1003" s="51" t="s">
        <v>185</v>
      </c>
      <c r="H1003" s="190"/>
      <c r="I1003" s="190"/>
      <c r="J1003" s="131"/>
      <c r="K1003" s="166" t="s">
        <v>145</v>
      </c>
      <c r="L1003" s="169">
        <f>SUMIFS($L$6:$L$1000,$D$6:$D$1000,"03.")</f>
        <v>0</v>
      </c>
      <c r="M1003" s="169">
        <f>SUMIFS($M$6:$M$1000,$D$6:$D$1000,"03.")</f>
        <v>0</v>
      </c>
      <c r="N1003" s="170">
        <f>SUMIFS($N$6:$N$1000,$D$6:$D$1000,"03")</f>
        <v>0</v>
      </c>
      <c r="O1003" s="251"/>
      <c r="P1003" s="251"/>
      <c r="Q1003" s="251"/>
    </row>
    <row r="1004" spans="2:17" ht="28.5" customHeight="1">
      <c r="D1004" s="132" t="s">
        <v>141</v>
      </c>
      <c r="E1004" s="35" t="s">
        <v>142</v>
      </c>
      <c r="F1004" s="171"/>
      <c r="G1004" s="35" t="s">
        <v>186</v>
      </c>
      <c r="H1004" s="190"/>
      <c r="I1004" s="190"/>
      <c r="J1004" s="131"/>
      <c r="K1004" s="166" t="s">
        <v>146</v>
      </c>
      <c r="L1004" s="169">
        <f>SUMIFS($L$6:$L$1000,$D$6:$D$1000,"04.")</f>
        <v>0</v>
      </c>
      <c r="M1004" s="169">
        <f>SUMIFS($M$6:$M$1000,$D$6:$D$1000,"04.")</f>
        <v>0</v>
      </c>
      <c r="N1004" s="170">
        <f>SUMIFS($N$6:$N$1000,$D$6:$D$1000,"04")</f>
        <v>0</v>
      </c>
      <c r="O1004" s="251"/>
      <c r="P1004" s="251"/>
      <c r="Q1004" s="251"/>
    </row>
    <row r="1005" spans="2:17" ht="28.5" customHeight="1">
      <c r="D1005" s="132"/>
      <c r="E1005" s="35"/>
      <c r="H1005" s="190"/>
      <c r="I1005" s="190"/>
      <c r="J1005" s="131" t="s">
        <v>244</v>
      </c>
      <c r="K1005" s="166" t="s">
        <v>182</v>
      </c>
      <c r="L1005" s="169">
        <f>SUM($L$1001:$L$1004)</f>
        <v>0</v>
      </c>
      <c r="M1005" s="169">
        <f>SUM($M$1001:$M$1004)</f>
        <v>0</v>
      </c>
      <c r="N1005" s="169">
        <f>SUM($N$1001:$N$1004)</f>
        <v>0</v>
      </c>
      <c r="O1005" s="252"/>
      <c r="P1005" s="252"/>
      <c r="Q1005" s="252"/>
    </row>
  </sheetData>
  <sheetProtection algorithmName="SHA-512" hashValue="5rcvx5M0uUGaxLNNOuzjOgPm/LYjaeWRz7awMEQdVckz0ZhsW7h489mNJ9ISzQoTE+gY6UbTBDcl0IbtfjG2lg==" saltValue="6hSWBwO67zdCEUfERQ5NBw==" spinCount="100000" sheet="1" objects="1" autoFilter="0"/>
  <protectedRanges>
    <protectedRange sqref="L6:M1000" name="範囲1"/>
  </protectedRanges>
  <autoFilter ref="B5:N1005" xr:uid="{5CC1EA66-E578-481D-9F65-B497098D491E}">
    <filterColumn colId="2" showButton="0"/>
  </autoFilter>
  <dataConsolidate/>
  <mergeCells count="2">
    <mergeCell ref="D5:E5"/>
    <mergeCell ref="L3:N3"/>
  </mergeCells>
  <phoneticPr fontId="4"/>
  <conditionalFormatting sqref="L6:M1000">
    <cfRule type="cellIs" dxfId="202" priority="212" operator="notEqual">
      <formula>""</formula>
    </cfRule>
  </conditionalFormatting>
  <conditionalFormatting sqref="B1000:C1000 B18:B999 B6:C17">
    <cfRule type="cellIs" dxfId="201" priority="188" operator="equal">
      <formula>""</formula>
    </cfRule>
  </conditionalFormatting>
  <conditionalFormatting sqref="H6:I1000">
    <cfRule type="cellIs" dxfId="200" priority="203" operator="equal">
      <formula>""</formula>
    </cfRule>
  </conditionalFormatting>
  <conditionalFormatting sqref="M6:M1000">
    <cfRule type="expression" dxfId="199" priority="3">
      <formula>AND(G6="15.修繕費",M6&gt;=200000)</formula>
    </cfRule>
    <cfRule type="expression" dxfId="198" priority="5">
      <formula>AND(G6="1.謝金（外部）",M6&gt;=47100)</formula>
    </cfRule>
    <cfRule type="expression" dxfId="197" priority="10">
      <formula>AND(G6="1.謝金（内部）",M6&gt;15700)</formula>
    </cfRule>
    <cfRule type="expression" dxfId="196" priority="185">
      <formula>G6="16.対象外経費"</formula>
    </cfRule>
    <cfRule type="cellIs" dxfId="195" priority="202" operator="equal">
      <formula>""</formula>
    </cfRule>
  </conditionalFormatting>
  <conditionalFormatting sqref="G6:G1000">
    <cfRule type="cellIs" dxfId="194" priority="189" operator="equal">
      <formula>""</formula>
    </cfRule>
  </conditionalFormatting>
  <conditionalFormatting sqref="J6:J1000">
    <cfRule type="expression" dxfId="193" priority="178">
      <formula>AND(G6="2.旅費",J6&lt;&gt;"")</formula>
    </cfRule>
    <cfRule type="expression" dxfId="192" priority="183">
      <formula>G6="2.旅費"</formula>
    </cfRule>
  </conditionalFormatting>
  <conditionalFormatting sqref="C18:C23">
    <cfRule type="cellIs" dxfId="191" priority="177" operator="equal">
      <formula>""</formula>
    </cfRule>
  </conditionalFormatting>
  <conditionalFormatting sqref="C24:C29">
    <cfRule type="cellIs" dxfId="190" priority="176" operator="equal">
      <formula>""</formula>
    </cfRule>
  </conditionalFormatting>
  <conditionalFormatting sqref="C30:C35">
    <cfRule type="cellIs" dxfId="189" priority="175" operator="equal">
      <formula>""</formula>
    </cfRule>
  </conditionalFormatting>
  <conditionalFormatting sqref="C36:C41">
    <cfRule type="cellIs" dxfId="188" priority="174" operator="equal">
      <formula>""</formula>
    </cfRule>
  </conditionalFormatting>
  <conditionalFormatting sqref="C42:C47">
    <cfRule type="cellIs" dxfId="187" priority="173" operator="equal">
      <formula>""</formula>
    </cfRule>
  </conditionalFormatting>
  <conditionalFormatting sqref="C48:C53">
    <cfRule type="cellIs" dxfId="186" priority="172" operator="equal">
      <formula>""</formula>
    </cfRule>
  </conditionalFormatting>
  <conditionalFormatting sqref="C54:C59">
    <cfRule type="cellIs" dxfId="185" priority="171" operator="equal">
      <formula>""</formula>
    </cfRule>
  </conditionalFormatting>
  <conditionalFormatting sqref="C60:C65">
    <cfRule type="cellIs" dxfId="184" priority="170" operator="equal">
      <formula>""</formula>
    </cfRule>
  </conditionalFormatting>
  <conditionalFormatting sqref="C66:C71">
    <cfRule type="cellIs" dxfId="183" priority="169" operator="equal">
      <formula>""</formula>
    </cfRule>
  </conditionalFormatting>
  <conditionalFormatting sqref="C72:C77">
    <cfRule type="cellIs" dxfId="182" priority="168" operator="equal">
      <formula>""</formula>
    </cfRule>
  </conditionalFormatting>
  <conditionalFormatting sqref="C78:C83">
    <cfRule type="cellIs" dxfId="181" priority="167" operator="equal">
      <formula>""</formula>
    </cfRule>
  </conditionalFormatting>
  <conditionalFormatting sqref="C84:C89">
    <cfRule type="cellIs" dxfId="180" priority="166" operator="equal">
      <formula>""</formula>
    </cfRule>
  </conditionalFormatting>
  <conditionalFormatting sqref="C90:C95">
    <cfRule type="cellIs" dxfId="179" priority="165" operator="equal">
      <formula>""</formula>
    </cfRule>
  </conditionalFormatting>
  <conditionalFormatting sqref="C96:C101">
    <cfRule type="cellIs" dxfId="178" priority="164" operator="equal">
      <formula>""</formula>
    </cfRule>
  </conditionalFormatting>
  <conditionalFormatting sqref="C102:C107">
    <cfRule type="cellIs" dxfId="177" priority="163" operator="equal">
      <formula>""</formula>
    </cfRule>
  </conditionalFormatting>
  <conditionalFormatting sqref="C108:C113">
    <cfRule type="cellIs" dxfId="176" priority="162" operator="equal">
      <formula>""</formula>
    </cfRule>
  </conditionalFormatting>
  <conditionalFormatting sqref="C114:C119">
    <cfRule type="cellIs" dxfId="175" priority="161" operator="equal">
      <formula>""</formula>
    </cfRule>
  </conditionalFormatting>
  <conditionalFormatting sqref="C120:C125">
    <cfRule type="cellIs" dxfId="174" priority="160" operator="equal">
      <formula>""</formula>
    </cfRule>
  </conditionalFormatting>
  <conditionalFormatting sqref="C126:C131">
    <cfRule type="cellIs" dxfId="173" priority="159" operator="equal">
      <formula>""</formula>
    </cfRule>
  </conditionalFormatting>
  <conditionalFormatting sqref="C132:C137">
    <cfRule type="cellIs" dxfId="172" priority="158" operator="equal">
      <formula>""</formula>
    </cfRule>
  </conditionalFormatting>
  <conditionalFormatting sqref="C138:C143">
    <cfRule type="cellIs" dxfId="171" priority="157" operator="equal">
      <formula>""</formula>
    </cfRule>
  </conditionalFormatting>
  <conditionalFormatting sqref="C144:C149">
    <cfRule type="cellIs" dxfId="170" priority="156" operator="equal">
      <formula>""</formula>
    </cfRule>
  </conditionalFormatting>
  <conditionalFormatting sqref="C150:C155">
    <cfRule type="cellIs" dxfId="169" priority="155" operator="equal">
      <formula>""</formula>
    </cfRule>
  </conditionalFormatting>
  <conditionalFormatting sqref="C156:C161">
    <cfRule type="cellIs" dxfId="168" priority="154" operator="equal">
      <formula>""</formula>
    </cfRule>
  </conditionalFormatting>
  <conditionalFormatting sqref="C162:C167">
    <cfRule type="cellIs" dxfId="167" priority="153" operator="equal">
      <formula>""</formula>
    </cfRule>
  </conditionalFormatting>
  <conditionalFormatting sqref="C168:C173">
    <cfRule type="cellIs" dxfId="166" priority="152" operator="equal">
      <formula>""</formula>
    </cfRule>
  </conditionalFormatting>
  <conditionalFormatting sqref="C174:C179">
    <cfRule type="cellIs" dxfId="165" priority="151" operator="equal">
      <formula>""</formula>
    </cfRule>
  </conditionalFormatting>
  <conditionalFormatting sqref="C180:C185">
    <cfRule type="cellIs" dxfId="164" priority="150" operator="equal">
      <formula>""</formula>
    </cfRule>
  </conditionalFormatting>
  <conditionalFormatting sqref="C186:C191">
    <cfRule type="cellIs" dxfId="163" priority="149" operator="equal">
      <formula>""</formula>
    </cfRule>
  </conditionalFormatting>
  <conditionalFormatting sqref="C192:C197">
    <cfRule type="cellIs" dxfId="162" priority="148" operator="equal">
      <formula>""</formula>
    </cfRule>
  </conditionalFormatting>
  <conditionalFormatting sqref="C198:C203">
    <cfRule type="cellIs" dxfId="161" priority="147" operator="equal">
      <formula>""</formula>
    </cfRule>
  </conditionalFormatting>
  <conditionalFormatting sqref="C204:C209">
    <cfRule type="cellIs" dxfId="160" priority="146" operator="equal">
      <formula>""</formula>
    </cfRule>
  </conditionalFormatting>
  <conditionalFormatting sqref="C210:C215">
    <cfRule type="cellIs" dxfId="159" priority="145" operator="equal">
      <formula>""</formula>
    </cfRule>
  </conditionalFormatting>
  <conditionalFormatting sqref="C216:C221">
    <cfRule type="cellIs" dxfId="158" priority="144" operator="equal">
      <formula>""</formula>
    </cfRule>
  </conditionalFormatting>
  <conditionalFormatting sqref="C222:C227">
    <cfRule type="cellIs" dxfId="157" priority="143" operator="equal">
      <formula>""</formula>
    </cfRule>
  </conditionalFormatting>
  <conditionalFormatting sqref="C228:C233">
    <cfRule type="cellIs" dxfId="156" priority="142" operator="equal">
      <formula>""</formula>
    </cfRule>
  </conditionalFormatting>
  <conditionalFormatting sqref="C234:C239">
    <cfRule type="cellIs" dxfId="155" priority="141" operator="equal">
      <formula>""</formula>
    </cfRule>
  </conditionalFormatting>
  <conditionalFormatting sqref="C240:C245">
    <cfRule type="cellIs" dxfId="154" priority="140" operator="equal">
      <formula>""</formula>
    </cfRule>
  </conditionalFormatting>
  <conditionalFormatting sqref="C246:C251">
    <cfRule type="cellIs" dxfId="153" priority="139" operator="equal">
      <formula>""</formula>
    </cfRule>
  </conditionalFormatting>
  <conditionalFormatting sqref="C252:C257">
    <cfRule type="cellIs" dxfId="152" priority="138" operator="equal">
      <formula>""</formula>
    </cfRule>
  </conditionalFormatting>
  <conditionalFormatting sqref="C258:C263">
    <cfRule type="cellIs" dxfId="151" priority="137" operator="equal">
      <formula>""</formula>
    </cfRule>
  </conditionalFormatting>
  <conditionalFormatting sqref="C264:C269">
    <cfRule type="cellIs" dxfId="150" priority="136" operator="equal">
      <formula>""</formula>
    </cfRule>
  </conditionalFormatting>
  <conditionalFormatting sqref="C270:C275">
    <cfRule type="cellIs" dxfId="149" priority="135" operator="equal">
      <formula>""</formula>
    </cfRule>
  </conditionalFormatting>
  <conditionalFormatting sqref="C276:C281">
    <cfRule type="cellIs" dxfId="148" priority="134" operator="equal">
      <formula>""</formula>
    </cfRule>
  </conditionalFormatting>
  <conditionalFormatting sqref="C282:C287">
    <cfRule type="cellIs" dxfId="147" priority="133" operator="equal">
      <formula>""</formula>
    </cfRule>
  </conditionalFormatting>
  <conditionalFormatting sqref="C288:C293">
    <cfRule type="cellIs" dxfId="146" priority="132" operator="equal">
      <formula>""</formula>
    </cfRule>
  </conditionalFormatting>
  <conditionalFormatting sqref="C294:C299">
    <cfRule type="cellIs" dxfId="145" priority="131" operator="equal">
      <formula>""</formula>
    </cfRule>
  </conditionalFormatting>
  <conditionalFormatting sqref="C300:C305">
    <cfRule type="cellIs" dxfId="144" priority="130" operator="equal">
      <formula>""</formula>
    </cfRule>
  </conditionalFormatting>
  <conditionalFormatting sqref="C306:C311">
    <cfRule type="cellIs" dxfId="143" priority="129" operator="equal">
      <formula>""</formula>
    </cfRule>
  </conditionalFormatting>
  <conditionalFormatting sqref="C312:C317">
    <cfRule type="cellIs" dxfId="142" priority="128" operator="equal">
      <formula>""</formula>
    </cfRule>
  </conditionalFormatting>
  <conditionalFormatting sqref="C318:C323">
    <cfRule type="cellIs" dxfId="141" priority="127" operator="equal">
      <formula>""</formula>
    </cfRule>
  </conditionalFormatting>
  <conditionalFormatting sqref="C324:C329">
    <cfRule type="cellIs" dxfId="140" priority="126" operator="equal">
      <formula>""</formula>
    </cfRule>
  </conditionalFormatting>
  <conditionalFormatting sqref="C330:C335">
    <cfRule type="cellIs" dxfId="139" priority="125" operator="equal">
      <formula>""</formula>
    </cfRule>
  </conditionalFormatting>
  <conditionalFormatting sqref="C336:C341">
    <cfRule type="cellIs" dxfId="138" priority="124" operator="equal">
      <formula>""</formula>
    </cfRule>
  </conditionalFormatting>
  <conditionalFormatting sqref="C342:C347">
    <cfRule type="cellIs" dxfId="137" priority="123" operator="equal">
      <formula>""</formula>
    </cfRule>
  </conditionalFormatting>
  <conditionalFormatting sqref="C348:C353">
    <cfRule type="cellIs" dxfId="136" priority="122" operator="equal">
      <formula>""</formula>
    </cfRule>
  </conditionalFormatting>
  <conditionalFormatting sqref="C354:C359">
    <cfRule type="cellIs" dxfId="135" priority="121" operator="equal">
      <formula>""</formula>
    </cfRule>
  </conditionalFormatting>
  <conditionalFormatting sqref="C372:C377 C360:C365">
    <cfRule type="cellIs" dxfId="134" priority="118" operator="equal">
      <formula>""</formula>
    </cfRule>
  </conditionalFormatting>
  <conditionalFormatting sqref="C378:C383 C366:C371">
    <cfRule type="cellIs" dxfId="133" priority="117" operator="equal">
      <formula>""</formula>
    </cfRule>
  </conditionalFormatting>
  <conditionalFormatting sqref="C384:C389">
    <cfRule type="cellIs" dxfId="132" priority="116" operator="equal">
      <formula>""</formula>
    </cfRule>
  </conditionalFormatting>
  <conditionalFormatting sqref="C390:C395">
    <cfRule type="cellIs" dxfId="131" priority="115" operator="equal">
      <formula>""</formula>
    </cfRule>
  </conditionalFormatting>
  <conditionalFormatting sqref="C396:C401">
    <cfRule type="cellIs" dxfId="130" priority="114" operator="equal">
      <formula>""</formula>
    </cfRule>
  </conditionalFormatting>
  <conditionalFormatting sqref="C402:C407">
    <cfRule type="cellIs" dxfId="129" priority="113" operator="equal">
      <formula>""</formula>
    </cfRule>
  </conditionalFormatting>
  <conditionalFormatting sqref="C408:C413">
    <cfRule type="cellIs" dxfId="128" priority="112" operator="equal">
      <formula>""</formula>
    </cfRule>
  </conditionalFormatting>
  <conditionalFormatting sqref="C414:C419">
    <cfRule type="cellIs" dxfId="127" priority="111" operator="equal">
      <formula>""</formula>
    </cfRule>
  </conditionalFormatting>
  <conditionalFormatting sqref="C420:C425">
    <cfRule type="cellIs" dxfId="126" priority="110" operator="equal">
      <formula>""</formula>
    </cfRule>
  </conditionalFormatting>
  <conditionalFormatting sqref="C426:C431">
    <cfRule type="cellIs" dxfId="125" priority="109" operator="equal">
      <formula>""</formula>
    </cfRule>
  </conditionalFormatting>
  <conditionalFormatting sqref="C432:C437">
    <cfRule type="cellIs" dxfId="124" priority="108" operator="equal">
      <formula>""</formula>
    </cfRule>
  </conditionalFormatting>
  <conditionalFormatting sqref="C438:C443">
    <cfRule type="cellIs" dxfId="123" priority="107" operator="equal">
      <formula>""</formula>
    </cfRule>
  </conditionalFormatting>
  <conditionalFormatting sqref="C444:C449">
    <cfRule type="cellIs" dxfId="122" priority="106" operator="equal">
      <formula>""</formula>
    </cfRule>
  </conditionalFormatting>
  <conditionalFormatting sqref="C450:C455">
    <cfRule type="cellIs" dxfId="121" priority="105" operator="equal">
      <formula>""</formula>
    </cfRule>
  </conditionalFormatting>
  <conditionalFormatting sqref="C456:C461">
    <cfRule type="cellIs" dxfId="120" priority="104" operator="equal">
      <formula>""</formula>
    </cfRule>
  </conditionalFormatting>
  <conditionalFormatting sqref="C462:C467">
    <cfRule type="cellIs" dxfId="119" priority="103" operator="equal">
      <formula>""</formula>
    </cfRule>
  </conditionalFormatting>
  <conditionalFormatting sqref="C468:C473">
    <cfRule type="cellIs" dxfId="118" priority="102" operator="equal">
      <formula>""</formula>
    </cfRule>
  </conditionalFormatting>
  <conditionalFormatting sqref="C474:C479">
    <cfRule type="cellIs" dxfId="117" priority="101" operator="equal">
      <formula>""</formula>
    </cfRule>
  </conditionalFormatting>
  <conditionalFormatting sqref="C480:C485">
    <cfRule type="cellIs" dxfId="116" priority="100" operator="equal">
      <formula>""</formula>
    </cfRule>
  </conditionalFormatting>
  <conditionalFormatting sqref="C486:C491">
    <cfRule type="cellIs" dxfId="115" priority="99" operator="equal">
      <formula>""</formula>
    </cfRule>
  </conditionalFormatting>
  <conditionalFormatting sqref="C492:C497">
    <cfRule type="cellIs" dxfId="114" priority="98" operator="equal">
      <formula>""</formula>
    </cfRule>
  </conditionalFormatting>
  <conditionalFormatting sqref="C498:C503">
    <cfRule type="cellIs" dxfId="113" priority="97" operator="equal">
      <formula>""</formula>
    </cfRule>
  </conditionalFormatting>
  <conditionalFormatting sqref="C504:C509">
    <cfRule type="cellIs" dxfId="112" priority="96" operator="equal">
      <formula>""</formula>
    </cfRule>
  </conditionalFormatting>
  <conditionalFormatting sqref="C510:C515">
    <cfRule type="cellIs" dxfId="111" priority="95" operator="equal">
      <formula>""</formula>
    </cfRule>
  </conditionalFormatting>
  <conditionalFormatting sqref="C516:C521">
    <cfRule type="cellIs" dxfId="110" priority="94" operator="equal">
      <formula>""</formula>
    </cfRule>
  </conditionalFormatting>
  <conditionalFormatting sqref="C522:C527">
    <cfRule type="cellIs" dxfId="109" priority="93" operator="equal">
      <formula>""</formula>
    </cfRule>
  </conditionalFormatting>
  <conditionalFormatting sqref="C528:C533">
    <cfRule type="cellIs" dxfId="108" priority="92" operator="equal">
      <formula>""</formula>
    </cfRule>
  </conditionalFormatting>
  <conditionalFormatting sqref="C534:C539">
    <cfRule type="cellIs" dxfId="107" priority="91" operator="equal">
      <formula>""</formula>
    </cfRule>
  </conditionalFormatting>
  <conditionalFormatting sqref="C540:C545">
    <cfRule type="cellIs" dxfId="106" priority="90" operator="equal">
      <formula>""</formula>
    </cfRule>
  </conditionalFormatting>
  <conditionalFormatting sqref="C546:C551">
    <cfRule type="cellIs" dxfId="105" priority="89" operator="equal">
      <formula>""</formula>
    </cfRule>
  </conditionalFormatting>
  <conditionalFormatting sqref="C552:C557">
    <cfRule type="cellIs" dxfId="104" priority="88" operator="equal">
      <formula>""</formula>
    </cfRule>
  </conditionalFormatting>
  <conditionalFormatting sqref="C558:C563">
    <cfRule type="cellIs" dxfId="103" priority="87" operator="equal">
      <formula>""</formula>
    </cfRule>
  </conditionalFormatting>
  <conditionalFormatting sqref="C564:C569">
    <cfRule type="cellIs" dxfId="102" priority="86" operator="equal">
      <formula>""</formula>
    </cfRule>
  </conditionalFormatting>
  <conditionalFormatting sqref="C570:C575">
    <cfRule type="cellIs" dxfId="101" priority="85" operator="equal">
      <formula>""</formula>
    </cfRule>
  </conditionalFormatting>
  <conditionalFormatting sqref="C576:C581">
    <cfRule type="cellIs" dxfId="100" priority="84" operator="equal">
      <formula>""</formula>
    </cfRule>
  </conditionalFormatting>
  <conditionalFormatting sqref="C582:C587">
    <cfRule type="cellIs" dxfId="99" priority="83" operator="equal">
      <formula>""</formula>
    </cfRule>
  </conditionalFormatting>
  <conditionalFormatting sqref="C588:C593">
    <cfRule type="cellIs" dxfId="98" priority="82" operator="equal">
      <formula>""</formula>
    </cfRule>
  </conditionalFormatting>
  <conditionalFormatting sqref="C594:C599">
    <cfRule type="cellIs" dxfId="97" priority="81" operator="equal">
      <formula>""</formula>
    </cfRule>
  </conditionalFormatting>
  <conditionalFormatting sqref="C600:C605">
    <cfRule type="cellIs" dxfId="96" priority="80" operator="equal">
      <formula>""</formula>
    </cfRule>
  </conditionalFormatting>
  <conditionalFormatting sqref="C606:C611">
    <cfRule type="cellIs" dxfId="95" priority="79" operator="equal">
      <formula>""</formula>
    </cfRule>
  </conditionalFormatting>
  <conditionalFormatting sqref="C612:C617">
    <cfRule type="cellIs" dxfId="94" priority="78" operator="equal">
      <formula>""</formula>
    </cfRule>
  </conditionalFormatting>
  <conditionalFormatting sqref="C618:C623">
    <cfRule type="cellIs" dxfId="93" priority="77" operator="equal">
      <formula>""</formula>
    </cfRule>
  </conditionalFormatting>
  <conditionalFormatting sqref="C624:C629">
    <cfRule type="cellIs" dxfId="92" priority="76" operator="equal">
      <formula>""</formula>
    </cfRule>
  </conditionalFormatting>
  <conditionalFormatting sqref="C630:C635">
    <cfRule type="cellIs" dxfId="91" priority="75" operator="equal">
      <formula>""</formula>
    </cfRule>
  </conditionalFormatting>
  <conditionalFormatting sqref="C636:C641">
    <cfRule type="cellIs" dxfId="90" priority="74" operator="equal">
      <formula>""</formula>
    </cfRule>
  </conditionalFormatting>
  <conditionalFormatting sqref="C642:C647">
    <cfRule type="cellIs" dxfId="89" priority="73" operator="equal">
      <formula>""</formula>
    </cfRule>
  </conditionalFormatting>
  <conditionalFormatting sqref="C648:C653">
    <cfRule type="cellIs" dxfId="88" priority="72" operator="equal">
      <formula>""</formula>
    </cfRule>
  </conditionalFormatting>
  <conditionalFormatting sqref="C654:C659">
    <cfRule type="cellIs" dxfId="87" priority="71" operator="equal">
      <formula>""</formula>
    </cfRule>
  </conditionalFormatting>
  <conditionalFormatting sqref="C660:C665">
    <cfRule type="cellIs" dxfId="86" priority="70" operator="equal">
      <formula>""</formula>
    </cfRule>
  </conditionalFormatting>
  <conditionalFormatting sqref="C666:C671">
    <cfRule type="cellIs" dxfId="85" priority="69" operator="equal">
      <formula>""</formula>
    </cfRule>
  </conditionalFormatting>
  <conditionalFormatting sqref="C672:C677">
    <cfRule type="cellIs" dxfId="84" priority="68" operator="equal">
      <formula>""</formula>
    </cfRule>
  </conditionalFormatting>
  <conditionalFormatting sqref="C678:C683">
    <cfRule type="cellIs" dxfId="83" priority="67" operator="equal">
      <formula>""</formula>
    </cfRule>
  </conditionalFormatting>
  <conditionalFormatting sqref="C684:C689">
    <cfRule type="cellIs" dxfId="82" priority="66" operator="equal">
      <formula>""</formula>
    </cfRule>
  </conditionalFormatting>
  <conditionalFormatting sqref="C690:C695">
    <cfRule type="cellIs" dxfId="81" priority="65" operator="equal">
      <formula>""</formula>
    </cfRule>
  </conditionalFormatting>
  <conditionalFormatting sqref="C696:C701">
    <cfRule type="cellIs" dxfId="80" priority="64" operator="equal">
      <formula>""</formula>
    </cfRule>
  </conditionalFormatting>
  <conditionalFormatting sqref="C702:C707">
    <cfRule type="cellIs" dxfId="79" priority="63" operator="equal">
      <formula>""</formula>
    </cfRule>
  </conditionalFormatting>
  <conditionalFormatting sqref="C708:C713">
    <cfRule type="cellIs" dxfId="78" priority="62" operator="equal">
      <formula>""</formula>
    </cfRule>
  </conditionalFormatting>
  <conditionalFormatting sqref="C714:C719">
    <cfRule type="cellIs" dxfId="77" priority="61" operator="equal">
      <formula>""</formula>
    </cfRule>
  </conditionalFormatting>
  <conditionalFormatting sqref="C720:C725">
    <cfRule type="cellIs" dxfId="76" priority="60" operator="equal">
      <formula>""</formula>
    </cfRule>
  </conditionalFormatting>
  <conditionalFormatting sqref="C726:C731">
    <cfRule type="cellIs" dxfId="75" priority="59" operator="equal">
      <formula>""</formula>
    </cfRule>
  </conditionalFormatting>
  <conditionalFormatting sqref="C732:C737">
    <cfRule type="cellIs" dxfId="74" priority="58" operator="equal">
      <formula>""</formula>
    </cfRule>
  </conditionalFormatting>
  <conditionalFormatting sqref="C738:C743">
    <cfRule type="cellIs" dxfId="73" priority="57" operator="equal">
      <formula>""</formula>
    </cfRule>
  </conditionalFormatting>
  <conditionalFormatting sqref="C744:C749">
    <cfRule type="cellIs" dxfId="72" priority="56" operator="equal">
      <formula>""</formula>
    </cfRule>
  </conditionalFormatting>
  <conditionalFormatting sqref="C750:C755">
    <cfRule type="cellIs" dxfId="71" priority="55" operator="equal">
      <formula>""</formula>
    </cfRule>
  </conditionalFormatting>
  <conditionalFormatting sqref="C756:C761">
    <cfRule type="cellIs" dxfId="70" priority="54" operator="equal">
      <formula>""</formula>
    </cfRule>
  </conditionalFormatting>
  <conditionalFormatting sqref="C762:C767">
    <cfRule type="cellIs" dxfId="69" priority="53" operator="equal">
      <formula>""</formula>
    </cfRule>
  </conditionalFormatting>
  <conditionalFormatting sqref="C768:C773">
    <cfRule type="cellIs" dxfId="68" priority="52" operator="equal">
      <formula>""</formula>
    </cfRule>
  </conditionalFormatting>
  <conditionalFormatting sqref="C774:C779">
    <cfRule type="cellIs" dxfId="67" priority="51" operator="equal">
      <formula>""</formula>
    </cfRule>
  </conditionalFormatting>
  <conditionalFormatting sqref="C780:C785">
    <cfRule type="cellIs" dxfId="66" priority="50" operator="equal">
      <formula>""</formula>
    </cfRule>
  </conditionalFormatting>
  <conditionalFormatting sqref="C786:C791">
    <cfRule type="cellIs" dxfId="65" priority="49" operator="equal">
      <formula>""</formula>
    </cfRule>
  </conditionalFormatting>
  <conditionalFormatting sqref="C792:C797">
    <cfRule type="cellIs" dxfId="64" priority="48" operator="equal">
      <formula>""</formula>
    </cfRule>
  </conditionalFormatting>
  <conditionalFormatting sqref="C798:C803">
    <cfRule type="cellIs" dxfId="63" priority="47" operator="equal">
      <formula>""</formula>
    </cfRule>
  </conditionalFormatting>
  <conditionalFormatting sqref="C804:C809">
    <cfRule type="cellIs" dxfId="62" priority="46" operator="equal">
      <formula>""</formula>
    </cfRule>
  </conditionalFormatting>
  <conditionalFormatting sqref="C810:C815">
    <cfRule type="cellIs" dxfId="61" priority="45" operator="equal">
      <formula>""</formula>
    </cfRule>
  </conditionalFormatting>
  <conditionalFormatting sqref="C816:C821">
    <cfRule type="cellIs" dxfId="60" priority="44" operator="equal">
      <formula>""</formula>
    </cfRule>
  </conditionalFormatting>
  <conditionalFormatting sqref="C822:C827">
    <cfRule type="cellIs" dxfId="59" priority="43" operator="equal">
      <formula>""</formula>
    </cfRule>
  </conditionalFormatting>
  <conditionalFormatting sqref="C828:C833">
    <cfRule type="cellIs" dxfId="58" priority="42" operator="equal">
      <formula>""</formula>
    </cfRule>
  </conditionalFormatting>
  <conditionalFormatting sqref="C834:C839">
    <cfRule type="cellIs" dxfId="57" priority="41" operator="equal">
      <formula>""</formula>
    </cfRule>
  </conditionalFormatting>
  <conditionalFormatting sqref="C840:C845">
    <cfRule type="cellIs" dxfId="56" priority="40" operator="equal">
      <formula>""</formula>
    </cfRule>
  </conditionalFormatting>
  <conditionalFormatting sqref="C846:C851">
    <cfRule type="cellIs" dxfId="55" priority="39" operator="equal">
      <formula>""</formula>
    </cfRule>
  </conditionalFormatting>
  <conditionalFormatting sqref="C852:C857">
    <cfRule type="cellIs" dxfId="54" priority="38" operator="equal">
      <formula>""</formula>
    </cfRule>
  </conditionalFormatting>
  <conditionalFormatting sqref="C858:C863">
    <cfRule type="cellIs" dxfId="53" priority="37" operator="equal">
      <formula>""</formula>
    </cfRule>
  </conditionalFormatting>
  <conditionalFormatting sqref="C864:C869">
    <cfRule type="cellIs" dxfId="52" priority="36" operator="equal">
      <formula>""</formula>
    </cfRule>
  </conditionalFormatting>
  <conditionalFormatting sqref="C870:C875">
    <cfRule type="cellIs" dxfId="51" priority="35" operator="equal">
      <formula>""</formula>
    </cfRule>
  </conditionalFormatting>
  <conditionalFormatting sqref="C876:C881">
    <cfRule type="cellIs" dxfId="50" priority="34" operator="equal">
      <formula>""</formula>
    </cfRule>
  </conditionalFormatting>
  <conditionalFormatting sqref="C882:C887">
    <cfRule type="cellIs" dxfId="49" priority="33" operator="equal">
      <formula>""</formula>
    </cfRule>
  </conditionalFormatting>
  <conditionalFormatting sqref="C888:C893">
    <cfRule type="cellIs" dxfId="48" priority="32" operator="equal">
      <formula>""</formula>
    </cfRule>
  </conditionalFormatting>
  <conditionalFormatting sqref="C894:C899">
    <cfRule type="cellIs" dxfId="47" priority="31" operator="equal">
      <formula>""</formula>
    </cfRule>
  </conditionalFormatting>
  <conditionalFormatting sqref="C900:C905">
    <cfRule type="cellIs" dxfId="46" priority="30" operator="equal">
      <formula>""</formula>
    </cfRule>
  </conditionalFormatting>
  <conditionalFormatting sqref="C906:C911">
    <cfRule type="cellIs" dxfId="45" priority="29" operator="equal">
      <formula>""</formula>
    </cfRule>
  </conditionalFormatting>
  <conditionalFormatting sqref="C912:C917">
    <cfRule type="cellIs" dxfId="44" priority="28" operator="equal">
      <formula>""</formula>
    </cfRule>
  </conditionalFormatting>
  <conditionalFormatting sqref="C918:C923">
    <cfRule type="cellIs" dxfId="43" priority="27" operator="equal">
      <formula>""</formula>
    </cfRule>
  </conditionalFormatting>
  <conditionalFormatting sqref="C924:C929">
    <cfRule type="cellIs" dxfId="42" priority="26" operator="equal">
      <formula>""</formula>
    </cfRule>
  </conditionalFormatting>
  <conditionalFormatting sqref="C930:C935">
    <cfRule type="cellIs" dxfId="41" priority="25" operator="equal">
      <formula>""</formula>
    </cfRule>
  </conditionalFormatting>
  <conditionalFormatting sqref="C936:C941">
    <cfRule type="cellIs" dxfId="40" priority="24" operator="equal">
      <formula>""</formula>
    </cfRule>
  </conditionalFormatting>
  <conditionalFormatting sqref="C942:C947">
    <cfRule type="cellIs" dxfId="39" priority="23" operator="equal">
      <formula>""</formula>
    </cfRule>
  </conditionalFormatting>
  <conditionalFormatting sqref="C948:C953">
    <cfRule type="cellIs" dxfId="38" priority="22" operator="equal">
      <formula>""</formula>
    </cfRule>
  </conditionalFormatting>
  <conditionalFormatting sqref="C954:C959">
    <cfRule type="cellIs" dxfId="37" priority="21" operator="equal">
      <formula>""</formula>
    </cfRule>
  </conditionalFormatting>
  <conditionalFormatting sqref="C960:C965">
    <cfRule type="cellIs" dxfId="36" priority="20" operator="equal">
      <formula>""</formula>
    </cfRule>
  </conditionalFormatting>
  <conditionalFormatting sqref="C966:C971">
    <cfRule type="cellIs" dxfId="35" priority="19" operator="equal">
      <formula>""</formula>
    </cfRule>
  </conditionalFormatting>
  <conditionalFormatting sqref="C972:C977">
    <cfRule type="cellIs" dxfId="34" priority="18" operator="equal">
      <formula>""</formula>
    </cfRule>
  </conditionalFormatting>
  <conditionalFormatting sqref="C978:C983">
    <cfRule type="cellIs" dxfId="33" priority="17" operator="equal">
      <formula>""</formula>
    </cfRule>
  </conditionalFormatting>
  <conditionalFormatting sqref="C984:C989">
    <cfRule type="cellIs" dxfId="32" priority="16" operator="equal">
      <formula>""</formula>
    </cfRule>
  </conditionalFormatting>
  <conditionalFormatting sqref="C990:C995">
    <cfRule type="cellIs" dxfId="31" priority="15" operator="equal">
      <formula>""</formula>
    </cfRule>
  </conditionalFormatting>
  <conditionalFormatting sqref="C996:C999">
    <cfRule type="cellIs" dxfId="30" priority="14" operator="equal">
      <formula>""</formula>
    </cfRule>
  </conditionalFormatting>
  <conditionalFormatting sqref="K6:K1000">
    <cfRule type="cellIs" dxfId="29" priority="1" operator="equal">
      <formula>""</formula>
    </cfRule>
  </conditionalFormatting>
  <dataValidations xWindow="1142" yWindow="358" count="4">
    <dataValidation allowBlank="1" showErrorMessage="1" sqref="L996:L999 L11:L14 L16:L19 L21:L24 L26:L29 L31:L34 L36:L39 L41:L44 L46:L49 L51:L54 L56:L59 L61:L64 L66:L69 L76:L79 L81:L84 L86:L89 L91:L94 L96:L99 L101:L104 L106:L109 L111:L114 L116:L119 L121:L124 L126:L129 L131:L134 L136:L139 L141:L144 L146:L149 L151:L154 L156:L159 L161:L164 L166:L169 L171:L174 L176:L179 L181:L184 L186:L189 L191:L194 L196:L199 L201:L204 L206:L209 L211:L214 L216:L219 L221:L224 L226:L229 L231:L234 L236:L239 L241:L244 L246:L249 L251:L254 L256:L259 L261:L264 L266:L269 L271:L274 L276:L279 L281:L284 L286:L289 L296:L299 L301:L304 L306:L309 L311:L314 L316:L319 L321:L324 L326:L329 L331:L334 L336:L339 L341:L344 L346:L349 L351:L354 L356:L359 L361:L364 L366:L369 L371:L374 L376:L379 L381:L384 L386:L389 L391:L394 L396:L399 L401:L404 L406:L409 L411:L414 L416:L419 L421:L424 L426:L429 L431:L434 L436:L439 L441:L444 L446:L449 L451:L454 L456:L459 L461:L464 L466:L469 L471:L474 L476:L479 L481:L484 L486:L489 L491:L494 L496:L499 L501:L504 L506:L509 L511:L514 L516:L519 L521:L524 L526:L529 L531:L534 L536:L539 L541:L544 L546:L549 L551:L554 L556:L559 L561:L564 L566:L569 L571:L574 L576:L579 L581:L584 L586:L589 L591:L594 L596:L599 L601:L604 L606:L609 L611:L614 L616:L619 L621:L624 L626:L629 L631:L634 L636:L639 L641:L644 L646:L649 L651:L654 L656:L659 L661:L664 L666:L669 L671:L674 L676:L679 L681:L684 L686:L689 L691:L694 L696:L699 L701:L704 L706:L709 L711:L714 L716:L719 L721:L724 L726:L729 L731:L734 L736:L739 L741:L744 L746:L749 L751:L754 L756:L759 L761:L764 L766:L769 L771:L774 L776:L779 L781:L784 L786:L789 L791:L794 L796:L799 L801:L804 L806:L809 L811:L814 L816:L819 L821:L824 L826:L829 L831:L834 L836:L839 L841:L844 L846:L849 L851:L854 L856:L859 L861:L864 L866:L869 L871:L874 L876:L879 L881:L884 L886:L889 L891:L894 L896:L899 L901:L904 L906:L909 L911:L914 L916:L919 L921:L924 L926:L929 L931:L934 L936:L939 L941:L944 L946:L949 L951:L954 L956:L959 L961:L964 L966:L969 L971:L974 L976:L979 L981:L984 L986:L989 L991:L994 M22 E6:E1000" xr:uid="{A9B40F13-BA5C-4B69-9FBC-47632D3584E4}"/>
    <dataValidation errorStyle="warning" allowBlank="1" showInputMessage="1" showErrorMessage="1" sqref="I6:I13" xr:uid="{2AF31631-608C-49BE-BC89-95FA8299C709}"/>
    <dataValidation allowBlank="1" showInputMessage="1" showErrorMessage="1" prompt="入力する金額は助成事業に使用した金額です。必ずしも領収書の金額と同額ではありません。" sqref="L6:M7 L8 L15 L20 L25 L30:L40 L45 L50 L55 L60 L65 L75 L80 L85 L90 L95 L100 L105 L110 L115 L120 L125 L130 L135 L140 L145 L150 L155 L160 L165 L170 L175 L180 L185 L190 L195 L200 L205 L210 L215 L220 L225 L230 L235 L240 L245 L250 L255 L260 L265 L270 L275 L280 L285 L290 L295 L300 L305 L310 L315 L320 L325 L330 L335 L340 L345 L350 L355 L360 L365 L370 L375 L380 L385 L390 L395 L400 L405 L410 L415 L420 L425 L430 L435 L440 L445 L450 L455 L460 L465 L470 L475 L480 L485 L490 L495 L500 L505 L510 L515 L520 L525 L530 L535 L540 L545 L550:L555 L560 L565 L570 L575 L580 L585 L590 L595 L600 L605 L610 L615 L620 L625 L630 L635 L640 L645 L650 L655 L660 L665 L670 L675 L680 L685 L690 L695 L700 L705 L710 L715 L720 L725 L730 L735 L740 L745 L750 L755 L760 L765 L770 L775 L780 L785 L790 L795 L800 L805 L810 L815 L820 L825 L830 L835 L840 L845 L850 L855 L860 L865 L870 L875 L880 L885 L890 L895 L900 L905 L910 L915 L920 L925 L930 L935 L940 L945 L950 L955 L960 L965 L970 L975 L980 L985 L990 L995 L1000 M8:M21 M23:M1000" xr:uid="{E3E15DBB-B8E0-47F6-84B5-8B7CEBF06BBA}"/>
    <dataValidation type="custom" allowBlank="1" showInputMessage="1" showErrorMessage="1" sqref="K6:K1000" xr:uid="{A916C84E-70A4-4ECB-A2B9-5F635C0D9504}">
      <formula1>COUNTIF(K:K,K6)&lt;2</formula1>
    </dataValidation>
  </dataValidations>
  <hyperlinks>
    <hyperlink ref="B3" location="メニュー画面!B3" display="メニュー画面へ" xr:uid="{4E7FE12A-1C22-424F-8D40-9C9A1E19FC20}"/>
  </hyperlinks>
  <pageMargins left="0.7" right="0.7" top="0.75" bottom="0.75" header="0.3" footer="0.3"/>
  <pageSetup paperSize="9" scale="61"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37" operator="between" id="{2F4CFC31-C2BD-4229-B45A-9F82AC019D32}">
            <xm:f>プルダウン用リスト!$G$7</xm:f>
            <xm:f>プルダウン用リスト!$H$7</xm:f>
            <x14:dxf>
              <fill>
                <patternFill>
                  <bgColor rgb="FFFFFF00"/>
                </patternFill>
              </fill>
            </x14:dxf>
          </x14:cfRule>
          <x14:cfRule type="cellIs" priority="238" operator="between" id="{20DC7EBD-B333-4B71-9483-96ADAA80012F}">
            <xm:f>プルダウン用リスト!$H$8</xm:f>
            <xm:f>プルダウン用リスト!$G$8</xm:f>
            <x14:dxf>
              <fill>
                <patternFill>
                  <bgColor rgb="FFFFFF00"/>
                </patternFill>
              </fill>
            </x14:dxf>
          </x14:cfRule>
          <x14:cfRule type="cellIs" priority="239" operator="notBetween" id="{6240E50A-D6B3-43D2-810E-53AB7D7B6029}">
            <xm:f>プルダウン用リスト!$G$7</xm:f>
            <xm:f>プルダウン用リスト!$G$8</xm:f>
            <x14:dxf>
              <fill>
                <patternFill>
                  <bgColor rgb="FFFF0000"/>
                </patternFill>
              </fill>
            </x14:dxf>
          </x14:cfRule>
          <xm:sqref>B6:B1000</xm:sqref>
        </x14:conditionalFormatting>
      </x14:conditionalFormattings>
    </ext>
    <ext xmlns:x14="http://schemas.microsoft.com/office/spreadsheetml/2009/9/main" uri="{CCE6A557-97BC-4b89-ADB6-D9C93CAAB3DF}">
      <x14:dataValidations xmlns:xm="http://schemas.microsoft.com/office/excel/2006/main" xWindow="1142" yWindow="358" count="1">
        <x14:dataValidation type="list" allowBlank="1" showInputMessage="1" showErrorMessage="1" xr:uid="{FC091480-3437-48B1-9785-43D9335F83ED}">
          <x14:formula1>
            <xm:f>プルダウン用リスト!$A$1:$A$17</xm:f>
          </x14:formula1>
          <xm:sqref>G6:G1000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I202"/>
  <sheetViews>
    <sheetView showGridLines="0" view="pageBreakPreview" zoomScale="70" zoomScaleNormal="80" zoomScaleSheetLayoutView="70" workbookViewId="0">
      <selection activeCell="E8" sqref="E8"/>
    </sheetView>
  </sheetViews>
  <sheetFormatPr defaultColWidth="9" defaultRowHeight="18.75"/>
  <cols>
    <col min="1" max="1" width="2.125" style="9" customWidth="1"/>
    <col min="2" max="2" width="21.875" style="9" customWidth="1"/>
    <col min="3" max="3" width="47" style="9" customWidth="1"/>
    <col min="4" max="4" width="22.625" style="9" customWidth="1"/>
    <col min="5" max="5" width="20.875" style="9" customWidth="1"/>
    <col min="6" max="6" width="8.125" style="9" hidden="1" customWidth="1"/>
    <col min="7" max="7" width="36.875" style="9" customWidth="1"/>
    <col min="8" max="16384" width="9" style="9"/>
  </cols>
  <sheetData>
    <row r="1" spans="1:9" ht="27.75" customHeight="1">
      <c r="A1" s="63" t="s">
        <v>167</v>
      </c>
      <c r="B1" s="63"/>
      <c r="C1" s="63"/>
      <c r="D1" s="13"/>
      <c r="E1" s="13"/>
    </row>
    <row r="2" spans="1:9" ht="24" customHeight="1">
      <c r="B2" s="13"/>
      <c r="C2" s="13"/>
      <c r="D2" s="44"/>
    </row>
    <row r="3" spans="1:9" ht="35.85" customHeight="1">
      <c r="B3" s="120" t="s">
        <v>99</v>
      </c>
      <c r="C3" s="304"/>
      <c r="D3" s="304"/>
      <c r="E3" s="165"/>
      <c r="F3" s="28"/>
    </row>
    <row r="4" spans="1:9" ht="3.6" customHeight="1" thickBot="1">
      <c r="B4" s="13"/>
      <c r="C4" s="32"/>
      <c r="D4" s="13"/>
      <c r="E4" s="164"/>
    </row>
    <row r="5" spans="1:9" ht="137.25" customHeight="1" thickBot="1">
      <c r="B5" s="197" t="s">
        <v>261</v>
      </c>
      <c r="C5" s="156" t="s">
        <v>241</v>
      </c>
      <c r="D5" s="198" t="s">
        <v>239</v>
      </c>
      <c r="E5" s="264" t="s">
        <v>240</v>
      </c>
      <c r="G5" s="268" t="s">
        <v>294</v>
      </c>
    </row>
    <row r="6" spans="1:9" ht="19.5">
      <c r="B6" s="71"/>
      <c r="C6" s="67"/>
      <c r="D6" s="67"/>
      <c r="E6" s="265"/>
      <c r="F6" s="9">
        <f>IF(E6&gt;0,COUNTA(B6,C6,D6,E6),0)</f>
        <v>0</v>
      </c>
      <c r="G6" s="269" t="str">
        <f>_xlfn.IFS(F6=0,"",F6&lt;=3,"ピンク色のセルを全て入力してください",F6=4,"OK")</f>
        <v/>
      </c>
    </row>
    <row r="7" spans="1:9" ht="19.5">
      <c r="B7" s="71"/>
      <c r="C7" s="55"/>
      <c r="D7" s="55"/>
      <c r="E7" s="266"/>
      <c r="F7" s="9">
        <f t="shared" ref="F7:F70" si="0">IF(E7&gt;0,COUNTA(B7,C7,D7,E7),0)</f>
        <v>0</v>
      </c>
      <c r="G7" s="270" t="str">
        <f t="shared" ref="G7:G70" si="1">_xlfn.IFS(F7=0,"",F7&lt;=3,"ピンク色のセルを全て入力してください",F7=4,"OK")</f>
        <v/>
      </c>
      <c r="H7" s="28"/>
    </row>
    <row r="8" spans="1:9" ht="19.5">
      <c r="B8" s="71"/>
      <c r="C8" s="55"/>
      <c r="D8" s="55"/>
      <c r="E8" s="266"/>
      <c r="F8" s="9">
        <f t="shared" si="0"/>
        <v>0</v>
      </c>
      <c r="G8" s="270" t="str">
        <f t="shared" si="1"/>
        <v/>
      </c>
    </row>
    <row r="9" spans="1:9" ht="19.5">
      <c r="B9" s="71"/>
      <c r="C9" s="55"/>
      <c r="D9" s="55"/>
      <c r="E9" s="266"/>
      <c r="F9" s="9">
        <f t="shared" si="0"/>
        <v>0</v>
      </c>
      <c r="G9" s="270" t="str">
        <f t="shared" si="1"/>
        <v/>
      </c>
    </row>
    <row r="10" spans="1:9" ht="19.5">
      <c r="B10" s="71"/>
      <c r="C10" s="55"/>
      <c r="D10" s="55"/>
      <c r="E10" s="266"/>
      <c r="F10" s="9">
        <f t="shared" si="0"/>
        <v>0</v>
      </c>
      <c r="G10" s="270" t="str">
        <f t="shared" si="1"/>
        <v/>
      </c>
    </row>
    <row r="11" spans="1:9" ht="19.5">
      <c r="B11" s="71"/>
      <c r="C11" s="55"/>
      <c r="D11" s="55"/>
      <c r="E11" s="266"/>
      <c r="F11" s="9">
        <f t="shared" si="0"/>
        <v>0</v>
      </c>
      <c r="G11" s="270" t="str">
        <f t="shared" si="1"/>
        <v/>
      </c>
    </row>
    <row r="12" spans="1:9" ht="19.5">
      <c r="B12" s="71"/>
      <c r="C12" s="55"/>
      <c r="D12" s="55"/>
      <c r="E12" s="266"/>
      <c r="F12" s="9">
        <f t="shared" si="0"/>
        <v>0</v>
      </c>
      <c r="G12" s="270" t="str">
        <f t="shared" si="1"/>
        <v/>
      </c>
    </row>
    <row r="13" spans="1:9" ht="19.5">
      <c r="B13" s="71"/>
      <c r="C13" s="55"/>
      <c r="D13" s="55"/>
      <c r="E13" s="266"/>
      <c r="F13" s="9">
        <f t="shared" si="0"/>
        <v>0</v>
      </c>
      <c r="G13" s="270" t="str">
        <f t="shared" si="1"/>
        <v/>
      </c>
      <c r="I13" s="28"/>
    </row>
    <row r="14" spans="1:9" ht="19.5">
      <c r="B14" s="71"/>
      <c r="C14" s="55"/>
      <c r="D14" s="55"/>
      <c r="E14" s="266"/>
      <c r="F14" s="9">
        <f t="shared" si="0"/>
        <v>0</v>
      </c>
      <c r="G14" s="270" t="str">
        <f t="shared" si="1"/>
        <v/>
      </c>
    </row>
    <row r="15" spans="1:9" ht="19.5">
      <c r="B15" s="71"/>
      <c r="C15" s="55"/>
      <c r="D15" s="55"/>
      <c r="E15" s="266"/>
      <c r="F15" s="9">
        <f t="shared" si="0"/>
        <v>0</v>
      </c>
      <c r="G15" s="270" t="str">
        <f t="shared" si="1"/>
        <v/>
      </c>
    </row>
    <row r="16" spans="1:9" ht="19.5">
      <c r="B16" s="71"/>
      <c r="C16" s="55"/>
      <c r="D16" s="55"/>
      <c r="E16" s="266"/>
      <c r="F16" s="9">
        <f t="shared" si="0"/>
        <v>0</v>
      </c>
      <c r="G16" s="270" t="str">
        <f t="shared" si="1"/>
        <v/>
      </c>
    </row>
    <row r="17" spans="2:9" ht="19.5">
      <c r="B17" s="71"/>
      <c r="C17" s="55"/>
      <c r="D17" s="55"/>
      <c r="E17" s="266"/>
      <c r="F17" s="9">
        <f t="shared" si="0"/>
        <v>0</v>
      </c>
      <c r="G17" s="270" t="str">
        <f t="shared" si="1"/>
        <v/>
      </c>
    </row>
    <row r="18" spans="2:9" ht="19.5">
      <c r="B18" s="71"/>
      <c r="C18" s="55"/>
      <c r="D18" s="55"/>
      <c r="E18" s="266"/>
      <c r="F18" s="9">
        <f t="shared" si="0"/>
        <v>0</v>
      </c>
      <c r="G18" s="270" t="str">
        <f t="shared" si="1"/>
        <v/>
      </c>
    </row>
    <row r="19" spans="2:9" ht="19.5">
      <c r="B19" s="71"/>
      <c r="C19" s="55"/>
      <c r="D19" s="55"/>
      <c r="E19" s="266"/>
      <c r="F19" s="9">
        <f t="shared" si="0"/>
        <v>0</v>
      </c>
      <c r="G19" s="270" t="str">
        <f t="shared" si="1"/>
        <v/>
      </c>
    </row>
    <row r="20" spans="2:9" ht="19.5">
      <c r="B20" s="71"/>
      <c r="C20" s="55"/>
      <c r="D20" s="55"/>
      <c r="E20" s="266"/>
      <c r="F20" s="9">
        <f t="shared" si="0"/>
        <v>0</v>
      </c>
      <c r="G20" s="270" t="str">
        <f t="shared" si="1"/>
        <v/>
      </c>
      <c r="I20" s="28"/>
    </row>
    <row r="21" spans="2:9" ht="19.5">
      <c r="B21" s="71"/>
      <c r="C21" s="55"/>
      <c r="D21" s="55"/>
      <c r="E21" s="266"/>
      <c r="F21" s="9">
        <f t="shared" si="0"/>
        <v>0</v>
      </c>
      <c r="G21" s="270" t="str">
        <f t="shared" si="1"/>
        <v/>
      </c>
      <c r="H21" s="28"/>
    </row>
    <row r="22" spans="2:9" ht="19.5">
      <c r="B22" s="71"/>
      <c r="C22" s="55"/>
      <c r="D22" s="55"/>
      <c r="E22" s="266"/>
      <c r="F22" s="9">
        <f t="shared" si="0"/>
        <v>0</v>
      </c>
      <c r="G22" s="270" t="str">
        <f t="shared" si="1"/>
        <v/>
      </c>
    </row>
    <row r="23" spans="2:9" ht="19.5">
      <c r="B23" s="71"/>
      <c r="C23" s="55"/>
      <c r="D23" s="55"/>
      <c r="E23" s="266"/>
      <c r="F23" s="9">
        <f t="shared" si="0"/>
        <v>0</v>
      </c>
      <c r="G23" s="270" t="str">
        <f t="shared" si="1"/>
        <v/>
      </c>
    </row>
    <row r="24" spans="2:9" ht="19.5">
      <c r="B24" s="71"/>
      <c r="C24" s="55"/>
      <c r="D24" s="55"/>
      <c r="E24" s="266"/>
      <c r="F24" s="9">
        <f t="shared" si="0"/>
        <v>0</v>
      </c>
      <c r="G24" s="270" t="str">
        <f t="shared" si="1"/>
        <v/>
      </c>
    </row>
    <row r="25" spans="2:9" ht="19.5">
      <c r="B25" s="71"/>
      <c r="C25" s="55"/>
      <c r="D25" s="55"/>
      <c r="E25" s="266"/>
      <c r="F25" s="9">
        <f t="shared" si="0"/>
        <v>0</v>
      </c>
      <c r="G25" s="270" t="str">
        <f t="shared" si="1"/>
        <v/>
      </c>
    </row>
    <row r="26" spans="2:9" ht="19.5">
      <c r="B26" s="71"/>
      <c r="C26" s="55"/>
      <c r="D26" s="55"/>
      <c r="E26" s="266"/>
      <c r="F26" s="9">
        <f t="shared" si="0"/>
        <v>0</v>
      </c>
      <c r="G26" s="270" t="str">
        <f t="shared" si="1"/>
        <v/>
      </c>
    </row>
    <row r="27" spans="2:9" ht="19.5">
      <c r="B27" s="71"/>
      <c r="C27" s="55"/>
      <c r="D27" s="55"/>
      <c r="E27" s="266"/>
      <c r="F27" s="9">
        <f t="shared" si="0"/>
        <v>0</v>
      </c>
      <c r="G27" s="270" t="str">
        <f t="shared" si="1"/>
        <v/>
      </c>
    </row>
    <row r="28" spans="2:9" ht="19.5">
      <c r="B28" s="71"/>
      <c r="C28" s="55"/>
      <c r="D28" s="55"/>
      <c r="E28" s="266"/>
      <c r="F28" s="9">
        <f t="shared" si="0"/>
        <v>0</v>
      </c>
      <c r="G28" s="270" t="str">
        <f t="shared" si="1"/>
        <v/>
      </c>
    </row>
    <row r="29" spans="2:9" ht="19.5">
      <c r="B29" s="71"/>
      <c r="C29" s="55"/>
      <c r="D29" s="55"/>
      <c r="E29" s="266"/>
      <c r="F29" s="9">
        <f t="shared" si="0"/>
        <v>0</v>
      </c>
      <c r="G29" s="270" t="str">
        <f t="shared" si="1"/>
        <v/>
      </c>
    </row>
    <row r="30" spans="2:9" ht="19.5">
      <c r="B30" s="71"/>
      <c r="C30" s="55"/>
      <c r="D30" s="55"/>
      <c r="E30" s="266"/>
      <c r="F30" s="9">
        <f t="shared" si="0"/>
        <v>0</v>
      </c>
      <c r="G30" s="270" t="str">
        <f t="shared" si="1"/>
        <v/>
      </c>
    </row>
    <row r="31" spans="2:9" ht="19.5">
      <c r="B31" s="71"/>
      <c r="C31" s="55"/>
      <c r="D31" s="55"/>
      <c r="E31" s="266"/>
      <c r="F31" s="9">
        <f t="shared" si="0"/>
        <v>0</v>
      </c>
      <c r="G31" s="270" t="str">
        <f t="shared" si="1"/>
        <v/>
      </c>
    </row>
    <row r="32" spans="2:9" ht="19.5">
      <c r="B32" s="71"/>
      <c r="C32" s="55"/>
      <c r="D32" s="55"/>
      <c r="E32" s="266"/>
      <c r="F32" s="9">
        <f t="shared" si="0"/>
        <v>0</v>
      </c>
      <c r="G32" s="270" t="str">
        <f t="shared" si="1"/>
        <v/>
      </c>
    </row>
    <row r="33" spans="2:7" ht="19.5">
      <c r="B33" s="71"/>
      <c r="C33" s="55"/>
      <c r="D33" s="55"/>
      <c r="E33" s="266"/>
      <c r="F33" s="9">
        <f t="shared" si="0"/>
        <v>0</v>
      </c>
      <c r="G33" s="270" t="str">
        <f t="shared" si="1"/>
        <v/>
      </c>
    </row>
    <row r="34" spans="2:7" ht="19.5">
      <c r="B34" s="71"/>
      <c r="C34" s="55"/>
      <c r="D34" s="55"/>
      <c r="E34" s="266"/>
      <c r="F34" s="9">
        <f t="shared" si="0"/>
        <v>0</v>
      </c>
      <c r="G34" s="270" t="str">
        <f t="shared" si="1"/>
        <v/>
      </c>
    </row>
    <row r="35" spans="2:7" ht="19.5">
      <c r="B35" s="71"/>
      <c r="C35" s="55"/>
      <c r="D35" s="55"/>
      <c r="E35" s="266"/>
      <c r="F35" s="9">
        <f t="shared" si="0"/>
        <v>0</v>
      </c>
      <c r="G35" s="270" t="str">
        <f t="shared" si="1"/>
        <v/>
      </c>
    </row>
    <row r="36" spans="2:7" ht="19.5">
      <c r="B36" s="71"/>
      <c r="C36" s="55"/>
      <c r="D36" s="55"/>
      <c r="E36" s="266"/>
      <c r="F36" s="9">
        <f t="shared" si="0"/>
        <v>0</v>
      </c>
      <c r="G36" s="270" t="str">
        <f t="shared" si="1"/>
        <v/>
      </c>
    </row>
    <row r="37" spans="2:7" ht="19.5">
      <c r="B37" s="71"/>
      <c r="C37" s="55"/>
      <c r="D37" s="55"/>
      <c r="E37" s="266"/>
      <c r="F37" s="9">
        <f t="shared" si="0"/>
        <v>0</v>
      </c>
      <c r="G37" s="270" t="str">
        <f t="shared" si="1"/>
        <v/>
      </c>
    </row>
    <row r="38" spans="2:7" ht="19.5">
      <c r="B38" s="71"/>
      <c r="C38" s="55"/>
      <c r="D38" s="55"/>
      <c r="E38" s="266"/>
      <c r="F38" s="9">
        <f t="shared" si="0"/>
        <v>0</v>
      </c>
      <c r="G38" s="270" t="str">
        <f t="shared" si="1"/>
        <v/>
      </c>
    </row>
    <row r="39" spans="2:7" ht="19.5">
      <c r="B39" s="71"/>
      <c r="C39" s="55"/>
      <c r="D39" s="55"/>
      <c r="E39" s="266"/>
      <c r="F39" s="9">
        <f t="shared" si="0"/>
        <v>0</v>
      </c>
      <c r="G39" s="270" t="str">
        <f t="shared" si="1"/>
        <v/>
      </c>
    </row>
    <row r="40" spans="2:7" ht="19.5">
      <c r="B40" s="71"/>
      <c r="C40" s="55"/>
      <c r="D40" s="55"/>
      <c r="E40" s="266"/>
      <c r="F40" s="9">
        <f t="shared" si="0"/>
        <v>0</v>
      </c>
      <c r="G40" s="270" t="str">
        <f t="shared" si="1"/>
        <v/>
      </c>
    </row>
    <row r="41" spans="2:7" ht="19.5">
      <c r="B41" s="71"/>
      <c r="C41" s="55"/>
      <c r="D41" s="55"/>
      <c r="E41" s="266"/>
      <c r="F41" s="9">
        <f t="shared" si="0"/>
        <v>0</v>
      </c>
      <c r="G41" s="270" t="str">
        <f t="shared" si="1"/>
        <v/>
      </c>
    </row>
    <row r="42" spans="2:7" ht="19.5">
      <c r="B42" s="71"/>
      <c r="C42" s="55"/>
      <c r="D42" s="55"/>
      <c r="E42" s="266"/>
      <c r="F42" s="9">
        <f t="shared" si="0"/>
        <v>0</v>
      </c>
      <c r="G42" s="270" t="str">
        <f t="shared" si="1"/>
        <v/>
      </c>
    </row>
    <row r="43" spans="2:7" ht="19.5">
      <c r="B43" s="71"/>
      <c r="C43" s="55"/>
      <c r="D43" s="55"/>
      <c r="E43" s="266"/>
      <c r="F43" s="9">
        <f t="shared" si="0"/>
        <v>0</v>
      </c>
      <c r="G43" s="270" t="str">
        <f t="shared" si="1"/>
        <v/>
      </c>
    </row>
    <row r="44" spans="2:7" ht="19.5">
      <c r="B44" s="71"/>
      <c r="C44" s="55"/>
      <c r="D44" s="55"/>
      <c r="E44" s="266"/>
      <c r="F44" s="9">
        <f t="shared" si="0"/>
        <v>0</v>
      </c>
      <c r="G44" s="270" t="str">
        <f t="shared" si="1"/>
        <v/>
      </c>
    </row>
    <row r="45" spans="2:7" ht="19.5">
      <c r="B45" s="71"/>
      <c r="C45" s="55"/>
      <c r="D45" s="55"/>
      <c r="E45" s="266"/>
      <c r="F45" s="9">
        <f t="shared" si="0"/>
        <v>0</v>
      </c>
      <c r="G45" s="270" t="str">
        <f t="shared" si="1"/>
        <v/>
      </c>
    </row>
    <row r="46" spans="2:7" ht="19.5">
      <c r="B46" s="71"/>
      <c r="C46" s="55"/>
      <c r="D46" s="55"/>
      <c r="E46" s="266"/>
      <c r="F46" s="9">
        <f t="shared" si="0"/>
        <v>0</v>
      </c>
      <c r="G46" s="270" t="str">
        <f t="shared" si="1"/>
        <v/>
      </c>
    </row>
    <row r="47" spans="2:7" ht="19.5">
      <c r="B47" s="71"/>
      <c r="C47" s="55"/>
      <c r="D47" s="55"/>
      <c r="E47" s="266"/>
      <c r="F47" s="9">
        <f t="shared" si="0"/>
        <v>0</v>
      </c>
      <c r="G47" s="270" t="str">
        <f t="shared" si="1"/>
        <v/>
      </c>
    </row>
    <row r="48" spans="2:7" ht="19.5">
      <c r="B48" s="71"/>
      <c r="C48" s="55"/>
      <c r="D48" s="55"/>
      <c r="E48" s="266"/>
      <c r="F48" s="9">
        <f t="shared" si="0"/>
        <v>0</v>
      </c>
      <c r="G48" s="270" t="str">
        <f t="shared" si="1"/>
        <v/>
      </c>
    </row>
    <row r="49" spans="2:7" ht="19.5">
      <c r="B49" s="71"/>
      <c r="C49" s="55"/>
      <c r="D49" s="55"/>
      <c r="E49" s="266"/>
      <c r="F49" s="9">
        <f t="shared" si="0"/>
        <v>0</v>
      </c>
      <c r="G49" s="270" t="str">
        <f t="shared" si="1"/>
        <v/>
      </c>
    </row>
    <row r="50" spans="2:7" ht="19.5">
      <c r="B50" s="71"/>
      <c r="C50" s="55"/>
      <c r="D50" s="55"/>
      <c r="E50" s="266"/>
      <c r="F50" s="9">
        <f t="shared" si="0"/>
        <v>0</v>
      </c>
      <c r="G50" s="270" t="str">
        <f t="shared" si="1"/>
        <v/>
      </c>
    </row>
    <row r="51" spans="2:7" ht="19.5">
      <c r="B51" s="71"/>
      <c r="C51" s="55"/>
      <c r="D51" s="55"/>
      <c r="E51" s="266"/>
      <c r="F51" s="9">
        <f t="shared" si="0"/>
        <v>0</v>
      </c>
      <c r="G51" s="270" t="str">
        <f t="shared" si="1"/>
        <v/>
      </c>
    </row>
    <row r="52" spans="2:7" ht="19.5">
      <c r="B52" s="71"/>
      <c r="C52" s="55"/>
      <c r="D52" s="55"/>
      <c r="E52" s="266"/>
      <c r="F52" s="9">
        <f t="shared" si="0"/>
        <v>0</v>
      </c>
      <c r="G52" s="270" t="str">
        <f t="shared" si="1"/>
        <v/>
      </c>
    </row>
    <row r="53" spans="2:7" ht="19.5">
      <c r="B53" s="71"/>
      <c r="C53" s="55"/>
      <c r="D53" s="55"/>
      <c r="E53" s="266"/>
      <c r="F53" s="9">
        <f t="shared" si="0"/>
        <v>0</v>
      </c>
      <c r="G53" s="270" t="str">
        <f t="shared" si="1"/>
        <v/>
      </c>
    </row>
    <row r="54" spans="2:7" ht="19.5">
      <c r="B54" s="71"/>
      <c r="C54" s="55"/>
      <c r="D54" s="55"/>
      <c r="E54" s="266"/>
      <c r="F54" s="9">
        <f t="shared" si="0"/>
        <v>0</v>
      </c>
      <c r="G54" s="270" t="str">
        <f t="shared" si="1"/>
        <v/>
      </c>
    </row>
    <row r="55" spans="2:7" ht="19.5">
      <c r="B55" s="71"/>
      <c r="C55" s="55"/>
      <c r="D55" s="55"/>
      <c r="E55" s="266"/>
      <c r="F55" s="9">
        <f t="shared" si="0"/>
        <v>0</v>
      </c>
      <c r="G55" s="270" t="str">
        <f t="shared" si="1"/>
        <v/>
      </c>
    </row>
    <row r="56" spans="2:7" ht="19.5">
      <c r="B56" s="71"/>
      <c r="C56" s="55"/>
      <c r="D56" s="55"/>
      <c r="E56" s="266"/>
      <c r="F56" s="9">
        <f t="shared" si="0"/>
        <v>0</v>
      </c>
      <c r="G56" s="270" t="str">
        <f t="shared" si="1"/>
        <v/>
      </c>
    </row>
    <row r="57" spans="2:7" ht="19.5">
      <c r="B57" s="71"/>
      <c r="C57" s="55"/>
      <c r="D57" s="55"/>
      <c r="E57" s="266"/>
      <c r="F57" s="9">
        <f t="shared" si="0"/>
        <v>0</v>
      </c>
      <c r="G57" s="270" t="str">
        <f t="shared" si="1"/>
        <v/>
      </c>
    </row>
    <row r="58" spans="2:7" ht="19.5">
      <c r="B58" s="71"/>
      <c r="C58" s="55"/>
      <c r="D58" s="55"/>
      <c r="E58" s="266"/>
      <c r="F58" s="9">
        <f t="shared" si="0"/>
        <v>0</v>
      </c>
      <c r="G58" s="270" t="str">
        <f t="shared" si="1"/>
        <v/>
      </c>
    </row>
    <row r="59" spans="2:7" ht="19.5">
      <c r="B59" s="71"/>
      <c r="C59" s="55"/>
      <c r="D59" s="55"/>
      <c r="E59" s="266"/>
      <c r="F59" s="9">
        <f t="shared" si="0"/>
        <v>0</v>
      </c>
      <c r="G59" s="270" t="str">
        <f t="shared" si="1"/>
        <v/>
      </c>
    </row>
    <row r="60" spans="2:7" ht="19.5">
      <c r="B60" s="71"/>
      <c r="C60" s="55"/>
      <c r="D60" s="55"/>
      <c r="E60" s="266"/>
      <c r="F60" s="9">
        <f t="shared" si="0"/>
        <v>0</v>
      </c>
      <c r="G60" s="270" t="str">
        <f t="shared" si="1"/>
        <v/>
      </c>
    </row>
    <row r="61" spans="2:7" ht="19.5">
      <c r="B61" s="71"/>
      <c r="C61" s="55"/>
      <c r="D61" s="55"/>
      <c r="E61" s="266"/>
      <c r="F61" s="9">
        <f t="shared" si="0"/>
        <v>0</v>
      </c>
      <c r="G61" s="270" t="str">
        <f t="shared" si="1"/>
        <v/>
      </c>
    </row>
    <row r="62" spans="2:7" ht="19.5">
      <c r="B62" s="71"/>
      <c r="C62" s="55"/>
      <c r="D62" s="55"/>
      <c r="E62" s="266"/>
      <c r="F62" s="9">
        <f t="shared" si="0"/>
        <v>0</v>
      </c>
      <c r="G62" s="270" t="str">
        <f t="shared" si="1"/>
        <v/>
      </c>
    </row>
    <row r="63" spans="2:7" ht="19.5">
      <c r="B63" s="71"/>
      <c r="C63" s="55"/>
      <c r="D63" s="55"/>
      <c r="E63" s="266"/>
      <c r="F63" s="9">
        <f t="shared" si="0"/>
        <v>0</v>
      </c>
      <c r="G63" s="270" t="str">
        <f t="shared" si="1"/>
        <v/>
      </c>
    </row>
    <row r="64" spans="2:7" ht="19.5">
      <c r="B64" s="71"/>
      <c r="C64" s="55"/>
      <c r="D64" s="55"/>
      <c r="E64" s="266"/>
      <c r="F64" s="9">
        <f t="shared" si="0"/>
        <v>0</v>
      </c>
      <c r="G64" s="270" t="str">
        <f t="shared" si="1"/>
        <v/>
      </c>
    </row>
    <row r="65" spans="2:7" ht="19.5">
      <c r="B65" s="71"/>
      <c r="C65" s="55"/>
      <c r="D65" s="55"/>
      <c r="E65" s="266"/>
      <c r="F65" s="9">
        <f t="shared" si="0"/>
        <v>0</v>
      </c>
      <c r="G65" s="270" t="str">
        <f t="shared" si="1"/>
        <v/>
      </c>
    </row>
    <row r="66" spans="2:7" ht="19.5">
      <c r="B66" s="71"/>
      <c r="C66" s="55"/>
      <c r="D66" s="55"/>
      <c r="E66" s="266"/>
      <c r="F66" s="9">
        <f t="shared" si="0"/>
        <v>0</v>
      </c>
      <c r="G66" s="270" t="str">
        <f t="shared" si="1"/>
        <v/>
      </c>
    </row>
    <row r="67" spans="2:7" ht="19.5">
      <c r="B67" s="71"/>
      <c r="C67" s="55"/>
      <c r="D67" s="55"/>
      <c r="E67" s="266"/>
      <c r="F67" s="9">
        <f t="shared" si="0"/>
        <v>0</v>
      </c>
      <c r="G67" s="270" t="str">
        <f t="shared" si="1"/>
        <v/>
      </c>
    </row>
    <row r="68" spans="2:7" ht="19.5">
      <c r="B68" s="71"/>
      <c r="C68" s="55"/>
      <c r="D68" s="55"/>
      <c r="E68" s="266"/>
      <c r="F68" s="9">
        <f t="shared" si="0"/>
        <v>0</v>
      </c>
      <c r="G68" s="270" t="str">
        <f t="shared" si="1"/>
        <v/>
      </c>
    </row>
    <row r="69" spans="2:7" ht="19.5">
      <c r="B69" s="71"/>
      <c r="C69" s="55"/>
      <c r="D69" s="55"/>
      <c r="E69" s="266"/>
      <c r="F69" s="9">
        <f t="shared" si="0"/>
        <v>0</v>
      </c>
      <c r="G69" s="270" t="str">
        <f t="shared" si="1"/>
        <v/>
      </c>
    </row>
    <row r="70" spans="2:7" ht="19.5">
      <c r="B70" s="71"/>
      <c r="C70" s="55"/>
      <c r="D70" s="55"/>
      <c r="E70" s="266"/>
      <c r="F70" s="9">
        <f t="shared" si="0"/>
        <v>0</v>
      </c>
      <c r="G70" s="270" t="str">
        <f t="shared" si="1"/>
        <v/>
      </c>
    </row>
    <row r="71" spans="2:7" ht="19.5">
      <c r="B71" s="71"/>
      <c r="C71" s="55"/>
      <c r="D71" s="55"/>
      <c r="E71" s="266"/>
      <c r="F71" s="9">
        <f t="shared" ref="F71:F134" si="2">IF(E71&gt;0,COUNTA(B71,C71,D71,E71),0)</f>
        <v>0</v>
      </c>
      <c r="G71" s="270" t="str">
        <f t="shared" ref="G71:G134" si="3">_xlfn.IFS(F71=0,"",F71&lt;=3,"ピンク色のセルを全て入力してください",F71=4,"OK")</f>
        <v/>
      </c>
    </row>
    <row r="72" spans="2:7" ht="19.5">
      <c r="B72" s="71"/>
      <c r="C72" s="55"/>
      <c r="D72" s="55"/>
      <c r="E72" s="266"/>
      <c r="F72" s="9">
        <f t="shared" si="2"/>
        <v>0</v>
      </c>
      <c r="G72" s="270" t="str">
        <f t="shared" si="3"/>
        <v/>
      </c>
    </row>
    <row r="73" spans="2:7" ht="19.5">
      <c r="B73" s="71"/>
      <c r="C73" s="55"/>
      <c r="D73" s="55"/>
      <c r="E73" s="266"/>
      <c r="F73" s="9">
        <f t="shared" si="2"/>
        <v>0</v>
      </c>
      <c r="G73" s="270" t="str">
        <f t="shared" si="3"/>
        <v/>
      </c>
    </row>
    <row r="74" spans="2:7" ht="19.5">
      <c r="B74" s="71"/>
      <c r="C74" s="55"/>
      <c r="D74" s="55"/>
      <c r="E74" s="266"/>
      <c r="F74" s="9">
        <f t="shared" si="2"/>
        <v>0</v>
      </c>
      <c r="G74" s="270" t="str">
        <f t="shared" si="3"/>
        <v/>
      </c>
    </row>
    <row r="75" spans="2:7" ht="19.5">
      <c r="B75" s="71"/>
      <c r="C75" s="55"/>
      <c r="D75" s="55"/>
      <c r="E75" s="266"/>
      <c r="F75" s="9">
        <f t="shared" si="2"/>
        <v>0</v>
      </c>
      <c r="G75" s="270" t="str">
        <f t="shared" si="3"/>
        <v/>
      </c>
    </row>
    <row r="76" spans="2:7" ht="19.5">
      <c r="B76" s="71"/>
      <c r="C76" s="55"/>
      <c r="D76" s="55"/>
      <c r="E76" s="266"/>
      <c r="F76" s="9">
        <f t="shared" si="2"/>
        <v>0</v>
      </c>
      <c r="G76" s="270" t="str">
        <f t="shared" si="3"/>
        <v/>
      </c>
    </row>
    <row r="77" spans="2:7" ht="19.5">
      <c r="B77" s="71"/>
      <c r="C77" s="55"/>
      <c r="D77" s="55"/>
      <c r="E77" s="266"/>
      <c r="F77" s="9">
        <f t="shared" si="2"/>
        <v>0</v>
      </c>
      <c r="G77" s="270" t="str">
        <f t="shared" si="3"/>
        <v/>
      </c>
    </row>
    <row r="78" spans="2:7" ht="19.5">
      <c r="B78" s="71"/>
      <c r="C78" s="55"/>
      <c r="D78" s="55"/>
      <c r="E78" s="266"/>
      <c r="F78" s="9">
        <f t="shared" si="2"/>
        <v>0</v>
      </c>
      <c r="G78" s="270" t="str">
        <f t="shared" si="3"/>
        <v/>
      </c>
    </row>
    <row r="79" spans="2:7" ht="19.5">
      <c r="B79" s="71"/>
      <c r="C79" s="55"/>
      <c r="D79" s="55"/>
      <c r="E79" s="266"/>
      <c r="F79" s="9">
        <f t="shared" si="2"/>
        <v>0</v>
      </c>
      <c r="G79" s="270" t="str">
        <f t="shared" si="3"/>
        <v/>
      </c>
    </row>
    <row r="80" spans="2:7" ht="19.5">
      <c r="B80" s="71"/>
      <c r="C80" s="55"/>
      <c r="D80" s="55"/>
      <c r="E80" s="266"/>
      <c r="F80" s="9">
        <f t="shared" si="2"/>
        <v>0</v>
      </c>
      <c r="G80" s="270" t="str">
        <f t="shared" si="3"/>
        <v/>
      </c>
    </row>
    <row r="81" spans="2:7" ht="19.5">
      <c r="B81" s="71"/>
      <c r="C81" s="55"/>
      <c r="D81" s="55"/>
      <c r="E81" s="266"/>
      <c r="F81" s="9">
        <f t="shared" si="2"/>
        <v>0</v>
      </c>
      <c r="G81" s="270" t="str">
        <f t="shared" si="3"/>
        <v/>
      </c>
    </row>
    <row r="82" spans="2:7" ht="19.5">
      <c r="B82" s="71"/>
      <c r="C82" s="55"/>
      <c r="D82" s="55"/>
      <c r="E82" s="266"/>
      <c r="F82" s="9">
        <f t="shared" si="2"/>
        <v>0</v>
      </c>
      <c r="G82" s="270" t="str">
        <f t="shared" si="3"/>
        <v/>
      </c>
    </row>
    <row r="83" spans="2:7" ht="19.5">
      <c r="B83" s="71"/>
      <c r="C83" s="55"/>
      <c r="D83" s="55"/>
      <c r="E83" s="266"/>
      <c r="F83" s="9">
        <f t="shared" si="2"/>
        <v>0</v>
      </c>
      <c r="G83" s="270" t="str">
        <f t="shared" si="3"/>
        <v/>
      </c>
    </row>
    <row r="84" spans="2:7" ht="19.5">
      <c r="B84" s="71"/>
      <c r="C84" s="55"/>
      <c r="D84" s="55"/>
      <c r="E84" s="266"/>
      <c r="F84" s="9">
        <f t="shared" si="2"/>
        <v>0</v>
      </c>
      <c r="G84" s="270" t="str">
        <f t="shared" si="3"/>
        <v/>
      </c>
    </row>
    <row r="85" spans="2:7" ht="19.5">
      <c r="B85" s="71"/>
      <c r="C85" s="55"/>
      <c r="D85" s="55"/>
      <c r="E85" s="266"/>
      <c r="F85" s="9">
        <f t="shared" si="2"/>
        <v>0</v>
      </c>
      <c r="G85" s="270" t="str">
        <f t="shared" si="3"/>
        <v/>
      </c>
    </row>
    <row r="86" spans="2:7" ht="19.5">
      <c r="B86" s="71"/>
      <c r="C86" s="55"/>
      <c r="D86" s="55"/>
      <c r="E86" s="266"/>
      <c r="F86" s="9">
        <f t="shared" si="2"/>
        <v>0</v>
      </c>
      <c r="G86" s="270" t="str">
        <f t="shared" si="3"/>
        <v/>
      </c>
    </row>
    <row r="87" spans="2:7" ht="19.5">
      <c r="B87" s="71"/>
      <c r="C87" s="55"/>
      <c r="D87" s="55"/>
      <c r="E87" s="266"/>
      <c r="F87" s="9">
        <f t="shared" si="2"/>
        <v>0</v>
      </c>
      <c r="G87" s="270" t="str">
        <f t="shared" si="3"/>
        <v/>
      </c>
    </row>
    <row r="88" spans="2:7" ht="19.5">
      <c r="B88" s="71"/>
      <c r="C88" s="55"/>
      <c r="D88" s="55"/>
      <c r="E88" s="266"/>
      <c r="F88" s="9">
        <f t="shared" si="2"/>
        <v>0</v>
      </c>
      <c r="G88" s="270" t="str">
        <f t="shared" si="3"/>
        <v/>
      </c>
    </row>
    <row r="89" spans="2:7" ht="19.5">
      <c r="B89" s="71"/>
      <c r="C89" s="55"/>
      <c r="D89" s="55"/>
      <c r="E89" s="266"/>
      <c r="F89" s="9">
        <f t="shared" si="2"/>
        <v>0</v>
      </c>
      <c r="G89" s="270" t="str">
        <f t="shared" si="3"/>
        <v/>
      </c>
    </row>
    <row r="90" spans="2:7" ht="19.5">
      <c r="B90" s="71"/>
      <c r="C90" s="55"/>
      <c r="D90" s="55"/>
      <c r="E90" s="266"/>
      <c r="F90" s="9">
        <f t="shared" si="2"/>
        <v>0</v>
      </c>
      <c r="G90" s="270" t="str">
        <f t="shared" si="3"/>
        <v/>
      </c>
    </row>
    <row r="91" spans="2:7" ht="19.5">
      <c r="B91" s="71"/>
      <c r="C91" s="55"/>
      <c r="D91" s="55"/>
      <c r="E91" s="266"/>
      <c r="F91" s="9">
        <f t="shared" si="2"/>
        <v>0</v>
      </c>
      <c r="G91" s="270" t="str">
        <f t="shared" si="3"/>
        <v/>
      </c>
    </row>
    <row r="92" spans="2:7" ht="19.5">
      <c r="B92" s="71"/>
      <c r="C92" s="55"/>
      <c r="D92" s="55"/>
      <c r="E92" s="266"/>
      <c r="F92" s="9">
        <f t="shared" si="2"/>
        <v>0</v>
      </c>
      <c r="G92" s="270" t="str">
        <f t="shared" si="3"/>
        <v/>
      </c>
    </row>
    <row r="93" spans="2:7" ht="19.5">
      <c r="B93" s="71"/>
      <c r="C93" s="55"/>
      <c r="D93" s="55"/>
      <c r="E93" s="266"/>
      <c r="F93" s="9">
        <f t="shared" si="2"/>
        <v>0</v>
      </c>
      <c r="G93" s="270" t="str">
        <f t="shared" si="3"/>
        <v/>
      </c>
    </row>
    <row r="94" spans="2:7" ht="19.5">
      <c r="B94" s="71"/>
      <c r="C94" s="55"/>
      <c r="D94" s="55"/>
      <c r="E94" s="266"/>
      <c r="F94" s="9">
        <f t="shared" si="2"/>
        <v>0</v>
      </c>
      <c r="G94" s="270" t="str">
        <f t="shared" si="3"/>
        <v/>
      </c>
    </row>
    <row r="95" spans="2:7" ht="19.5">
      <c r="B95" s="71"/>
      <c r="C95" s="55"/>
      <c r="D95" s="55"/>
      <c r="E95" s="266"/>
      <c r="F95" s="9">
        <f t="shared" si="2"/>
        <v>0</v>
      </c>
      <c r="G95" s="270" t="str">
        <f t="shared" si="3"/>
        <v/>
      </c>
    </row>
    <row r="96" spans="2:7" ht="19.5">
      <c r="B96" s="71"/>
      <c r="C96" s="55"/>
      <c r="D96" s="55"/>
      <c r="E96" s="266"/>
      <c r="F96" s="9">
        <f t="shared" si="2"/>
        <v>0</v>
      </c>
      <c r="G96" s="270" t="str">
        <f t="shared" si="3"/>
        <v/>
      </c>
    </row>
    <row r="97" spans="2:7" ht="19.5">
      <c r="B97" s="71"/>
      <c r="C97" s="55"/>
      <c r="D97" s="55"/>
      <c r="E97" s="266"/>
      <c r="F97" s="9">
        <f t="shared" si="2"/>
        <v>0</v>
      </c>
      <c r="G97" s="270" t="str">
        <f t="shared" si="3"/>
        <v/>
      </c>
    </row>
    <row r="98" spans="2:7" ht="19.5">
      <c r="B98" s="71"/>
      <c r="C98" s="55"/>
      <c r="D98" s="55"/>
      <c r="E98" s="266"/>
      <c r="F98" s="9">
        <f t="shared" si="2"/>
        <v>0</v>
      </c>
      <c r="G98" s="270" t="str">
        <f t="shared" si="3"/>
        <v/>
      </c>
    </row>
    <row r="99" spans="2:7" ht="19.5">
      <c r="B99" s="71"/>
      <c r="C99" s="55"/>
      <c r="D99" s="55"/>
      <c r="E99" s="266"/>
      <c r="F99" s="9">
        <f t="shared" si="2"/>
        <v>0</v>
      </c>
      <c r="G99" s="270" t="str">
        <f t="shared" si="3"/>
        <v/>
      </c>
    </row>
    <row r="100" spans="2:7" ht="16.5" customHeight="1">
      <c r="B100" s="71"/>
      <c r="C100" s="55"/>
      <c r="D100" s="55"/>
      <c r="E100" s="266"/>
      <c r="F100" s="9">
        <f t="shared" si="2"/>
        <v>0</v>
      </c>
      <c r="G100" s="270" t="str">
        <f t="shared" si="3"/>
        <v/>
      </c>
    </row>
    <row r="101" spans="2:7" ht="19.5">
      <c r="B101" s="71"/>
      <c r="C101" s="55"/>
      <c r="D101" s="55"/>
      <c r="E101" s="266"/>
      <c r="F101" s="9">
        <f t="shared" si="2"/>
        <v>0</v>
      </c>
      <c r="G101" s="270" t="str">
        <f t="shared" si="3"/>
        <v/>
      </c>
    </row>
    <row r="102" spans="2:7" ht="19.5">
      <c r="B102" s="71"/>
      <c r="C102" s="55"/>
      <c r="D102" s="55"/>
      <c r="E102" s="266"/>
      <c r="F102" s="9">
        <f t="shared" si="2"/>
        <v>0</v>
      </c>
      <c r="G102" s="270" t="str">
        <f t="shared" si="3"/>
        <v/>
      </c>
    </row>
    <row r="103" spans="2:7" ht="19.5">
      <c r="B103" s="71"/>
      <c r="C103" s="55"/>
      <c r="D103" s="55"/>
      <c r="E103" s="266"/>
      <c r="F103" s="9">
        <f t="shared" si="2"/>
        <v>0</v>
      </c>
      <c r="G103" s="270" t="str">
        <f t="shared" si="3"/>
        <v/>
      </c>
    </row>
    <row r="104" spans="2:7" ht="19.5">
      <c r="B104" s="71"/>
      <c r="C104" s="55"/>
      <c r="D104" s="55"/>
      <c r="E104" s="266"/>
      <c r="F104" s="9">
        <f t="shared" si="2"/>
        <v>0</v>
      </c>
      <c r="G104" s="270" t="str">
        <f t="shared" si="3"/>
        <v/>
      </c>
    </row>
    <row r="105" spans="2:7" ht="19.5">
      <c r="B105" s="71"/>
      <c r="C105" s="55"/>
      <c r="D105" s="55"/>
      <c r="E105" s="266"/>
      <c r="F105" s="9">
        <f t="shared" si="2"/>
        <v>0</v>
      </c>
      <c r="G105" s="270" t="str">
        <f t="shared" si="3"/>
        <v/>
      </c>
    </row>
    <row r="106" spans="2:7" ht="19.5">
      <c r="B106" s="71"/>
      <c r="C106" s="55"/>
      <c r="D106" s="55"/>
      <c r="E106" s="266"/>
      <c r="F106" s="9">
        <f t="shared" si="2"/>
        <v>0</v>
      </c>
      <c r="G106" s="270" t="str">
        <f t="shared" si="3"/>
        <v/>
      </c>
    </row>
    <row r="107" spans="2:7" ht="19.5">
      <c r="B107" s="71"/>
      <c r="C107" s="55"/>
      <c r="D107" s="55"/>
      <c r="E107" s="266"/>
      <c r="F107" s="9">
        <f t="shared" si="2"/>
        <v>0</v>
      </c>
      <c r="G107" s="270" t="str">
        <f t="shared" si="3"/>
        <v/>
      </c>
    </row>
    <row r="108" spans="2:7" ht="19.5">
      <c r="B108" s="71"/>
      <c r="C108" s="55"/>
      <c r="D108" s="55"/>
      <c r="E108" s="266"/>
      <c r="F108" s="9">
        <f t="shared" si="2"/>
        <v>0</v>
      </c>
      <c r="G108" s="270" t="str">
        <f t="shared" si="3"/>
        <v/>
      </c>
    </row>
    <row r="109" spans="2:7" ht="19.5">
      <c r="B109" s="71"/>
      <c r="C109" s="55"/>
      <c r="D109" s="55"/>
      <c r="E109" s="266"/>
      <c r="F109" s="9">
        <f t="shared" si="2"/>
        <v>0</v>
      </c>
      <c r="G109" s="270" t="str">
        <f t="shared" si="3"/>
        <v/>
      </c>
    </row>
    <row r="110" spans="2:7" ht="19.5">
      <c r="B110" s="71"/>
      <c r="C110" s="55"/>
      <c r="D110" s="55"/>
      <c r="E110" s="266"/>
      <c r="F110" s="9">
        <f t="shared" si="2"/>
        <v>0</v>
      </c>
      <c r="G110" s="270" t="str">
        <f t="shared" si="3"/>
        <v/>
      </c>
    </row>
    <row r="111" spans="2:7" ht="19.5">
      <c r="B111" s="71"/>
      <c r="C111" s="55"/>
      <c r="D111" s="55"/>
      <c r="E111" s="266"/>
      <c r="F111" s="9">
        <f t="shared" si="2"/>
        <v>0</v>
      </c>
      <c r="G111" s="270" t="str">
        <f t="shared" si="3"/>
        <v/>
      </c>
    </row>
    <row r="112" spans="2:7" ht="19.5">
      <c r="B112" s="71"/>
      <c r="C112" s="55"/>
      <c r="D112" s="55"/>
      <c r="E112" s="266"/>
      <c r="F112" s="9">
        <f t="shared" si="2"/>
        <v>0</v>
      </c>
      <c r="G112" s="270" t="str">
        <f t="shared" si="3"/>
        <v/>
      </c>
    </row>
    <row r="113" spans="2:7" ht="19.5">
      <c r="B113" s="71"/>
      <c r="C113" s="55"/>
      <c r="D113" s="55"/>
      <c r="E113" s="266"/>
      <c r="F113" s="9">
        <f t="shared" si="2"/>
        <v>0</v>
      </c>
      <c r="G113" s="270" t="str">
        <f t="shared" si="3"/>
        <v/>
      </c>
    </row>
    <row r="114" spans="2:7" ht="19.5">
      <c r="B114" s="71"/>
      <c r="C114" s="55"/>
      <c r="D114" s="55"/>
      <c r="E114" s="266"/>
      <c r="F114" s="9">
        <f t="shared" si="2"/>
        <v>0</v>
      </c>
      <c r="G114" s="270" t="str">
        <f t="shared" si="3"/>
        <v/>
      </c>
    </row>
    <row r="115" spans="2:7" ht="19.5">
      <c r="B115" s="71"/>
      <c r="C115" s="55"/>
      <c r="D115" s="55"/>
      <c r="E115" s="266"/>
      <c r="F115" s="9">
        <f t="shared" si="2"/>
        <v>0</v>
      </c>
      <c r="G115" s="270" t="str">
        <f t="shared" si="3"/>
        <v/>
      </c>
    </row>
    <row r="116" spans="2:7" ht="19.5">
      <c r="B116" s="71"/>
      <c r="C116" s="55"/>
      <c r="D116" s="55"/>
      <c r="E116" s="266"/>
      <c r="F116" s="9">
        <f t="shared" si="2"/>
        <v>0</v>
      </c>
      <c r="G116" s="270" t="str">
        <f t="shared" si="3"/>
        <v/>
      </c>
    </row>
    <row r="117" spans="2:7" ht="19.5">
      <c r="B117" s="71"/>
      <c r="C117" s="55"/>
      <c r="D117" s="55"/>
      <c r="E117" s="266"/>
      <c r="F117" s="9">
        <f t="shared" si="2"/>
        <v>0</v>
      </c>
      <c r="G117" s="270" t="str">
        <f t="shared" si="3"/>
        <v/>
      </c>
    </row>
    <row r="118" spans="2:7" ht="19.5">
      <c r="B118" s="71"/>
      <c r="C118" s="55"/>
      <c r="D118" s="55"/>
      <c r="E118" s="266"/>
      <c r="F118" s="9">
        <f t="shared" si="2"/>
        <v>0</v>
      </c>
      <c r="G118" s="270" t="str">
        <f t="shared" si="3"/>
        <v/>
      </c>
    </row>
    <row r="119" spans="2:7" ht="19.5">
      <c r="B119" s="71"/>
      <c r="C119" s="55"/>
      <c r="D119" s="55"/>
      <c r="E119" s="266"/>
      <c r="F119" s="9">
        <f t="shared" si="2"/>
        <v>0</v>
      </c>
      <c r="G119" s="270" t="str">
        <f t="shared" si="3"/>
        <v/>
      </c>
    </row>
    <row r="120" spans="2:7" ht="19.5">
      <c r="B120" s="71"/>
      <c r="C120" s="55"/>
      <c r="D120" s="55"/>
      <c r="E120" s="266"/>
      <c r="F120" s="9">
        <f t="shared" si="2"/>
        <v>0</v>
      </c>
      <c r="G120" s="270" t="str">
        <f t="shared" si="3"/>
        <v/>
      </c>
    </row>
    <row r="121" spans="2:7" ht="19.5">
      <c r="B121" s="71"/>
      <c r="C121" s="55"/>
      <c r="D121" s="55"/>
      <c r="E121" s="266"/>
      <c r="F121" s="9">
        <f t="shared" si="2"/>
        <v>0</v>
      </c>
      <c r="G121" s="270" t="str">
        <f t="shared" si="3"/>
        <v/>
      </c>
    </row>
    <row r="122" spans="2:7" ht="19.5">
      <c r="B122" s="71"/>
      <c r="C122" s="55"/>
      <c r="D122" s="55"/>
      <c r="E122" s="266"/>
      <c r="F122" s="9">
        <f t="shared" si="2"/>
        <v>0</v>
      </c>
      <c r="G122" s="270" t="str">
        <f t="shared" si="3"/>
        <v/>
      </c>
    </row>
    <row r="123" spans="2:7" ht="19.5">
      <c r="B123" s="71"/>
      <c r="C123" s="55"/>
      <c r="D123" s="55"/>
      <c r="E123" s="266"/>
      <c r="F123" s="9">
        <f t="shared" si="2"/>
        <v>0</v>
      </c>
      <c r="G123" s="270" t="str">
        <f t="shared" si="3"/>
        <v/>
      </c>
    </row>
    <row r="124" spans="2:7" ht="19.5">
      <c r="B124" s="71"/>
      <c r="C124" s="55"/>
      <c r="D124" s="55"/>
      <c r="E124" s="266"/>
      <c r="F124" s="9">
        <f t="shared" si="2"/>
        <v>0</v>
      </c>
      <c r="G124" s="270" t="str">
        <f t="shared" si="3"/>
        <v/>
      </c>
    </row>
    <row r="125" spans="2:7" ht="19.5">
      <c r="B125" s="71"/>
      <c r="C125" s="55"/>
      <c r="D125" s="55"/>
      <c r="E125" s="266"/>
      <c r="F125" s="9">
        <f t="shared" si="2"/>
        <v>0</v>
      </c>
      <c r="G125" s="270" t="str">
        <f t="shared" si="3"/>
        <v/>
      </c>
    </row>
    <row r="126" spans="2:7" ht="19.5">
      <c r="B126" s="71"/>
      <c r="C126" s="55"/>
      <c r="D126" s="55"/>
      <c r="E126" s="266"/>
      <c r="F126" s="9">
        <f t="shared" si="2"/>
        <v>0</v>
      </c>
      <c r="G126" s="270" t="str">
        <f t="shared" si="3"/>
        <v/>
      </c>
    </row>
    <row r="127" spans="2:7" ht="19.5">
      <c r="B127" s="71"/>
      <c r="C127" s="55"/>
      <c r="D127" s="55"/>
      <c r="E127" s="266"/>
      <c r="F127" s="9">
        <f t="shared" si="2"/>
        <v>0</v>
      </c>
      <c r="G127" s="270" t="str">
        <f t="shared" si="3"/>
        <v/>
      </c>
    </row>
    <row r="128" spans="2:7" ht="19.5">
      <c r="B128" s="71"/>
      <c r="C128" s="55"/>
      <c r="D128" s="55"/>
      <c r="E128" s="266"/>
      <c r="F128" s="9">
        <f t="shared" si="2"/>
        <v>0</v>
      </c>
      <c r="G128" s="270" t="str">
        <f t="shared" si="3"/>
        <v/>
      </c>
    </row>
    <row r="129" spans="2:7" ht="19.5">
      <c r="B129" s="71"/>
      <c r="C129" s="55"/>
      <c r="D129" s="55"/>
      <c r="E129" s="266"/>
      <c r="F129" s="9">
        <f t="shared" si="2"/>
        <v>0</v>
      </c>
      <c r="G129" s="270" t="str">
        <f t="shared" si="3"/>
        <v/>
      </c>
    </row>
    <row r="130" spans="2:7" ht="19.5">
      <c r="B130" s="71"/>
      <c r="C130" s="55"/>
      <c r="D130" s="55"/>
      <c r="E130" s="266"/>
      <c r="F130" s="9">
        <f t="shared" si="2"/>
        <v>0</v>
      </c>
      <c r="G130" s="270" t="str">
        <f t="shared" si="3"/>
        <v/>
      </c>
    </row>
    <row r="131" spans="2:7" ht="19.5">
      <c r="B131" s="71"/>
      <c r="C131" s="55"/>
      <c r="D131" s="55"/>
      <c r="E131" s="266"/>
      <c r="F131" s="9">
        <f t="shared" si="2"/>
        <v>0</v>
      </c>
      <c r="G131" s="270" t="str">
        <f t="shared" si="3"/>
        <v/>
      </c>
    </row>
    <row r="132" spans="2:7" ht="19.5">
      <c r="B132" s="71"/>
      <c r="C132" s="55"/>
      <c r="D132" s="55"/>
      <c r="E132" s="266"/>
      <c r="F132" s="9">
        <f t="shared" si="2"/>
        <v>0</v>
      </c>
      <c r="G132" s="270" t="str">
        <f t="shared" si="3"/>
        <v/>
      </c>
    </row>
    <row r="133" spans="2:7" ht="19.5">
      <c r="B133" s="71"/>
      <c r="C133" s="55"/>
      <c r="D133" s="55"/>
      <c r="E133" s="266"/>
      <c r="F133" s="9">
        <f t="shared" si="2"/>
        <v>0</v>
      </c>
      <c r="G133" s="270" t="str">
        <f t="shared" si="3"/>
        <v/>
      </c>
    </row>
    <row r="134" spans="2:7" ht="19.5">
      <c r="B134" s="71"/>
      <c r="C134" s="55"/>
      <c r="D134" s="55"/>
      <c r="E134" s="266"/>
      <c r="F134" s="9">
        <f t="shared" si="2"/>
        <v>0</v>
      </c>
      <c r="G134" s="270" t="str">
        <f t="shared" si="3"/>
        <v/>
      </c>
    </row>
    <row r="135" spans="2:7" ht="19.5">
      <c r="B135" s="71"/>
      <c r="C135" s="55"/>
      <c r="D135" s="55"/>
      <c r="E135" s="266"/>
      <c r="F135" s="9">
        <f t="shared" ref="F135:F198" si="4">IF(E135&gt;0,COUNTA(B135,C135,D135,E135),0)</f>
        <v>0</v>
      </c>
      <c r="G135" s="270" t="str">
        <f t="shared" ref="G135:G198" si="5">_xlfn.IFS(F135=0,"",F135&lt;=3,"ピンク色のセルを全て入力してください",F135=4,"OK")</f>
        <v/>
      </c>
    </row>
    <row r="136" spans="2:7" ht="19.5">
      <c r="B136" s="71"/>
      <c r="C136" s="55"/>
      <c r="D136" s="55"/>
      <c r="E136" s="266"/>
      <c r="F136" s="9">
        <f t="shared" si="4"/>
        <v>0</v>
      </c>
      <c r="G136" s="270" t="str">
        <f t="shared" si="5"/>
        <v/>
      </c>
    </row>
    <row r="137" spans="2:7" ht="19.5">
      <c r="B137" s="71"/>
      <c r="C137" s="55"/>
      <c r="D137" s="55"/>
      <c r="E137" s="266"/>
      <c r="F137" s="9">
        <f t="shared" si="4"/>
        <v>0</v>
      </c>
      <c r="G137" s="270" t="str">
        <f t="shared" si="5"/>
        <v/>
      </c>
    </row>
    <row r="138" spans="2:7" ht="19.5">
      <c r="B138" s="71"/>
      <c r="C138" s="55"/>
      <c r="D138" s="55"/>
      <c r="E138" s="266"/>
      <c r="F138" s="9">
        <f t="shared" si="4"/>
        <v>0</v>
      </c>
      <c r="G138" s="270" t="str">
        <f t="shared" si="5"/>
        <v/>
      </c>
    </row>
    <row r="139" spans="2:7" ht="19.5">
      <c r="B139" s="71"/>
      <c r="C139" s="55"/>
      <c r="D139" s="55"/>
      <c r="E139" s="266"/>
      <c r="F139" s="9">
        <f t="shared" si="4"/>
        <v>0</v>
      </c>
      <c r="G139" s="270" t="str">
        <f t="shared" si="5"/>
        <v/>
      </c>
    </row>
    <row r="140" spans="2:7" ht="19.5">
      <c r="B140" s="71"/>
      <c r="C140" s="55"/>
      <c r="D140" s="55"/>
      <c r="E140" s="266"/>
      <c r="F140" s="9">
        <f t="shared" si="4"/>
        <v>0</v>
      </c>
      <c r="G140" s="270" t="str">
        <f t="shared" si="5"/>
        <v/>
      </c>
    </row>
    <row r="141" spans="2:7" ht="19.5">
      <c r="B141" s="71"/>
      <c r="C141" s="55"/>
      <c r="D141" s="55"/>
      <c r="E141" s="266"/>
      <c r="F141" s="9">
        <f t="shared" si="4"/>
        <v>0</v>
      </c>
      <c r="G141" s="270" t="str">
        <f t="shared" si="5"/>
        <v/>
      </c>
    </row>
    <row r="142" spans="2:7" ht="19.5">
      <c r="B142" s="71"/>
      <c r="C142" s="55"/>
      <c r="D142" s="55"/>
      <c r="E142" s="266"/>
      <c r="F142" s="9">
        <f t="shared" si="4"/>
        <v>0</v>
      </c>
      <c r="G142" s="270" t="str">
        <f t="shared" si="5"/>
        <v/>
      </c>
    </row>
    <row r="143" spans="2:7" ht="19.5">
      <c r="B143" s="71"/>
      <c r="C143" s="55"/>
      <c r="D143" s="55"/>
      <c r="E143" s="266"/>
      <c r="F143" s="9">
        <f t="shared" si="4"/>
        <v>0</v>
      </c>
      <c r="G143" s="270" t="str">
        <f t="shared" si="5"/>
        <v/>
      </c>
    </row>
    <row r="144" spans="2:7" ht="19.5">
      <c r="B144" s="71"/>
      <c r="C144" s="55"/>
      <c r="D144" s="55"/>
      <c r="E144" s="266"/>
      <c r="F144" s="9">
        <f t="shared" si="4"/>
        <v>0</v>
      </c>
      <c r="G144" s="270" t="str">
        <f t="shared" si="5"/>
        <v/>
      </c>
    </row>
    <row r="145" spans="2:7" ht="19.5">
      <c r="B145" s="71"/>
      <c r="C145" s="55"/>
      <c r="D145" s="55"/>
      <c r="E145" s="266"/>
      <c r="F145" s="9">
        <f t="shared" si="4"/>
        <v>0</v>
      </c>
      <c r="G145" s="270" t="str">
        <f t="shared" si="5"/>
        <v/>
      </c>
    </row>
    <row r="146" spans="2:7" ht="19.5">
      <c r="B146" s="71"/>
      <c r="C146" s="55"/>
      <c r="D146" s="55"/>
      <c r="E146" s="266"/>
      <c r="F146" s="9">
        <f t="shared" si="4"/>
        <v>0</v>
      </c>
      <c r="G146" s="270" t="str">
        <f t="shared" si="5"/>
        <v/>
      </c>
    </row>
    <row r="147" spans="2:7" ht="19.5">
      <c r="B147" s="71"/>
      <c r="C147" s="55"/>
      <c r="D147" s="55"/>
      <c r="E147" s="266"/>
      <c r="F147" s="9">
        <f t="shared" si="4"/>
        <v>0</v>
      </c>
      <c r="G147" s="270" t="str">
        <f t="shared" si="5"/>
        <v/>
      </c>
    </row>
    <row r="148" spans="2:7" ht="19.5">
      <c r="B148" s="71"/>
      <c r="C148" s="55"/>
      <c r="D148" s="55"/>
      <c r="E148" s="266"/>
      <c r="F148" s="9">
        <f t="shared" si="4"/>
        <v>0</v>
      </c>
      <c r="G148" s="270" t="str">
        <f t="shared" si="5"/>
        <v/>
      </c>
    </row>
    <row r="149" spans="2:7" ht="19.5">
      <c r="B149" s="71"/>
      <c r="C149" s="55"/>
      <c r="D149" s="55"/>
      <c r="E149" s="266"/>
      <c r="F149" s="9">
        <f t="shared" si="4"/>
        <v>0</v>
      </c>
      <c r="G149" s="270" t="str">
        <f t="shared" si="5"/>
        <v/>
      </c>
    </row>
    <row r="150" spans="2:7" ht="19.5">
      <c r="B150" s="71"/>
      <c r="C150" s="55"/>
      <c r="D150" s="55"/>
      <c r="E150" s="266"/>
      <c r="F150" s="9">
        <f t="shared" si="4"/>
        <v>0</v>
      </c>
      <c r="G150" s="270" t="str">
        <f t="shared" si="5"/>
        <v/>
      </c>
    </row>
    <row r="151" spans="2:7" ht="19.5">
      <c r="B151" s="71"/>
      <c r="C151" s="55"/>
      <c r="D151" s="55"/>
      <c r="E151" s="266"/>
      <c r="F151" s="9">
        <f t="shared" si="4"/>
        <v>0</v>
      </c>
      <c r="G151" s="270" t="str">
        <f t="shared" si="5"/>
        <v/>
      </c>
    </row>
    <row r="152" spans="2:7" ht="19.5">
      <c r="B152" s="71"/>
      <c r="C152" s="55"/>
      <c r="D152" s="55"/>
      <c r="E152" s="266"/>
      <c r="F152" s="9">
        <f t="shared" si="4"/>
        <v>0</v>
      </c>
      <c r="G152" s="270" t="str">
        <f t="shared" si="5"/>
        <v/>
      </c>
    </row>
    <row r="153" spans="2:7" ht="19.5">
      <c r="B153" s="71"/>
      <c r="C153" s="55"/>
      <c r="D153" s="55"/>
      <c r="E153" s="266"/>
      <c r="F153" s="9">
        <f t="shared" si="4"/>
        <v>0</v>
      </c>
      <c r="G153" s="270" t="str">
        <f t="shared" si="5"/>
        <v/>
      </c>
    </row>
    <row r="154" spans="2:7" ht="19.5">
      <c r="B154" s="71"/>
      <c r="C154" s="55"/>
      <c r="D154" s="55"/>
      <c r="E154" s="266"/>
      <c r="F154" s="9">
        <f t="shared" si="4"/>
        <v>0</v>
      </c>
      <c r="G154" s="270" t="str">
        <f t="shared" si="5"/>
        <v/>
      </c>
    </row>
    <row r="155" spans="2:7" ht="19.5">
      <c r="B155" s="71"/>
      <c r="C155" s="55"/>
      <c r="D155" s="55"/>
      <c r="E155" s="266"/>
      <c r="F155" s="9">
        <f t="shared" si="4"/>
        <v>0</v>
      </c>
      <c r="G155" s="270" t="str">
        <f t="shared" si="5"/>
        <v/>
      </c>
    </row>
    <row r="156" spans="2:7" ht="19.5">
      <c r="B156" s="71"/>
      <c r="C156" s="55"/>
      <c r="D156" s="55"/>
      <c r="E156" s="266"/>
      <c r="F156" s="9">
        <f t="shared" si="4"/>
        <v>0</v>
      </c>
      <c r="G156" s="270" t="str">
        <f t="shared" si="5"/>
        <v/>
      </c>
    </row>
    <row r="157" spans="2:7" ht="19.5">
      <c r="B157" s="71"/>
      <c r="C157" s="55"/>
      <c r="D157" s="55"/>
      <c r="E157" s="266"/>
      <c r="F157" s="9">
        <f t="shared" si="4"/>
        <v>0</v>
      </c>
      <c r="G157" s="270" t="str">
        <f t="shared" si="5"/>
        <v/>
      </c>
    </row>
    <row r="158" spans="2:7" ht="19.5">
      <c r="B158" s="71"/>
      <c r="C158" s="55"/>
      <c r="D158" s="55"/>
      <c r="E158" s="266"/>
      <c r="F158" s="9">
        <f t="shared" si="4"/>
        <v>0</v>
      </c>
      <c r="G158" s="270" t="str">
        <f t="shared" si="5"/>
        <v/>
      </c>
    </row>
    <row r="159" spans="2:7" ht="19.5">
      <c r="B159" s="71"/>
      <c r="C159" s="55"/>
      <c r="D159" s="55"/>
      <c r="E159" s="266"/>
      <c r="F159" s="9">
        <f t="shared" si="4"/>
        <v>0</v>
      </c>
      <c r="G159" s="270" t="str">
        <f t="shared" si="5"/>
        <v/>
      </c>
    </row>
    <row r="160" spans="2:7" ht="19.5">
      <c r="B160" s="71"/>
      <c r="C160" s="55"/>
      <c r="D160" s="55"/>
      <c r="E160" s="266"/>
      <c r="F160" s="9">
        <f t="shared" si="4"/>
        <v>0</v>
      </c>
      <c r="G160" s="270" t="str">
        <f t="shared" si="5"/>
        <v/>
      </c>
    </row>
    <row r="161" spans="2:7" ht="19.5">
      <c r="B161" s="71"/>
      <c r="C161" s="55"/>
      <c r="D161" s="55"/>
      <c r="E161" s="266"/>
      <c r="F161" s="9">
        <f t="shared" si="4"/>
        <v>0</v>
      </c>
      <c r="G161" s="270" t="str">
        <f t="shared" si="5"/>
        <v/>
      </c>
    </row>
    <row r="162" spans="2:7" ht="19.5">
      <c r="B162" s="71"/>
      <c r="C162" s="55"/>
      <c r="D162" s="55"/>
      <c r="E162" s="266"/>
      <c r="F162" s="9">
        <f t="shared" si="4"/>
        <v>0</v>
      </c>
      <c r="G162" s="270" t="str">
        <f t="shared" si="5"/>
        <v/>
      </c>
    </row>
    <row r="163" spans="2:7" ht="19.5">
      <c r="B163" s="71"/>
      <c r="C163" s="55"/>
      <c r="D163" s="55"/>
      <c r="E163" s="266"/>
      <c r="F163" s="9">
        <f t="shared" si="4"/>
        <v>0</v>
      </c>
      <c r="G163" s="270" t="str">
        <f t="shared" si="5"/>
        <v/>
      </c>
    </row>
    <row r="164" spans="2:7" ht="19.5">
      <c r="B164" s="71"/>
      <c r="C164" s="55"/>
      <c r="D164" s="55"/>
      <c r="E164" s="266"/>
      <c r="F164" s="9">
        <f t="shared" si="4"/>
        <v>0</v>
      </c>
      <c r="G164" s="270" t="str">
        <f t="shared" si="5"/>
        <v/>
      </c>
    </row>
    <row r="165" spans="2:7" ht="19.5">
      <c r="B165" s="71"/>
      <c r="C165" s="55"/>
      <c r="D165" s="55"/>
      <c r="E165" s="266"/>
      <c r="F165" s="9">
        <f t="shared" si="4"/>
        <v>0</v>
      </c>
      <c r="G165" s="270" t="str">
        <f t="shared" si="5"/>
        <v/>
      </c>
    </row>
    <row r="166" spans="2:7" ht="19.5">
      <c r="B166" s="71"/>
      <c r="C166" s="55"/>
      <c r="D166" s="55"/>
      <c r="E166" s="266"/>
      <c r="F166" s="9">
        <f t="shared" si="4"/>
        <v>0</v>
      </c>
      <c r="G166" s="270" t="str">
        <f t="shared" si="5"/>
        <v/>
      </c>
    </row>
    <row r="167" spans="2:7" ht="19.5">
      <c r="B167" s="71"/>
      <c r="C167" s="55"/>
      <c r="D167" s="55"/>
      <c r="E167" s="266"/>
      <c r="F167" s="9">
        <f t="shared" si="4"/>
        <v>0</v>
      </c>
      <c r="G167" s="270" t="str">
        <f t="shared" si="5"/>
        <v/>
      </c>
    </row>
    <row r="168" spans="2:7" ht="19.5">
      <c r="B168" s="71"/>
      <c r="C168" s="55"/>
      <c r="D168" s="55"/>
      <c r="E168" s="266"/>
      <c r="F168" s="9">
        <f t="shared" si="4"/>
        <v>0</v>
      </c>
      <c r="G168" s="270" t="str">
        <f t="shared" si="5"/>
        <v/>
      </c>
    </row>
    <row r="169" spans="2:7" ht="19.5">
      <c r="B169" s="71"/>
      <c r="C169" s="55"/>
      <c r="D169" s="55"/>
      <c r="E169" s="266"/>
      <c r="F169" s="9">
        <f t="shared" si="4"/>
        <v>0</v>
      </c>
      <c r="G169" s="270" t="str">
        <f t="shared" si="5"/>
        <v/>
      </c>
    </row>
    <row r="170" spans="2:7" ht="19.5">
      <c r="B170" s="71"/>
      <c r="C170" s="55"/>
      <c r="D170" s="55"/>
      <c r="E170" s="266"/>
      <c r="F170" s="9">
        <f t="shared" si="4"/>
        <v>0</v>
      </c>
      <c r="G170" s="270" t="str">
        <f t="shared" si="5"/>
        <v/>
      </c>
    </row>
    <row r="171" spans="2:7" ht="19.5">
      <c r="B171" s="71"/>
      <c r="C171" s="55"/>
      <c r="D171" s="55"/>
      <c r="E171" s="266"/>
      <c r="F171" s="9">
        <f t="shared" si="4"/>
        <v>0</v>
      </c>
      <c r="G171" s="270" t="str">
        <f t="shared" si="5"/>
        <v/>
      </c>
    </row>
    <row r="172" spans="2:7" ht="19.5">
      <c r="B172" s="71"/>
      <c r="C172" s="55"/>
      <c r="D172" s="55"/>
      <c r="E172" s="266"/>
      <c r="F172" s="9">
        <f t="shared" si="4"/>
        <v>0</v>
      </c>
      <c r="G172" s="270" t="str">
        <f t="shared" si="5"/>
        <v/>
      </c>
    </row>
    <row r="173" spans="2:7" ht="19.5">
      <c r="B173" s="71"/>
      <c r="C173" s="55"/>
      <c r="D173" s="55"/>
      <c r="E173" s="266"/>
      <c r="F173" s="9">
        <f t="shared" si="4"/>
        <v>0</v>
      </c>
      <c r="G173" s="270" t="str">
        <f t="shared" si="5"/>
        <v/>
      </c>
    </row>
    <row r="174" spans="2:7" ht="19.5">
      <c r="B174" s="71"/>
      <c r="C174" s="55"/>
      <c r="D174" s="55"/>
      <c r="E174" s="266"/>
      <c r="F174" s="9">
        <f t="shared" si="4"/>
        <v>0</v>
      </c>
      <c r="G174" s="270" t="str">
        <f t="shared" si="5"/>
        <v/>
      </c>
    </row>
    <row r="175" spans="2:7" ht="19.5">
      <c r="B175" s="71"/>
      <c r="C175" s="55"/>
      <c r="D175" s="55"/>
      <c r="E175" s="266"/>
      <c r="F175" s="9">
        <f t="shared" si="4"/>
        <v>0</v>
      </c>
      <c r="G175" s="270" t="str">
        <f t="shared" si="5"/>
        <v/>
      </c>
    </row>
    <row r="176" spans="2:7" ht="19.5">
      <c r="B176" s="71"/>
      <c r="C176" s="55"/>
      <c r="D176" s="55"/>
      <c r="E176" s="266"/>
      <c r="F176" s="9">
        <f t="shared" si="4"/>
        <v>0</v>
      </c>
      <c r="G176" s="270" t="str">
        <f t="shared" si="5"/>
        <v/>
      </c>
    </row>
    <row r="177" spans="2:7" ht="19.5">
      <c r="B177" s="71"/>
      <c r="C177" s="55"/>
      <c r="D177" s="55"/>
      <c r="E177" s="266"/>
      <c r="F177" s="9">
        <f t="shared" si="4"/>
        <v>0</v>
      </c>
      <c r="G177" s="270" t="str">
        <f t="shared" si="5"/>
        <v/>
      </c>
    </row>
    <row r="178" spans="2:7" ht="19.5">
      <c r="B178" s="71"/>
      <c r="C178" s="55"/>
      <c r="D178" s="55"/>
      <c r="E178" s="266"/>
      <c r="F178" s="9">
        <f t="shared" si="4"/>
        <v>0</v>
      </c>
      <c r="G178" s="270" t="str">
        <f t="shared" si="5"/>
        <v/>
      </c>
    </row>
    <row r="179" spans="2:7" ht="19.5">
      <c r="B179" s="71"/>
      <c r="C179" s="55"/>
      <c r="D179" s="55"/>
      <c r="E179" s="266"/>
      <c r="F179" s="9">
        <f t="shared" si="4"/>
        <v>0</v>
      </c>
      <c r="G179" s="270" t="str">
        <f t="shared" si="5"/>
        <v/>
      </c>
    </row>
    <row r="180" spans="2:7" ht="19.5">
      <c r="B180" s="71"/>
      <c r="C180" s="55"/>
      <c r="D180" s="55"/>
      <c r="E180" s="266"/>
      <c r="F180" s="9">
        <f t="shared" si="4"/>
        <v>0</v>
      </c>
      <c r="G180" s="270" t="str">
        <f t="shared" si="5"/>
        <v/>
      </c>
    </row>
    <row r="181" spans="2:7" ht="19.5">
      <c r="B181" s="71"/>
      <c r="C181" s="55"/>
      <c r="D181" s="55"/>
      <c r="E181" s="266"/>
      <c r="F181" s="9">
        <f t="shared" si="4"/>
        <v>0</v>
      </c>
      <c r="G181" s="270" t="str">
        <f t="shared" si="5"/>
        <v/>
      </c>
    </row>
    <row r="182" spans="2:7" ht="19.5">
      <c r="B182" s="71"/>
      <c r="C182" s="55"/>
      <c r="D182" s="55"/>
      <c r="E182" s="266"/>
      <c r="F182" s="9">
        <f t="shared" si="4"/>
        <v>0</v>
      </c>
      <c r="G182" s="270" t="str">
        <f t="shared" si="5"/>
        <v/>
      </c>
    </row>
    <row r="183" spans="2:7" ht="19.5">
      <c r="B183" s="71"/>
      <c r="C183" s="55"/>
      <c r="D183" s="55"/>
      <c r="E183" s="266"/>
      <c r="F183" s="9">
        <f t="shared" si="4"/>
        <v>0</v>
      </c>
      <c r="G183" s="270" t="str">
        <f t="shared" si="5"/>
        <v/>
      </c>
    </row>
    <row r="184" spans="2:7" ht="19.5">
      <c r="B184" s="71"/>
      <c r="C184" s="55"/>
      <c r="D184" s="55"/>
      <c r="E184" s="266"/>
      <c r="F184" s="9">
        <f t="shared" si="4"/>
        <v>0</v>
      </c>
      <c r="G184" s="270" t="str">
        <f t="shared" si="5"/>
        <v/>
      </c>
    </row>
    <row r="185" spans="2:7" ht="19.5">
      <c r="B185" s="71"/>
      <c r="C185" s="55"/>
      <c r="D185" s="55"/>
      <c r="E185" s="266"/>
      <c r="F185" s="9">
        <f t="shared" si="4"/>
        <v>0</v>
      </c>
      <c r="G185" s="270" t="str">
        <f t="shared" si="5"/>
        <v/>
      </c>
    </row>
    <row r="186" spans="2:7" ht="19.5">
      <c r="B186" s="71"/>
      <c r="C186" s="55"/>
      <c r="D186" s="55"/>
      <c r="E186" s="266"/>
      <c r="F186" s="9">
        <f t="shared" si="4"/>
        <v>0</v>
      </c>
      <c r="G186" s="270" t="str">
        <f t="shared" si="5"/>
        <v/>
      </c>
    </row>
    <row r="187" spans="2:7" ht="19.5">
      <c r="B187" s="71"/>
      <c r="C187" s="55"/>
      <c r="D187" s="55"/>
      <c r="E187" s="266"/>
      <c r="F187" s="9">
        <f t="shared" si="4"/>
        <v>0</v>
      </c>
      <c r="G187" s="270" t="str">
        <f t="shared" si="5"/>
        <v/>
      </c>
    </row>
    <row r="188" spans="2:7" ht="19.5">
      <c r="B188" s="71"/>
      <c r="C188" s="55"/>
      <c r="D188" s="55"/>
      <c r="E188" s="266"/>
      <c r="F188" s="9">
        <f t="shared" si="4"/>
        <v>0</v>
      </c>
      <c r="G188" s="270" t="str">
        <f t="shared" si="5"/>
        <v/>
      </c>
    </row>
    <row r="189" spans="2:7" ht="19.5">
      <c r="B189" s="71"/>
      <c r="C189" s="55"/>
      <c r="D189" s="55"/>
      <c r="E189" s="266"/>
      <c r="F189" s="9">
        <f t="shared" si="4"/>
        <v>0</v>
      </c>
      <c r="G189" s="270" t="str">
        <f t="shared" si="5"/>
        <v/>
      </c>
    </row>
    <row r="190" spans="2:7" ht="19.5">
      <c r="B190" s="71"/>
      <c r="C190" s="55"/>
      <c r="D190" s="55"/>
      <c r="E190" s="266"/>
      <c r="F190" s="9">
        <f t="shared" si="4"/>
        <v>0</v>
      </c>
      <c r="G190" s="270" t="str">
        <f t="shared" si="5"/>
        <v/>
      </c>
    </row>
    <row r="191" spans="2:7" ht="19.5">
      <c r="B191" s="71"/>
      <c r="C191" s="55"/>
      <c r="D191" s="55"/>
      <c r="E191" s="266"/>
      <c r="F191" s="9">
        <f t="shared" si="4"/>
        <v>0</v>
      </c>
      <c r="G191" s="270" t="str">
        <f t="shared" si="5"/>
        <v/>
      </c>
    </row>
    <row r="192" spans="2:7" ht="19.5">
      <c r="B192" s="71"/>
      <c r="C192" s="55"/>
      <c r="D192" s="55"/>
      <c r="E192" s="266"/>
      <c r="F192" s="9">
        <f t="shared" si="4"/>
        <v>0</v>
      </c>
      <c r="G192" s="270" t="str">
        <f t="shared" si="5"/>
        <v/>
      </c>
    </row>
    <row r="193" spans="2:7" ht="19.5">
      <c r="B193" s="71"/>
      <c r="C193" s="55"/>
      <c r="D193" s="55"/>
      <c r="E193" s="266"/>
      <c r="F193" s="9">
        <f t="shared" si="4"/>
        <v>0</v>
      </c>
      <c r="G193" s="270" t="str">
        <f t="shared" si="5"/>
        <v/>
      </c>
    </row>
    <row r="194" spans="2:7" ht="19.5">
      <c r="B194" s="71"/>
      <c r="C194" s="55"/>
      <c r="D194" s="55"/>
      <c r="E194" s="266"/>
      <c r="F194" s="9">
        <f t="shared" si="4"/>
        <v>0</v>
      </c>
      <c r="G194" s="270" t="str">
        <f t="shared" si="5"/>
        <v/>
      </c>
    </row>
    <row r="195" spans="2:7" ht="19.5">
      <c r="B195" s="71"/>
      <c r="C195" s="55"/>
      <c r="D195" s="55"/>
      <c r="E195" s="266"/>
      <c r="F195" s="9">
        <f t="shared" si="4"/>
        <v>0</v>
      </c>
      <c r="G195" s="270" t="str">
        <f t="shared" si="5"/>
        <v/>
      </c>
    </row>
    <row r="196" spans="2:7" ht="19.5">
      <c r="B196" s="71"/>
      <c r="C196" s="55"/>
      <c r="D196" s="55"/>
      <c r="E196" s="266"/>
      <c r="F196" s="9">
        <f t="shared" si="4"/>
        <v>0</v>
      </c>
      <c r="G196" s="270" t="str">
        <f t="shared" si="5"/>
        <v/>
      </c>
    </row>
    <row r="197" spans="2:7" ht="19.5">
      <c r="B197" s="71"/>
      <c r="C197" s="55"/>
      <c r="D197" s="55"/>
      <c r="E197" s="266"/>
      <c r="F197" s="9">
        <f t="shared" si="4"/>
        <v>0</v>
      </c>
      <c r="G197" s="270" t="str">
        <f t="shared" si="5"/>
        <v/>
      </c>
    </row>
    <row r="198" spans="2:7" ht="19.5">
      <c r="B198" s="71"/>
      <c r="C198" s="55"/>
      <c r="D198" s="55"/>
      <c r="E198" s="266"/>
      <c r="F198" s="9">
        <f t="shared" si="4"/>
        <v>0</v>
      </c>
      <c r="G198" s="270" t="str">
        <f t="shared" si="5"/>
        <v/>
      </c>
    </row>
    <row r="199" spans="2:7" ht="19.5">
      <c r="B199" s="71"/>
      <c r="C199" s="55"/>
      <c r="D199" s="55"/>
      <c r="E199" s="266"/>
      <c r="F199" s="9">
        <f>IF(E199&gt;0,COUNTA(B199,C199,D199,E199),0)</f>
        <v>0</v>
      </c>
      <c r="G199" s="270" t="str">
        <f>_xlfn.IFS(F199=0,"",F199&lt;=3,"ピンク色のセルを全て入力してください",F199=4,"OK")</f>
        <v/>
      </c>
    </row>
    <row r="200" spans="2:7" ht="20.25" thickBot="1">
      <c r="B200" s="71"/>
      <c r="C200" s="55"/>
      <c r="D200" s="55"/>
      <c r="E200" s="267"/>
      <c r="F200" s="9">
        <f>IF(E200&gt;0,COUNTA(B200,C200,D200,E200),0)</f>
        <v>0</v>
      </c>
      <c r="G200" s="271" t="str">
        <f>_xlfn.IFS(F200=0,"",F200&lt;=3,"ピンク色のセルを全て入力してください",F200=4,"OK")</f>
        <v/>
      </c>
    </row>
    <row r="201" spans="2:7" ht="26.25" thickTop="1">
      <c r="B201" s="303" t="s">
        <v>76</v>
      </c>
      <c r="C201" s="303"/>
      <c r="D201" s="303"/>
      <c r="E201" s="162">
        <f>SUBTOTAL(9,E6:E200)</f>
        <v>0</v>
      </c>
    </row>
    <row r="202" spans="2:7">
      <c r="B202" s="28"/>
      <c r="D202" s="28"/>
      <c r="E202" s="28"/>
    </row>
  </sheetData>
  <sheetProtection algorithmName="SHA-512" hashValue="O+rlax5Ny1nF1UCpYqdH8EXS5I686WK4d3XZkaSEZ5dmAhDhhHgfBEItWgyLVNf8GAFMT8eyhKabJmVIrb2EwA==" saltValue="2CJ2MujslfQMvX3MYwdARA==" spinCount="100000" sheet="1" objects="1" autoFilter="0"/>
  <autoFilter ref="B5:E200" xr:uid="{00000000-0009-0000-0000-000003000000}"/>
  <mergeCells count="2">
    <mergeCell ref="B201:D201"/>
    <mergeCell ref="C3:D3"/>
  </mergeCells>
  <phoneticPr fontId="4"/>
  <conditionalFormatting sqref="E201 D6:E200">
    <cfRule type="cellIs" dxfId="25" priority="18" operator="equal">
      <formula>""</formula>
    </cfRule>
  </conditionalFormatting>
  <conditionalFormatting sqref="C6:C200">
    <cfRule type="cellIs" dxfId="24" priority="7" operator="equal">
      <formula>""</formula>
    </cfRule>
  </conditionalFormatting>
  <conditionalFormatting sqref="B6:B200">
    <cfRule type="cellIs" dxfId="23" priority="1" operator="equal">
      <formula>""</formula>
    </cfRule>
  </conditionalFormatting>
  <hyperlinks>
    <hyperlink ref="B3" location="メニュー画面!B4" display="メニュー画面へ" xr:uid="{00000000-0004-0000-0300-000000000000}"/>
  </hyperlinks>
  <pageMargins left="0.70866141732283472" right="0.70866141732283472" top="0.74803149606299213" bottom="0.74803149606299213" header="0.31496062992125984" footer="0.31496062992125984"/>
  <pageSetup paperSize="9" scale="7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 operator="between" id="{1484BA1A-79FB-4C0E-B6FF-F4B152EFB1C1}">
            <xm:f>プルダウン用リスト!$G$7</xm:f>
            <xm:f>プルダウン用リスト!$H$7</xm:f>
            <x14:dxf>
              <fill>
                <patternFill>
                  <bgColor rgb="FFFFFF00"/>
                </patternFill>
              </fill>
            </x14:dxf>
          </x14:cfRule>
          <x14:cfRule type="cellIs" priority="3" operator="between" id="{33DF94F0-0D56-4B82-8025-C28E9B5B83F2}">
            <xm:f>プルダウン用リスト!$H$8</xm:f>
            <xm:f>プルダウン用リスト!$G$8</xm:f>
            <x14:dxf>
              <fill>
                <patternFill>
                  <bgColor rgb="FFFFFF00"/>
                </patternFill>
              </fill>
            </x14:dxf>
          </x14:cfRule>
          <x14:cfRule type="cellIs" priority="43" operator="notBetween" id="{86635DE6-8A43-4525-97A0-85028EF901BB}">
            <xm:f>プルダウン用リスト!$G$7</xm:f>
            <xm:f>プルダウン用リスト!$G$8</xm:f>
            <x14:dxf>
              <fill>
                <patternFill>
                  <bgColor rgb="FFFF0000"/>
                </patternFill>
              </fill>
            </x14:dxf>
          </x14:cfRule>
          <xm:sqref>B6:B200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注意！" prompt="C列は、該当する収入の区分をプルダウンで選択してください" xr:uid="{00000000-0002-0000-0300-000000000000}">
          <x14:formula1>
            <xm:f>プルダウン用リスト!$O$1:$O$4</xm:f>
          </x14:formula1>
          <xm:sqref>C6:C200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G54"/>
  <sheetViews>
    <sheetView showGridLines="0" view="pageBreakPreview" zoomScale="80" zoomScaleNormal="100" zoomScaleSheetLayoutView="80" workbookViewId="0">
      <selection activeCell="N21" sqref="N21:Q21"/>
    </sheetView>
  </sheetViews>
  <sheetFormatPr defaultRowHeight="18.75"/>
  <cols>
    <col min="1" max="1" width="2.125" style="9" customWidth="1"/>
    <col min="2" max="2" width="2.625" style="9" customWidth="1"/>
    <col min="3" max="3" width="9.625" style="9" customWidth="1"/>
    <col min="4" max="4" width="4" style="9" customWidth="1"/>
    <col min="5" max="5" width="8.625" style="9" customWidth="1"/>
    <col min="6" max="6" width="3.625" style="9" customWidth="1"/>
    <col min="7" max="7" width="3.125" style="9" customWidth="1"/>
    <col min="8" max="8" width="12" style="9" customWidth="1"/>
    <col min="9" max="9" width="2.125" style="9" customWidth="1"/>
    <col min="10" max="10" width="9.125" style="9" customWidth="1"/>
    <col min="11" max="11" width="5.25" style="9" customWidth="1"/>
    <col min="12" max="12" width="5.875" style="9" customWidth="1"/>
    <col min="13" max="13" width="3.5" style="9" customWidth="1"/>
    <col min="14" max="14" width="4.25" style="9" customWidth="1"/>
    <col min="15" max="15" width="6.25" style="9" customWidth="1"/>
    <col min="16" max="16" width="4.125" style="9" customWidth="1"/>
    <col min="17" max="17" width="4.625" style="9" customWidth="1"/>
    <col min="18" max="18" width="7.5" style="9" customWidth="1"/>
    <col min="19" max="19" width="3.5" style="9" customWidth="1"/>
    <col min="20" max="20" width="3.625" style="9" customWidth="1"/>
    <col min="21" max="21" width="9.625" style="9" customWidth="1"/>
    <col min="22" max="22" width="4" style="9" customWidth="1"/>
    <col min="23" max="23" width="1.875" style="9" hidden="1" customWidth="1"/>
    <col min="24" max="24" width="27.25" style="9" hidden="1" customWidth="1"/>
    <col min="25" max="25" width="90" style="9" customWidth="1"/>
    <col min="26" max="26" width="66.25" style="9" hidden="1" customWidth="1"/>
    <col min="27" max="27" width="9.375" style="9" hidden="1" customWidth="1"/>
    <col min="28" max="28" width="13.375" style="9" hidden="1" customWidth="1"/>
    <col min="29" max="31" width="9.75" style="9" hidden="1" customWidth="1"/>
    <col min="32" max="32" width="2.75" hidden="1" customWidth="1"/>
  </cols>
  <sheetData>
    <row r="1" spans="2:33" ht="24.75" customHeight="1">
      <c r="B1" s="477" t="s">
        <v>75</v>
      </c>
      <c r="C1" s="477"/>
      <c r="D1" s="477"/>
      <c r="E1" s="29"/>
      <c r="F1" s="13"/>
      <c r="G1" s="13"/>
      <c r="H1" s="13"/>
      <c r="I1" s="13"/>
      <c r="J1" s="480" t="s">
        <v>26</v>
      </c>
      <c r="K1" s="480"/>
      <c r="L1" s="480"/>
      <c r="M1" s="480"/>
      <c r="N1" s="480"/>
      <c r="O1" s="13"/>
      <c r="P1" s="13"/>
      <c r="Q1" s="13"/>
      <c r="R1" s="13"/>
      <c r="S1" s="13"/>
      <c r="T1" s="13"/>
      <c r="U1" s="13"/>
      <c r="V1" s="13"/>
      <c r="W1" s="13"/>
      <c r="X1" s="13"/>
      <c r="Z1" s="186" t="s">
        <v>225</v>
      </c>
    </row>
    <row r="2" spans="2:33">
      <c r="B2" s="477" t="s">
        <v>111</v>
      </c>
      <c r="C2" s="477"/>
      <c r="D2" s="477"/>
      <c r="E2" s="13"/>
      <c r="F2" s="13"/>
      <c r="G2" s="13"/>
      <c r="H2" s="13"/>
      <c r="I2" s="13"/>
      <c r="J2" s="13"/>
      <c r="K2" s="13"/>
      <c r="L2" s="13"/>
      <c r="M2" s="13"/>
      <c r="N2" s="13"/>
      <c r="O2" s="13"/>
      <c r="P2" s="13"/>
      <c r="Q2" s="13"/>
      <c r="R2" s="13"/>
      <c r="S2" s="13"/>
      <c r="T2" s="13"/>
      <c r="U2" s="13"/>
      <c r="V2" s="13"/>
      <c r="W2" s="13"/>
      <c r="X2" s="13"/>
    </row>
    <row r="3" spans="2:33">
      <c r="B3" s="478" t="s">
        <v>27</v>
      </c>
      <c r="C3" s="478"/>
      <c r="D3" s="479">
        <f>団体基本情報入力!D7</f>
        <v>0</v>
      </c>
      <c r="E3" s="479"/>
      <c r="F3" s="479"/>
      <c r="G3" s="479"/>
      <c r="H3" s="479"/>
      <c r="I3" s="479"/>
      <c r="J3" s="479"/>
      <c r="K3" s="479"/>
      <c r="L3" s="30"/>
      <c r="M3" s="30"/>
      <c r="N3" s="13"/>
      <c r="O3" s="13"/>
      <c r="P3" s="13"/>
      <c r="Q3" s="13"/>
      <c r="R3" s="13"/>
      <c r="S3" s="13"/>
      <c r="T3" s="13"/>
      <c r="U3" s="13"/>
      <c r="V3" s="13"/>
      <c r="W3" s="13"/>
      <c r="X3" s="13"/>
    </row>
    <row r="4" spans="2:33" ht="19.5" thickBot="1">
      <c r="B4" s="145" t="s">
        <v>207</v>
      </c>
      <c r="C4" s="145"/>
      <c r="D4" s="145"/>
      <c r="E4" s="145"/>
      <c r="F4" s="145"/>
      <c r="G4" s="145"/>
      <c r="H4" s="145"/>
      <c r="I4" s="145"/>
      <c r="J4" s="13"/>
      <c r="K4" s="13"/>
      <c r="L4" s="13"/>
      <c r="M4" s="13"/>
      <c r="N4" s="13"/>
      <c r="O4" s="13"/>
      <c r="P4" s="13"/>
      <c r="Q4" s="13"/>
      <c r="R4" s="13"/>
      <c r="S4" s="13"/>
      <c r="T4" s="13"/>
      <c r="U4" s="13"/>
      <c r="V4" s="13"/>
      <c r="W4" s="13"/>
      <c r="X4" s="13"/>
    </row>
    <row r="5" spans="2:33" ht="19.5" customHeight="1" thickBot="1">
      <c r="B5" s="419" t="s">
        <v>28</v>
      </c>
      <c r="C5" s="420"/>
      <c r="D5" s="420"/>
      <c r="E5" s="420"/>
      <c r="F5" s="420"/>
      <c r="G5" s="420"/>
      <c r="H5" s="420"/>
      <c r="I5" s="428"/>
      <c r="J5" s="426" t="s">
        <v>29</v>
      </c>
      <c r="K5" s="426"/>
      <c r="L5" s="426"/>
      <c r="M5" s="426"/>
      <c r="N5" s="426"/>
      <c r="O5" s="426"/>
      <c r="P5" s="426"/>
      <c r="Q5" s="427"/>
      <c r="R5" s="339" t="s">
        <v>284</v>
      </c>
      <c r="S5" s="420"/>
      <c r="T5" s="428"/>
      <c r="U5" s="339" t="s">
        <v>286</v>
      </c>
      <c r="V5" s="340"/>
      <c r="W5" s="229"/>
      <c r="X5" s="41"/>
    </row>
    <row r="6" spans="2:33" ht="19.5" thickBot="1">
      <c r="B6" s="423"/>
      <c r="C6" s="424"/>
      <c r="D6" s="424"/>
      <c r="E6" s="424"/>
      <c r="F6" s="424"/>
      <c r="G6" s="424"/>
      <c r="H6" s="424"/>
      <c r="I6" s="430"/>
      <c r="J6" s="426" t="s">
        <v>271</v>
      </c>
      <c r="K6" s="426"/>
      <c r="L6" s="427"/>
      <c r="M6" s="450" t="s">
        <v>147</v>
      </c>
      <c r="N6" s="425" t="s">
        <v>113</v>
      </c>
      <c r="O6" s="426"/>
      <c r="P6" s="426"/>
      <c r="Q6" s="427"/>
      <c r="R6" s="423"/>
      <c r="S6" s="424"/>
      <c r="T6" s="430"/>
      <c r="U6" s="385"/>
      <c r="V6" s="386"/>
      <c r="W6" s="229"/>
      <c r="X6" s="41"/>
    </row>
    <row r="7" spans="2:33" ht="21.95" customHeight="1">
      <c r="B7" s="469" t="s">
        <v>34</v>
      </c>
      <c r="C7" s="470"/>
      <c r="D7" s="470"/>
      <c r="E7" s="470"/>
      <c r="F7" s="470"/>
      <c r="G7" s="470"/>
      <c r="H7" s="470"/>
      <c r="I7" s="471"/>
      <c r="J7" s="472"/>
      <c r="K7" s="472"/>
      <c r="L7" s="473"/>
      <c r="M7" s="451"/>
      <c r="N7" s="474">
        <f>SUMIF(支出入力表!$F$6:$F$1000,1,支出入力表!$M$6:$M$1000)</f>
        <v>0</v>
      </c>
      <c r="O7" s="475"/>
      <c r="P7" s="475"/>
      <c r="Q7" s="476"/>
      <c r="R7" s="474">
        <f>N7-J7</f>
        <v>0</v>
      </c>
      <c r="S7" s="475"/>
      <c r="T7" s="476"/>
      <c r="U7" s="387" t="str">
        <f>_xlfn.IFS(AND(J7=0,N7&gt;0),"皆増",AND(N7=0,J7&gt;0),"皆減",AND(N7=0,J7=0),"計上なし",N7&gt;0,(N7-J7)/J7)</f>
        <v>計上なし</v>
      </c>
      <c r="V7" s="388"/>
      <c r="W7" s="223"/>
      <c r="X7" s="221"/>
    </row>
    <row r="8" spans="2:33" ht="21.95" customHeight="1">
      <c r="B8" s="469" t="s">
        <v>30</v>
      </c>
      <c r="C8" s="470"/>
      <c r="D8" s="470"/>
      <c r="E8" s="470"/>
      <c r="F8" s="470"/>
      <c r="G8" s="470"/>
      <c r="H8" s="470"/>
      <c r="I8" s="471"/>
      <c r="J8" s="467"/>
      <c r="K8" s="467"/>
      <c r="L8" s="468"/>
      <c r="M8" s="451"/>
      <c r="N8" s="483">
        <f>SUMIF(支出入力表!$F$6:$F$1000,2,支出入力表!$M$6:$M$1000)</f>
        <v>0</v>
      </c>
      <c r="O8" s="484"/>
      <c r="P8" s="484"/>
      <c r="Q8" s="485"/>
      <c r="R8" s="483">
        <f>N8-J8</f>
        <v>0</v>
      </c>
      <c r="S8" s="484"/>
      <c r="T8" s="485"/>
      <c r="U8" s="389" t="str">
        <f t="shared" ref="U8:U25" si="0">_xlfn.IFS(AND(J8=0,N8&gt;0),"皆増",AND(N8=0,J8&gt;0),"皆減",AND(N8=0,J8=0),"計上なし",N8&gt;0,(N8-J8)/J8)</f>
        <v>計上なし</v>
      </c>
      <c r="V8" s="390"/>
      <c r="W8" s="223"/>
      <c r="X8" s="221"/>
    </row>
    <row r="9" spans="2:33" ht="21.95" customHeight="1">
      <c r="B9" s="31"/>
      <c r="C9" s="32"/>
      <c r="D9" s="32"/>
      <c r="E9" s="486" t="s">
        <v>31</v>
      </c>
      <c r="F9" s="486"/>
      <c r="G9" s="486"/>
      <c r="H9" s="486"/>
      <c r="I9" s="487"/>
      <c r="J9" s="488">
        <f>SUM(J10:L21)</f>
        <v>0</v>
      </c>
      <c r="K9" s="488"/>
      <c r="L9" s="489"/>
      <c r="M9" s="451"/>
      <c r="N9" s="483">
        <f>SUM(N10:Q22)</f>
        <v>0</v>
      </c>
      <c r="O9" s="484"/>
      <c r="P9" s="484"/>
      <c r="Q9" s="485"/>
      <c r="R9" s="483">
        <f>N9-J9</f>
        <v>0</v>
      </c>
      <c r="S9" s="484"/>
      <c r="T9" s="485"/>
      <c r="U9" s="389" t="str">
        <f t="shared" si="0"/>
        <v>計上なし</v>
      </c>
      <c r="V9" s="390"/>
      <c r="W9" s="223"/>
      <c r="X9" s="221"/>
    </row>
    <row r="10" spans="2:33" ht="21.95" customHeight="1">
      <c r="B10" s="31"/>
      <c r="C10" s="32"/>
      <c r="D10" s="32"/>
      <c r="E10" s="199" t="s">
        <v>216</v>
      </c>
      <c r="F10" s="200"/>
      <c r="G10" s="200"/>
      <c r="H10" s="201">
        <f>AB10</f>
        <v>0</v>
      </c>
      <c r="I10" s="227"/>
      <c r="J10" s="481"/>
      <c r="K10" s="481"/>
      <c r="L10" s="482"/>
      <c r="M10" s="451"/>
      <c r="N10" s="464">
        <f>SUMIF(支出入力表!$F$6:$F$1000,3,支出入力表!$M$6:$M$1000)</f>
        <v>0</v>
      </c>
      <c r="O10" s="465"/>
      <c r="P10" s="465"/>
      <c r="Q10" s="466"/>
      <c r="R10" s="464">
        <f t="shared" ref="R10:R20" si="1">N10-J10</f>
        <v>0</v>
      </c>
      <c r="S10" s="465"/>
      <c r="T10" s="466"/>
      <c r="U10" s="335" t="str">
        <f t="shared" si="0"/>
        <v>計上なし</v>
      </c>
      <c r="V10" s="336"/>
      <c r="W10" s="223"/>
      <c r="X10" s="221"/>
      <c r="Y10" s="176" t="str">
        <f>IF(AF10&gt;0,"←賃金（職員）上限超過"," ")</f>
        <v xml:space="preserve"> </v>
      </c>
      <c r="Z10" s="178" t="s">
        <v>218</v>
      </c>
      <c r="AA10" s="179">
        <f>Q42*1000</f>
        <v>0</v>
      </c>
      <c r="AB10" s="181">
        <f>IF($N$10=0,0,$N$10/$AA$10)</f>
        <v>0</v>
      </c>
      <c r="AC10" s="175" t="str">
        <f>IF(AND(団体基本情報入力!$D$5=プルダウン用リスト!$Q$4,$AB$10&gt;0.25),"※"," ")</f>
        <v xml:space="preserve"> </v>
      </c>
      <c r="AD10" s="175" t="str">
        <f>IF(AND(団体基本情報入力!$D$5=プルダウン用リスト!$Q$5,$AB$10&gt;0.5),"※"," ")</f>
        <v xml:space="preserve"> </v>
      </c>
      <c r="AE10" s="175" t="str">
        <f>IF(AND(団体基本情報入力!$D$5=プルダウン用リスト!$Q$6,$AB$10&gt;0.5),"※"," ")</f>
        <v xml:space="preserve"> </v>
      </c>
      <c r="AF10">
        <f>COUNTIF(AC10:AE10,"※")</f>
        <v>0</v>
      </c>
    </row>
    <row r="11" spans="2:33" ht="21.95" customHeight="1">
      <c r="B11" s="31"/>
      <c r="C11" s="32"/>
      <c r="D11" s="32"/>
      <c r="E11" s="452" t="s">
        <v>202</v>
      </c>
      <c r="F11" s="453"/>
      <c r="G11" s="453"/>
      <c r="H11" s="453"/>
      <c r="I11" s="454"/>
      <c r="J11" s="448"/>
      <c r="K11" s="448"/>
      <c r="L11" s="449"/>
      <c r="M11" s="451"/>
      <c r="N11" s="320">
        <f>SUMIF(支出入力表!$F$6:$F$1000,4,支出入力表!$M$6:$M$1000)</f>
        <v>0</v>
      </c>
      <c r="O11" s="321"/>
      <c r="P11" s="321"/>
      <c r="Q11" s="322"/>
      <c r="R11" s="320">
        <f t="shared" si="1"/>
        <v>0</v>
      </c>
      <c r="S11" s="321"/>
      <c r="T11" s="322"/>
      <c r="U11" s="345" t="str">
        <f t="shared" si="0"/>
        <v>計上なし</v>
      </c>
      <c r="V11" s="346"/>
      <c r="W11" s="223"/>
      <c r="X11" s="221"/>
      <c r="Y11" s="185" t="s">
        <v>223</v>
      </c>
      <c r="Z11" s="178"/>
      <c r="AA11" s="180"/>
      <c r="AB11" s="181"/>
      <c r="AC11" s="175"/>
      <c r="AD11" s="175"/>
      <c r="AE11" s="175"/>
    </row>
    <row r="12" spans="2:33" ht="21.95" customHeight="1">
      <c r="B12" s="31"/>
      <c r="C12" s="32"/>
      <c r="D12" s="32"/>
      <c r="E12" s="458" t="s">
        <v>193</v>
      </c>
      <c r="F12" s="459"/>
      <c r="G12" s="459"/>
      <c r="H12" s="459"/>
      <c r="I12" s="460"/>
      <c r="J12" s="448"/>
      <c r="K12" s="448"/>
      <c r="L12" s="449"/>
      <c r="M12" s="451"/>
      <c r="N12" s="320">
        <f>SUMIF(支出入力表!$F$6:$F$1000,5,支出入力表!$M$6:$M$1000)</f>
        <v>0</v>
      </c>
      <c r="O12" s="321"/>
      <c r="P12" s="321"/>
      <c r="Q12" s="322"/>
      <c r="R12" s="434">
        <f t="shared" si="1"/>
        <v>0</v>
      </c>
      <c r="S12" s="435"/>
      <c r="T12" s="436"/>
      <c r="U12" s="345" t="str">
        <f t="shared" si="0"/>
        <v>計上なし</v>
      </c>
      <c r="V12" s="346"/>
      <c r="W12" s="223"/>
      <c r="X12" s="221"/>
      <c r="Y12" s="9" t="s">
        <v>227</v>
      </c>
      <c r="AC12" s="175"/>
    </row>
    <row r="13" spans="2:33" ht="21.95" customHeight="1">
      <c r="B13" s="31"/>
      <c r="C13" s="32"/>
      <c r="D13" s="32"/>
      <c r="E13" s="452" t="s">
        <v>194</v>
      </c>
      <c r="F13" s="453"/>
      <c r="G13" s="453"/>
      <c r="H13" s="453"/>
      <c r="I13" s="454"/>
      <c r="J13" s="448"/>
      <c r="K13" s="448"/>
      <c r="L13" s="449"/>
      <c r="M13" s="451"/>
      <c r="N13" s="320">
        <f>SUMIF(支出入力表!$F$6:$F$1000,6,支出入力表!$M$6:$M$1000)</f>
        <v>0</v>
      </c>
      <c r="O13" s="321"/>
      <c r="P13" s="321"/>
      <c r="Q13" s="322"/>
      <c r="R13" s="320">
        <f t="shared" si="1"/>
        <v>0</v>
      </c>
      <c r="S13" s="321"/>
      <c r="T13" s="322"/>
      <c r="U13" s="345" t="str">
        <f t="shared" si="0"/>
        <v>計上なし</v>
      </c>
      <c r="V13" s="346"/>
      <c r="W13" s="223"/>
      <c r="X13" s="221"/>
      <c r="Y13" s="187">
        <f>IF(団体基本情報入力!D5=プルダウン用リスト!Q4,M42*0.25*1000,M42*0.5*1000)</f>
        <v>0</v>
      </c>
      <c r="AG13" t="s">
        <v>224</v>
      </c>
    </row>
    <row r="14" spans="2:33" ht="21.95" customHeight="1">
      <c r="B14" s="455"/>
      <c r="C14" s="456"/>
      <c r="D14" s="457"/>
      <c r="E14" s="452" t="s">
        <v>195</v>
      </c>
      <c r="F14" s="453"/>
      <c r="G14" s="453"/>
      <c r="H14" s="453"/>
      <c r="I14" s="454"/>
      <c r="J14" s="448"/>
      <c r="K14" s="448"/>
      <c r="L14" s="449"/>
      <c r="M14" s="451"/>
      <c r="N14" s="320">
        <f>SUMIF(支出入力表!$F$6:$F$1000,7,支出入力表!$M$6:$M$1000)</f>
        <v>0</v>
      </c>
      <c r="O14" s="321"/>
      <c r="P14" s="321"/>
      <c r="Q14" s="322"/>
      <c r="R14" s="320">
        <f t="shared" si="1"/>
        <v>0</v>
      </c>
      <c r="S14" s="321"/>
      <c r="T14" s="322"/>
      <c r="U14" s="345" t="str">
        <f t="shared" si="0"/>
        <v>計上なし</v>
      </c>
      <c r="V14" s="346"/>
      <c r="W14" s="223"/>
      <c r="X14" s="221"/>
      <c r="Y14" s="189" t="s">
        <v>226</v>
      </c>
    </row>
    <row r="15" spans="2:33" ht="21.95" customHeight="1">
      <c r="B15" s="461" t="s">
        <v>104</v>
      </c>
      <c r="C15" s="462"/>
      <c r="D15" s="463"/>
      <c r="E15" s="458" t="s">
        <v>196</v>
      </c>
      <c r="F15" s="459"/>
      <c r="G15" s="459"/>
      <c r="H15" s="459"/>
      <c r="I15" s="460"/>
      <c r="J15" s="448"/>
      <c r="K15" s="448"/>
      <c r="L15" s="449"/>
      <c r="M15" s="451"/>
      <c r="N15" s="320">
        <f>SUMIF(支出入力表!$F$6:$F$1000,8,支出入力表!$M$6:$M$1000)</f>
        <v>0</v>
      </c>
      <c r="O15" s="321"/>
      <c r="P15" s="321"/>
      <c r="Q15" s="322"/>
      <c r="R15" s="434">
        <f t="shared" si="1"/>
        <v>0</v>
      </c>
      <c r="S15" s="435"/>
      <c r="T15" s="436"/>
      <c r="U15" s="345" t="str">
        <f t="shared" si="0"/>
        <v>計上なし</v>
      </c>
      <c r="V15" s="346"/>
      <c r="W15" s="223"/>
      <c r="X15" s="221"/>
      <c r="Y15" s="188"/>
    </row>
    <row r="16" spans="2:33" ht="21.95" customHeight="1">
      <c r="B16" s="31"/>
      <c r="C16" s="32"/>
      <c r="D16" s="32"/>
      <c r="E16" s="452" t="s">
        <v>197</v>
      </c>
      <c r="F16" s="453"/>
      <c r="G16" s="453"/>
      <c r="H16" s="453"/>
      <c r="I16" s="454"/>
      <c r="J16" s="448"/>
      <c r="K16" s="448"/>
      <c r="L16" s="449"/>
      <c r="M16" s="451"/>
      <c r="N16" s="320">
        <f>SUMIF(支出入力表!$F$6:$F$1000,9,支出入力表!$M$6:$M$1000)</f>
        <v>0</v>
      </c>
      <c r="O16" s="321"/>
      <c r="P16" s="321"/>
      <c r="Q16" s="322"/>
      <c r="R16" s="320">
        <f>N16-J16</f>
        <v>0</v>
      </c>
      <c r="S16" s="321"/>
      <c r="T16" s="322"/>
      <c r="U16" s="345" t="str">
        <f t="shared" si="0"/>
        <v>計上なし</v>
      </c>
      <c r="V16" s="346"/>
      <c r="W16" s="223"/>
      <c r="X16" s="221"/>
      <c r="AA16" s="135"/>
    </row>
    <row r="17" spans="2:32" ht="21.95" customHeight="1">
      <c r="B17" s="31"/>
      <c r="C17" s="32"/>
      <c r="D17" s="33"/>
      <c r="E17" s="452" t="s">
        <v>198</v>
      </c>
      <c r="F17" s="453"/>
      <c r="G17" s="453"/>
      <c r="H17" s="453"/>
      <c r="I17" s="454"/>
      <c r="J17" s="448"/>
      <c r="K17" s="448"/>
      <c r="L17" s="449"/>
      <c r="M17" s="451"/>
      <c r="N17" s="320">
        <f>SUMIF(支出入力表!$F$6:$F$1000,10,支出入力表!$M$6:$M$1000)</f>
        <v>0</v>
      </c>
      <c r="O17" s="321"/>
      <c r="P17" s="321"/>
      <c r="Q17" s="322"/>
      <c r="R17" s="320">
        <f t="shared" si="1"/>
        <v>0</v>
      </c>
      <c r="S17" s="321"/>
      <c r="T17" s="322"/>
      <c r="U17" s="345" t="str">
        <f t="shared" si="0"/>
        <v>計上なし</v>
      </c>
      <c r="V17" s="346"/>
      <c r="W17" s="223"/>
      <c r="X17" s="221"/>
      <c r="AA17" s="135"/>
    </row>
    <row r="18" spans="2:32" ht="21.95" customHeight="1">
      <c r="B18" s="31"/>
      <c r="C18" s="32"/>
      <c r="D18" s="33"/>
      <c r="E18" s="452" t="s">
        <v>199</v>
      </c>
      <c r="F18" s="453"/>
      <c r="G18" s="453"/>
      <c r="H18" s="453"/>
      <c r="I18" s="454"/>
      <c r="J18" s="448"/>
      <c r="K18" s="448"/>
      <c r="L18" s="449"/>
      <c r="M18" s="451"/>
      <c r="N18" s="320">
        <f>SUMIF(支出入力表!$F$6:$F$1000,11,支出入力表!$M$6:$M$1000)</f>
        <v>0</v>
      </c>
      <c r="O18" s="321"/>
      <c r="P18" s="321"/>
      <c r="Q18" s="322"/>
      <c r="R18" s="320">
        <f t="shared" si="1"/>
        <v>0</v>
      </c>
      <c r="S18" s="321"/>
      <c r="T18" s="322"/>
      <c r="U18" s="345" t="str">
        <f t="shared" si="0"/>
        <v>計上なし</v>
      </c>
      <c r="V18" s="346"/>
      <c r="W18" s="223"/>
      <c r="X18" s="221"/>
      <c r="AC18" s="28"/>
    </row>
    <row r="19" spans="2:32" ht="21.95" customHeight="1">
      <c r="B19" s="31"/>
      <c r="C19" s="32"/>
      <c r="D19" s="33"/>
      <c r="E19" s="202" t="s">
        <v>217</v>
      </c>
      <c r="F19" s="203"/>
      <c r="G19" s="204"/>
      <c r="H19" s="205">
        <f>IF(N19+N25=0,0%,ROUNDDOWN(N19/N25,3))</f>
        <v>0</v>
      </c>
      <c r="I19" s="228"/>
      <c r="J19" s="448"/>
      <c r="K19" s="448"/>
      <c r="L19" s="449"/>
      <c r="M19" s="451"/>
      <c r="N19" s="320">
        <f>SUMIF(支出入力表!$F$6:$F$1000,12,支出入力表!$M$6:$M$1000)</f>
        <v>0</v>
      </c>
      <c r="O19" s="321"/>
      <c r="P19" s="321"/>
      <c r="Q19" s="322"/>
      <c r="R19" s="320">
        <f t="shared" si="1"/>
        <v>0</v>
      </c>
      <c r="S19" s="321"/>
      <c r="T19" s="322"/>
      <c r="U19" s="345" t="str">
        <f t="shared" si="0"/>
        <v>計上なし</v>
      </c>
      <c r="V19" s="346"/>
      <c r="W19" s="223"/>
      <c r="X19" s="221"/>
      <c r="Y19" s="232" t="str">
        <f>IF(H19&gt;=50%,"←委託費上限超過"," ")</f>
        <v xml:space="preserve"> </v>
      </c>
      <c r="Z19" s="177"/>
      <c r="AA19" s="177"/>
      <c r="AB19" s="177"/>
    </row>
    <row r="20" spans="2:32" ht="21.95" customHeight="1">
      <c r="B20" s="31"/>
      <c r="C20" s="32"/>
      <c r="D20" s="33"/>
      <c r="E20" s="444" t="s">
        <v>200</v>
      </c>
      <c r="F20" s="445"/>
      <c r="G20" s="445"/>
      <c r="H20" s="445"/>
      <c r="I20" s="446"/>
      <c r="J20" s="448"/>
      <c r="K20" s="448"/>
      <c r="L20" s="449"/>
      <c r="M20" s="451"/>
      <c r="N20" s="320">
        <f>SUMIF(支出入力表!$F$6:$F$1000,13,支出入力表!$M$6:$M$1000)</f>
        <v>0</v>
      </c>
      <c r="O20" s="321"/>
      <c r="P20" s="321"/>
      <c r="Q20" s="322"/>
      <c r="R20" s="434">
        <f t="shared" si="1"/>
        <v>0</v>
      </c>
      <c r="S20" s="435"/>
      <c r="T20" s="436"/>
      <c r="U20" s="345" t="str">
        <f t="shared" si="0"/>
        <v>計上なし</v>
      </c>
      <c r="V20" s="346"/>
      <c r="W20" s="223"/>
      <c r="X20" s="221"/>
    </row>
    <row r="21" spans="2:32" ht="21.95" customHeight="1">
      <c r="B21" s="31"/>
      <c r="C21" s="32"/>
      <c r="D21" s="32"/>
      <c r="E21" s="444" t="s">
        <v>201</v>
      </c>
      <c r="F21" s="445"/>
      <c r="G21" s="445"/>
      <c r="H21" s="445"/>
      <c r="I21" s="446"/>
      <c r="J21" s="447"/>
      <c r="K21" s="448"/>
      <c r="L21" s="449"/>
      <c r="M21" s="451"/>
      <c r="N21" s="320">
        <f>SUMIF(支出入力表!$F$6:$F$1000,14,支出入力表!$M$6:$M$1000)</f>
        <v>0</v>
      </c>
      <c r="O21" s="321"/>
      <c r="P21" s="321"/>
      <c r="Q21" s="322"/>
      <c r="R21" s="320">
        <f>N21-J21</f>
        <v>0</v>
      </c>
      <c r="S21" s="321"/>
      <c r="T21" s="322"/>
      <c r="U21" s="345" t="str">
        <f t="shared" si="0"/>
        <v>計上なし</v>
      </c>
      <c r="V21" s="346"/>
      <c r="W21" s="223"/>
      <c r="X21" s="221"/>
    </row>
    <row r="22" spans="2:32" ht="21.95" customHeight="1" thickBot="1">
      <c r="B22" s="31"/>
      <c r="C22" s="32"/>
      <c r="D22" s="32"/>
      <c r="E22" s="317" t="s">
        <v>263</v>
      </c>
      <c r="F22" s="318"/>
      <c r="G22" s="318"/>
      <c r="H22" s="318"/>
      <c r="I22" s="319"/>
      <c r="J22" s="314"/>
      <c r="K22" s="315"/>
      <c r="L22" s="316"/>
      <c r="M22" s="224"/>
      <c r="N22" s="320">
        <f>SUMIF(支出入力表!$F$6:$F$1000,15,支出入力表!$M$6:$M$1000)</f>
        <v>0</v>
      </c>
      <c r="O22" s="321"/>
      <c r="P22" s="321"/>
      <c r="Q22" s="322"/>
      <c r="R22" s="320">
        <f>N22-J22</f>
        <v>0</v>
      </c>
      <c r="S22" s="321"/>
      <c r="T22" s="322"/>
      <c r="U22" s="333" t="str">
        <f t="shared" si="0"/>
        <v>計上なし</v>
      </c>
      <c r="V22" s="334"/>
      <c r="W22" s="223"/>
      <c r="X22" s="223"/>
    </row>
    <row r="23" spans="2:32" ht="25.35" customHeight="1" thickTop="1">
      <c r="B23" s="437" t="s">
        <v>208</v>
      </c>
      <c r="C23" s="438"/>
      <c r="D23" s="438"/>
      <c r="E23" s="439"/>
      <c r="F23" s="439"/>
      <c r="G23" s="439"/>
      <c r="H23" s="439"/>
      <c r="I23" s="440"/>
      <c r="J23" s="441">
        <f>SUM(J7:L9)</f>
        <v>0</v>
      </c>
      <c r="K23" s="441"/>
      <c r="L23" s="442"/>
      <c r="M23" s="409" t="s">
        <v>149</v>
      </c>
      <c r="N23" s="443">
        <f>SUM(N7:Q9)</f>
        <v>0</v>
      </c>
      <c r="O23" s="441"/>
      <c r="P23" s="441"/>
      <c r="Q23" s="442"/>
      <c r="R23" s="443">
        <f>N23-J23</f>
        <v>0</v>
      </c>
      <c r="S23" s="441"/>
      <c r="T23" s="442"/>
      <c r="U23" s="335" t="str">
        <f t="shared" si="0"/>
        <v>計上なし</v>
      </c>
      <c r="V23" s="336"/>
      <c r="W23" s="223"/>
      <c r="X23" s="221"/>
    </row>
    <row r="24" spans="2:32" ht="29.1" customHeight="1" thickBot="1">
      <c r="B24" s="411" t="s">
        <v>148</v>
      </c>
      <c r="C24" s="412"/>
      <c r="D24" s="412"/>
      <c r="E24" s="412"/>
      <c r="F24" s="412"/>
      <c r="G24" s="412"/>
      <c r="H24" s="412"/>
      <c r="I24" s="413"/>
      <c r="J24" s="414"/>
      <c r="K24" s="414"/>
      <c r="L24" s="415"/>
      <c r="M24" s="410"/>
      <c r="N24" s="323">
        <f>SUM(支出入力表!N1001:N1004)</f>
        <v>0</v>
      </c>
      <c r="O24" s="324"/>
      <c r="P24" s="324"/>
      <c r="Q24" s="325"/>
      <c r="R24" s="323">
        <f>N24-J24</f>
        <v>0</v>
      </c>
      <c r="S24" s="324"/>
      <c r="T24" s="325"/>
      <c r="U24" s="333" t="str">
        <f>_xlfn.IFS(AND(J24=0,N24&gt;0),"皆増",AND(N24=0,J24&gt;0),"皆減",AND(N24=0,J24=0),"計上なし",N24&gt;0,(N24-J24)/J24)</f>
        <v>計上なし</v>
      </c>
      <c r="V24" s="334"/>
      <c r="W24" s="223"/>
      <c r="X24" s="221"/>
      <c r="AF24" s="2"/>
    </row>
    <row r="25" spans="2:32" ht="25.35" customHeight="1" thickTop="1" thickBot="1">
      <c r="B25" s="326" t="s">
        <v>126</v>
      </c>
      <c r="C25" s="327"/>
      <c r="D25" s="327"/>
      <c r="E25" s="327"/>
      <c r="F25" s="327"/>
      <c r="G25" s="327"/>
      <c r="H25" s="327"/>
      <c r="I25" s="328"/>
      <c r="J25" s="329">
        <f>SUM(J23:L24)</f>
        <v>0</v>
      </c>
      <c r="K25" s="329"/>
      <c r="L25" s="330"/>
      <c r="M25" s="148" t="s">
        <v>150</v>
      </c>
      <c r="N25" s="408">
        <f>SUM(N23:Q24)</f>
        <v>0</v>
      </c>
      <c r="O25" s="329"/>
      <c r="P25" s="329"/>
      <c r="Q25" s="330"/>
      <c r="R25" s="408">
        <f>N25-J25</f>
        <v>0</v>
      </c>
      <c r="S25" s="329"/>
      <c r="T25" s="330"/>
      <c r="U25" s="337" t="str">
        <f t="shared" si="0"/>
        <v>計上なし</v>
      </c>
      <c r="V25" s="338"/>
      <c r="W25" s="223"/>
      <c r="X25" s="221"/>
      <c r="AC25" s="28"/>
    </row>
    <row r="26" spans="2:32" ht="14.25" customHeight="1">
      <c r="B26" s="490" t="str">
        <f>IF(AF10&gt;0,Z26," ")</f>
        <v xml:space="preserve"> </v>
      </c>
      <c r="C26" s="490"/>
      <c r="D26" s="490"/>
      <c r="E26" s="490"/>
      <c r="F26" s="490"/>
      <c r="G26" s="490"/>
      <c r="H26" s="490"/>
      <c r="I26" s="490"/>
      <c r="J26" s="490"/>
      <c r="K26" s="490"/>
      <c r="L26" s="490"/>
      <c r="M26" s="490"/>
      <c r="N26" s="490"/>
      <c r="O26" s="490"/>
      <c r="P26" s="490"/>
      <c r="Q26" s="490"/>
      <c r="R26" s="490"/>
      <c r="S26" s="490"/>
      <c r="T26" s="490"/>
      <c r="U26" s="490"/>
      <c r="V26" s="490"/>
      <c r="W26" s="183"/>
      <c r="X26" s="221"/>
      <c r="Y26" s="184"/>
      <c r="Z26" s="184" t="str">
        <f>IF(団体基本情報入力!D5=プルダウン用リスト!Q4,プルダウン用リスト!O9,プルダウン用リスト!O13)</f>
        <v>※¹ 3.賃金（職員）について、（E）助成決定額または（F）精算額のどちらか低い金額に対する割合が５０％より大きい場合、超過部分については助成事業対象外となります。</v>
      </c>
      <c r="AC26" s="28"/>
    </row>
    <row r="27" spans="2:32" ht="14.25" customHeight="1">
      <c r="B27" s="491"/>
      <c r="C27" s="491"/>
      <c r="D27" s="491"/>
      <c r="E27" s="491"/>
      <c r="F27" s="491"/>
      <c r="G27" s="491"/>
      <c r="H27" s="491"/>
      <c r="I27" s="491"/>
      <c r="J27" s="491"/>
      <c r="K27" s="491"/>
      <c r="L27" s="491"/>
      <c r="M27" s="491"/>
      <c r="N27" s="491"/>
      <c r="O27" s="491"/>
      <c r="P27" s="491"/>
      <c r="Q27" s="491"/>
      <c r="R27" s="491"/>
      <c r="S27" s="491"/>
      <c r="T27" s="491"/>
      <c r="U27" s="491"/>
      <c r="V27" s="491"/>
      <c r="W27" s="277"/>
      <c r="X27" s="277"/>
      <c r="Y27" s="184"/>
      <c r="Z27" s="184"/>
      <c r="AC27" s="28"/>
    </row>
    <row r="28" spans="2:32" ht="12.75" customHeight="1">
      <c r="B28" s="407" t="str">
        <f>IF(H19&gt;=0.5,Z28," ")</f>
        <v xml:space="preserve"> </v>
      </c>
      <c r="C28" s="407"/>
      <c r="D28" s="407"/>
      <c r="E28" s="407"/>
      <c r="F28" s="407"/>
      <c r="G28" s="407"/>
      <c r="H28" s="407"/>
      <c r="I28" s="407"/>
      <c r="J28" s="407"/>
      <c r="K28" s="407"/>
      <c r="L28" s="407"/>
      <c r="M28" s="407"/>
      <c r="N28" s="407"/>
      <c r="O28" s="407"/>
      <c r="P28" s="407"/>
      <c r="Q28" s="407"/>
      <c r="R28" s="407"/>
      <c r="S28" s="407"/>
      <c r="T28" s="407"/>
      <c r="U28" s="407"/>
      <c r="V28" s="407"/>
      <c r="W28" s="246"/>
      <c r="X28" s="246"/>
      <c r="Y28" s="184"/>
      <c r="Z28" s="184" t="str">
        <f>IF(団体基本情報入力!D5=プルダウン用リスト!Q4,プルダウン用リスト!O14,プルダウン用リスト!O14)</f>
        <v>※² 12.委託費について、（Ａ）総事業費に対する割合が５０％以上の場合、助成事業対象外となります。</v>
      </c>
      <c r="AC28" s="28"/>
    </row>
    <row r="29" spans="2:32" ht="18.75" customHeight="1" thickBot="1">
      <c r="B29" s="147" t="s">
        <v>209</v>
      </c>
      <c r="C29" s="147"/>
      <c r="D29" s="147"/>
      <c r="E29" s="147"/>
      <c r="F29" s="147"/>
      <c r="G29" s="147"/>
      <c r="H29" s="147"/>
      <c r="I29" s="147"/>
      <c r="J29" s="32"/>
      <c r="K29" s="32"/>
      <c r="L29" s="32"/>
      <c r="M29" s="32"/>
      <c r="N29" s="32"/>
      <c r="O29" s="32"/>
      <c r="P29" s="32"/>
      <c r="Q29" s="32"/>
      <c r="R29" s="34"/>
      <c r="S29" s="34"/>
      <c r="T29" s="32"/>
      <c r="U29" s="32"/>
      <c r="V29" s="32"/>
      <c r="W29" s="32"/>
      <c r="X29" s="32"/>
      <c r="Y29" s="184"/>
      <c r="Z29" s="249"/>
    </row>
    <row r="30" spans="2:32" ht="15" customHeight="1" thickBot="1">
      <c r="B30" s="419" t="s">
        <v>28</v>
      </c>
      <c r="C30" s="420"/>
      <c r="D30" s="420"/>
      <c r="E30" s="420"/>
      <c r="F30" s="420"/>
      <c r="G30" s="420"/>
      <c r="H30" s="420"/>
      <c r="I30" s="420"/>
      <c r="J30" s="425" t="s">
        <v>29</v>
      </c>
      <c r="K30" s="426"/>
      <c r="L30" s="426"/>
      <c r="M30" s="426"/>
      <c r="N30" s="426"/>
      <c r="O30" s="426"/>
      <c r="P30" s="426"/>
      <c r="Q30" s="427"/>
      <c r="R30" s="339" t="s">
        <v>284</v>
      </c>
      <c r="S30" s="420"/>
      <c r="T30" s="428"/>
      <c r="U30" s="339" t="s">
        <v>285</v>
      </c>
      <c r="V30" s="340"/>
      <c r="W30" s="45"/>
      <c r="X30" s="220"/>
    </row>
    <row r="31" spans="2:32" ht="9" customHeight="1">
      <c r="B31" s="421"/>
      <c r="C31" s="422"/>
      <c r="D31" s="422"/>
      <c r="E31" s="422"/>
      <c r="F31" s="422"/>
      <c r="G31" s="422"/>
      <c r="H31" s="422"/>
      <c r="I31" s="422"/>
      <c r="J31" s="419" t="s">
        <v>283</v>
      </c>
      <c r="K31" s="420"/>
      <c r="L31" s="428"/>
      <c r="M31" s="416" t="s">
        <v>150</v>
      </c>
      <c r="N31" s="419" t="s">
        <v>113</v>
      </c>
      <c r="O31" s="420"/>
      <c r="P31" s="420"/>
      <c r="Q31" s="428"/>
      <c r="R31" s="421"/>
      <c r="S31" s="422"/>
      <c r="T31" s="429"/>
      <c r="U31" s="341"/>
      <c r="V31" s="342"/>
      <c r="W31" s="45"/>
      <c r="X31" s="220"/>
    </row>
    <row r="32" spans="2:32" ht="15.75" customHeight="1" thickBot="1">
      <c r="B32" s="423"/>
      <c r="C32" s="424"/>
      <c r="D32" s="424"/>
      <c r="E32" s="424"/>
      <c r="F32" s="424"/>
      <c r="G32" s="424"/>
      <c r="H32" s="424"/>
      <c r="I32" s="424"/>
      <c r="J32" s="423"/>
      <c r="K32" s="424"/>
      <c r="L32" s="430"/>
      <c r="M32" s="417"/>
      <c r="N32" s="423"/>
      <c r="O32" s="424"/>
      <c r="P32" s="424"/>
      <c r="Q32" s="430"/>
      <c r="R32" s="423"/>
      <c r="S32" s="424"/>
      <c r="T32" s="430"/>
      <c r="U32" s="341"/>
      <c r="V32" s="342"/>
      <c r="W32" s="45"/>
      <c r="X32" s="220"/>
      <c r="Y32" s="28"/>
      <c r="Z32" s="28"/>
      <c r="AA32" s="28"/>
      <c r="AB32" s="28"/>
    </row>
    <row r="33" spans="1:31" ht="23.1" customHeight="1">
      <c r="B33" s="399" t="s">
        <v>210</v>
      </c>
      <c r="C33" s="400"/>
      <c r="D33" s="400"/>
      <c r="E33" s="400"/>
      <c r="F33" s="400"/>
      <c r="G33" s="400"/>
      <c r="H33" s="400"/>
      <c r="I33" s="400"/>
      <c r="J33" s="401"/>
      <c r="K33" s="402"/>
      <c r="L33" s="403"/>
      <c r="M33" s="417"/>
      <c r="N33" s="404">
        <f>SUMIF(収入入力表!$C$6:$C$200,"助成事業における収入（参加費・利用料等）",収入入力表!$E$6:$E$200)</f>
        <v>0</v>
      </c>
      <c r="O33" s="405"/>
      <c r="P33" s="405"/>
      <c r="Q33" s="406"/>
      <c r="R33" s="404">
        <f>N33-J33</f>
        <v>0</v>
      </c>
      <c r="S33" s="405"/>
      <c r="T33" s="406"/>
      <c r="U33" s="343" t="str">
        <f>_xlfn.IFS(AND(J33=0,N33&gt;0),"皆増",AND(N33=0,J33&gt;0),"皆減",AND(N33=0,J33=0),"計上なし",N33&gt;0,(N33-J33)/J33)</f>
        <v>計上なし</v>
      </c>
      <c r="V33" s="344"/>
      <c r="W33" s="46"/>
      <c r="X33" s="221"/>
    </row>
    <row r="34" spans="1:31" ht="23.1" customHeight="1">
      <c r="B34" s="431" t="s">
        <v>211</v>
      </c>
      <c r="C34" s="432"/>
      <c r="D34" s="432"/>
      <c r="E34" s="432"/>
      <c r="F34" s="432"/>
      <c r="G34" s="432"/>
      <c r="H34" s="432"/>
      <c r="I34" s="433"/>
      <c r="J34" s="349"/>
      <c r="K34" s="350"/>
      <c r="L34" s="351"/>
      <c r="M34" s="417"/>
      <c r="N34" s="404">
        <f>SUMIF(収入入力表!$C$6:$C$200,"利息収入（助成事業専用口座利息）",収入入力表!$E$6:$E$200)</f>
        <v>0</v>
      </c>
      <c r="O34" s="405"/>
      <c r="P34" s="405"/>
      <c r="Q34" s="406"/>
      <c r="R34" s="404">
        <f>N34-J34</f>
        <v>0</v>
      </c>
      <c r="S34" s="405"/>
      <c r="T34" s="406"/>
      <c r="U34" s="345" t="str">
        <f>_xlfn.IFS(AND(J34=0,N34&gt;0),"皆増",AND(N34=0,J34&gt;0),"皆減",AND(N34=0,J34=0),"計上なし",N34&gt;0,(N34-J34)/J34)</f>
        <v>計上なし</v>
      </c>
      <c r="V34" s="346"/>
      <c r="W34" s="46"/>
      <c r="X34" s="221"/>
    </row>
    <row r="35" spans="1:31" ht="23.1" customHeight="1">
      <c r="B35" s="431" t="s">
        <v>33</v>
      </c>
      <c r="C35" s="432"/>
      <c r="D35" s="432"/>
      <c r="E35" s="432"/>
      <c r="F35" s="432"/>
      <c r="G35" s="432"/>
      <c r="H35" s="432"/>
      <c r="I35" s="433"/>
      <c r="J35" s="349"/>
      <c r="K35" s="350"/>
      <c r="L35" s="351"/>
      <c r="M35" s="417"/>
      <c r="N35" s="404">
        <f>SUMIF(収入入力表!$C$6:$C$200,"寄付金・協賛金収入",収入入力表!$E$6:$E$200)</f>
        <v>0</v>
      </c>
      <c r="O35" s="405"/>
      <c r="P35" s="405"/>
      <c r="Q35" s="406"/>
      <c r="R35" s="404">
        <f>N35-J35</f>
        <v>0</v>
      </c>
      <c r="S35" s="405"/>
      <c r="T35" s="406"/>
      <c r="U35" s="345" t="str">
        <f>_xlfn.IFS(AND(J35=0,N35&gt;0),"皆増",AND(N35=0,J35&gt;0),"皆減",AND(N35=0,J35=0),"計上なし",N35&gt;0,(N35-J35)/J35)</f>
        <v>計上なし</v>
      </c>
      <c r="V35" s="346"/>
      <c r="W35" s="46"/>
      <c r="X35" s="221"/>
    </row>
    <row r="36" spans="1:31" ht="23.1" customHeight="1" thickBot="1">
      <c r="B36" s="501" t="s">
        <v>169</v>
      </c>
      <c r="C36" s="502"/>
      <c r="D36" s="502"/>
      <c r="E36" s="502"/>
      <c r="F36" s="502"/>
      <c r="G36" s="502"/>
      <c r="H36" s="502"/>
      <c r="I36" s="502"/>
      <c r="J36" s="503"/>
      <c r="K36" s="504"/>
      <c r="L36" s="505"/>
      <c r="M36" s="417"/>
      <c r="N36" s="404">
        <f>SUMIF(収入入力表!$C$6:$C$200,"一般会計繰入金",収入入力表!$E$6:$E$200)</f>
        <v>0</v>
      </c>
      <c r="O36" s="405"/>
      <c r="P36" s="405"/>
      <c r="Q36" s="406"/>
      <c r="R36" s="404">
        <f>N36-J36</f>
        <v>0</v>
      </c>
      <c r="S36" s="405"/>
      <c r="T36" s="406"/>
      <c r="U36" s="333" t="str">
        <f>_xlfn.IFS(AND(J36=0,N36&gt;0),"皆増",AND(N36=0,J36&gt;0),"皆減",AND(N36=0,J36=0),"計上なし",N36&gt;0,(N36-J36)/J36)</f>
        <v>計上なし</v>
      </c>
      <c r="V36" s="334"/>
      <c r="W36" s="46"/>
      <c r="X36" s="221"/>
    </row>
    <row r="37" spans="1:31" ht="25.35" customHeight="1" thickTop="1" thickBot="1">
      <c r="B37" s="326" t="s">
        <v>295</v>
      </c>
      <c r="C37" s="327"/>
      <c r="D37" s="327"/>
      <c r="E37" s="327"/>
      <c r="F37" s="327"/>
      <c r="G37" s="327"/>
      <c r="H37" s="327"/>
      <c r="I37" s="327"/>
      <c r="J37" s="507">
        <f>SUM(J33:L36)</f>
        <v>0</v>
      </c>
      <c r="K37" s="508"/>
      <c r="L37" s="509"/>
      <c r="M37" s="418"/>
      <c r="N37" s="408">
        <f>SUM(N33:Q36)</f>
        <v>0</v>
      </c>
      <c r="O37" s="329"/>
      <c r="P37" s="329"/>
      <c r="Q37" s="330"/>
      <c r="R37" s="408">
        <f>N37-J37</f>
        <v>0</v>
      </c>
      <c r="S37" s="329"/>
      <c r="T37" s="330"/>
      <c r="U37" s="397" t="str">
        <f>_xlfn.IFS(AND(J37=0,N37&gt;0),"皆増",AND(N37=0,J37&gt;0),"皆減",AND(N37=0,J37=0),"計上なし",N37&gt;0,(N37-J37)/J37)</f>
        <v>計上なし</v>
      </c>
      <c r="V37" s="398"/>
      <c r="W37" s="46"/>
      <c r="X37" s="221"/>
    </row>
    <row r="38" spans="1:31" ht="15.75" customHeight="1">
      <c r="B38" s="347"/>
      <c r="C38" s="347"/>
      <c r="D38" s="347"/>
      <c r="E38" s="347"/>
      <c r="F38" s="347"/>
      <c r="G38" s="347"/>
      <c r="H38" s="347"/>
      <c r="I38" s="347"/>
      <c r="J38" s="347"/>
      <c r="K38" s="347"/>
      <c r="L38" s="347"/>
      <c r="M38" s="347"/>
      <c r="N38" s="506" t="str">
        <f>IF(N24&lt;=N37,"","↑「（Ｂ） 寄付金その他の収入」 が 「（ｂ） 対象外経費」 を下回らないでください。")</f>
        <v/>
      </c>
      <c r="O38" s="506"/>
      <c r="P38" s="506"/>
      <c r="Q38" s="506"/>
      <c r="R38" s="506"/>
      <c r="S38" s="506"/>
      <c r="T38" s="506"/>
      <c r="U38" s="506"/>
      <c r="V38" s="506"/>
      <c r="W38" s="506"/>
      <c r="X38" s="219"/>
    </row>
    <row r="39" spans="1:31" ht="18.600000000000001" customHeight="1" thickBot="1">
      <c r="A39" s="28"/>
      <c r="B39" s="348" t="s">
        <v>212</v>
      </c>
      <c r="C39" s="348"/>
      <c r="D39" s="348"/>
      <c r="E39" s="348"/>
      <c r="F39" s="348"/>
      <c r="G39" s="32"/>
      <c r="H39" s="32"/>
      <c r="I39" s="32"/>
      <c r="J39" s="32"/>
      <c r="K39" s="32"/>
      <c r="L39" s="32"/>
      <c r="M39" s="32"/>
      <c r="N39" s="506"/>
      <c r="O39" s="506"/>
      <c r="P39" s="506"/>
      <c r="Q39" s="506"/>
      <c r="R39" s="506"/>
      <c r="S39" s="506"/>
      <c r="T39" s="506"/>
      <c r="U39" s="506"/>
      <c r="V39" s="506"/>
      <c r="W39" s="506"/>
      <c r="X39" s="219"/>
    </row>
    <row r="40" spans="1:31" ht="20.85" customHeight="1">
      <c r="B40" s="499" t="s">
        <v>121</v>
      </c>
      <c r="C40" s="363"/>
      <c r="D40" s="363"/>
      <c r="E40" s="363" t="s">
        <v>127</v>
      </c>
      <c r="F40" s="363"/>
      <c r="G40" s="363"/>
      <c r="H40" s="363" t="s">
        <v>122</v>
      </c>
      <c r="I40" s="363"/>
      <c r="J40" s="363" t="s">
        <v>132</v>
      </c>
      <c r="K40" s="363"/>
      <c r="L40" s="363"/>
      <c r="M40" s="363" t="s">
        <v>289</v>
      </c>
      <c r="N40" s="363"/>
      <c r="O40" s="363"/>
      <c r="P40" s="363"/>
      <c r="Q40" s="363" t="s">
        <v>288</v>
      </c>
      <c r="R40" s="363"/>
      <c r="S40" s="363"/>
      <c r="T40" s="363" t="s">
        <v>287</v>
      </c>
      <c r="U40" s="363"/>
      <c r="V40" s="364"/>
      <c r="W40" s="42"/>
      <c r="X40" s="42"/>
      <c r="Y40" s="52"/>
      <c r="Z40" s="52"/>
      <c r="AA40" s="52"/>
      <c r="AB40" s="52"/>
      <c r="AC40" s="52"/>
      <c r="AD40" s="52"/>
    </row>
    <row r="41" spans="1:31" ht="28.35" customHeight="1" thickBot="1">
      <c r="B41" s="500"/>
      <c r="C41" s="365"/>
      <c r="D41" s="365"/>
      <c r="E41" s="365"/>
      <c r="F41" s="365"/>
      <c r="G41" s="365"/>
      <c r="H41" s="365"/>
      <c r="I41" s="365"/>
      <c r="J41" s="365"/>
      <c r="K41" s="365"/>
      <c r="L41" s="365"/>
      <c r="M41" s="365"/>
      <c r="N41" s="365"/>
      <c r="O41" s="365"/>
      <c r="P41" s="365"/>
      <c r="Q41" s="365"/>
      <c r="R41" s="365"/>
      <c r="S41" s="365"/>
      <c r="T41" s="365"/>
      <c r="U41" s="365"/>
      <c r="V41" s="366"/>
      <c r="W41" s="42"/>
      <c r="X41" s="42"/>
      <c r="Y41" s="52"/>
      <c r="Z41" s="52"/>
      <c r="AA41" s="52"/>
      <c r="AB41" s="52"/>
      <c r="AC41" s="52"/>
      <c r="AD41" s="52"/>
    </row>
    <row r="42" spans="1:31" ht="35.85" customHeight="1" thickBot="1">
      <c r="B42" s="496">
        <f>N25</f>
        <v>0</v>
      </c>
      <c r="C42" s="497"/>
      <c r="D42" s="240" t="s">
        <v>24</v>
      </c>
      <c r="E42" s="498">
        <f>N37</f>
        <v>0</v>
      </c>
      <c r="F42" s="497"/>
      <c r="G42" s="240" t="s">
        <v>24</v>
      </c>
      <c r="H42" s="241">
        <f>B42-E42</f>
        <v>0</v>
      </c>
      <c r="I42" s="250" t="s">
        <v>24</v>
      </c>
      <c r="J42" s="367">
        <f>ROUNDDOWN(H42/1000,0)</f>
        <v>0</v>
      </c>
      <c r="K42" s="368"/>
      <c r="L42" s="242" t="s">
        <v>290</v>
      </c>
      <c r="M42" s="372">
        <f>団体基本情報入力!D13</f>
        <v>0</v>
      </c>
      <c r="N42" s="373"/>
      <c r="O42" s="373"/>
      <c r="P42" s="244" t="s">
        <v>290</v>
      </c>
      <c r="Q42" s="371">
        <f>IF(J42&gt;M42,M42,J42)</f>
        <v>0</v>
      </c>
      <c r="R42" s="371"/>
      <c r="S42" s="243" t="s">
        <v>290</v>
      </c>
      <c r="T42" s="369">
        <f>M42-Q42</f>
        <v>0</v>
      </c>
      <c r="U42" s="370"/>
      <c r="V42" s="248" t="s">
        <v>290</v>
      </c>
      <c r="W42" s="43"/>
      <c r="X42" s="43"/>
      <c r="AE42" s="28"/>
    </row>
    <row r="43" spans="1:31" ht="21" customHeight="1">
      <c r="B43" s="191" t="s">
        <v>230</v>
      </c>
      <c r="W43" s="13"/>
      <c r="X43" s="13"/>
    </row>
    <row r="44" spans="1:31" ht="19.5" thickBot="1">
      <c r="B44" s="493" t="s">
        <v>231</v>
      </c>
      <c r="C44" s="493"/>
      <c r="D44" s="493"/>
      <c r="E44" s="493"/>
      <c r="F44" s="493"/>
      <c r="G44" s="493"/>
      <c r="H44" s="493"/>
      <c r="I44" s="493"/>
      <c r="J44" s="493"/>
      <c r="K44" s="493"/>
      <c r="L44" s="493"/>
      <c r="M44" s="493"/>
      <c r="N44" s="493"/>
      <c r="O44" s="493"/>
      <c r="P44" s="493"/>
      <c r="Q44" s="493"/>
      <c r="R44" s="493"/>
      <c r="S44" s="493"/>
      <c r="T44" s="493"/>
      <c r="U44" s="222"/>
      <c r="V44" s="230"/>
      <c r="AC44" s="28"/>
    </row>
    <row r="45" spans="1:31" ht="17.100000000000001" customHeight="1">
      <c r="B45" s="354"/>
      <c r="C45" s="355"/>
      <c r="D45" s="355"/>
      <c r="E45" s="355"/>
      <c r="F45" s="355"/>
      <c r="G45" s="355"/>
      <c r="H45" s="355"/>
      <c r="I45" s="355"/>
      <c r="J45" s="355"/>
      <c r="K45" s="355"/>
      <c r="L45" s="355"/>
      <c r="M45" s="355"/>
      <c r="N45" s="355"/>
      <c r="O45" s="355"/>
      <c r="P45" s="355"/>
      <c r="Q45" s="355"/>
      <c r="R45" s="355"/>
      <c r="S45" s="355"/>
      <c r="T45" s="355"/>
      <c r="U45" s="355"/>
      <c r="V45" s="356"/>
    </row>
    <row r="46" spans="1:31" ht="24" customHeight="1">
      <c r="B46" s="357"/>
      <c r="C46" s="358"/>
      <c r="D46" s="358"/>
      <c r="E46" s="358"/>
      <c r="F46" s="358"/>
      <c r="G46" s="358"/>
      <c r="H46" s="358"/>
      <c r="I46" s="358"/>
      <c r="J46" s="358"/>
      <c r="K46" s="358"/>
      <c r="L46" s="358"/>
      <c r="M46" s="358"/>
      <c r="N46" s="358"/>
      <c r="O46" s="358"/>
      <c r="P46" s="358"/>
      <c r="Q46" s="358"/>
      <c r="R46" s="358"/>
      <c r="S46" s="358"/>
      <c r="T46" s="358"/>
      <c r="U46" s="358"/>
      <c r="V46" s="359"/>
      <c r="X46" s="245" t="str">
        <f>IF(AND(Q42&gt;0,B45=""),"←必ず入力してください"," ")</f>
        <v xml:space="preserve"> </v>
      </c>
      <c r="Y46" s="278" t="str">
        <f>IF(AND(T42&gt;0,B45=""),"←必ず入力してください"," ")</f>
        <v xml:space="preserve"> </v>
      </c>
    </row>
    <row r="47" spans="1:31" ht="17.100000000000001" customHeight="1">
      <c r="B47" s="357"/>
      <c r="C47" s="358"/>
      <c r="D47" s="358"/>
      <c r="E47" s="358"/>
      <c r="F47" s="358"/>
      <c r="G47" s="358"/>
      <c r="H47" s="358"/>
      <c r="I47" s="358"/>
      <c r="J47" s="358"/>
      <c r="K47" s="358"/>
      <c r="L47" s="358"/>
      <c r="M47" s="358"/>
      <c r="N47" s="358"/>
      <c r="O47" s="358"/>
      <c r="P47" s="358"/>
      <c r="Q47" s="358"/>
      <c r="R47" s="358"/>
      <c r="S47" s="358"/>
      <c r="T47" s="358"/>
      <c r="U47" s="358"/>
      <c r="V47" s="359"/>
    </row>
    <row r="48" spans="1:31" ht="17.100000000000001" customHeight="1" thickBot="1">
      <c r="B48" s="360"/>
      <c r="C48" s="361"/>
      <c r="D48" s="361"/>
      <c r="E48" s="361"/>
      <c r="F48" s="361"/>
      <c r="G48" s="361"/>
      <c r="H48" s="361"/>
      <c r="I48" s="361"/>
      <c r="J48" s="361"/>
      <c r="K48" s="361"/>
      <c r="L48" s="361"/>
      <c r="M48" s="361"/>
      <c r="N48" s="361"/>
      <c r="O48" s="361"/>
      <c r="P48" s="361"/>
      <c r="Q48" s="361"/>
      <c r="R48" s="361"/>
      <c r="S48" s="361"/>
      <c r="T48" s="361"/>
      <c r="U48" s="361"/>
      <c r="V48" s="362"/>
    </row>
    <row r="49" spans="2:22" ht="34.5" customHeight="1" thickBot="1">
      <c r="B49" s="313" t="s">
        <v>232</v>
      </c>
      <c r="C49" s="313"/>
      <c r="D49" s="313"/>
      <c r="E49" s="313"/>
      <c r="F49" s="313"/>
      <c r="G49" s="313"/>
      <c r="H49" s="313"/>
      <c r="I49" s="313"/>
      <c r="J49" s="313"/>
      <c r="K49" s="313"/>
      <c r="L49" s="313"/>
      <c r="M49" s="313"/>
      <c r="N49" s="313"/>
      <c r="O49" s="313"/>
      <c r="P49" s="313"/>
      <c r="Q49" s="313"/>
      <c r="R49" s="313"/>
      <c r="S49" s="313"/>
    </row>
    <row r="50" spans="2:22" ht="21.75" customHeight="1" thickBot="1">
      <c r="B50" s="383" t="s">
        <v>228</v>
      </c>
      <c r="C50" s="383"/>
      <c r="D50" s="383" t="s">
        <v>229</v>
      </c>
      <c r="E50" s="383"/>
      <c r="F50" s="383"/>
      <c r="G50" s="383" t="s">
        <v>272</v>
      </c>
      <c r="H50" s="383"/>
      <c r="I50" s="383"/>
      <c r="J50" s="380" t="s">
        <v>273</v>
      </c>
      <c r="K50" s="382"/>
      <c r="L50" s="380" t="s">
        <v>274</v>
      </c>
      <c r="M50" s="381"/>
      <c r="N50" s="382"/>
      <c r="O50" s="383" t="s">
        <v>275</v>
      </c>
      <c r="P50" s="383"/>
      <c r="Q50" s="384" t="s">
        <v>276</v>
      </c>
      <c r="R50" s="384"/>
      <c r="S50" s="384" t="s">
        <v>278</v>
      </c>
      <c r="T50" s="384"/>
      <c r="U50" s="307" t="s">
        <v>277</v>
      </c>
      <c r="V50" s="308"/>
    </row>
    <row r="51" spans="2:22">
      <c r="B51" s="494"/>
      <c r="C51" s="375"/>
      <c r="D51" s="305"/>
      <c r="E51" s="305"/>
      <c r="F51" s="305"/>
      <c r="G51" s="305"/>
      <c r="H51" s="305"/>
      <c r="I51" s="305"/>
      <c r="J51" s="393"/>
      <c r="K51" s="393"/>
      <c r="L51" s="331"/>
      <c r="M51" s="332"/>
      <c r="N51" s="235" t="s">
        <v>24</v>
      </c>
      <c r="O51" s="305"/>
      <c r="P51" s="305"/>
      <c r="Q51" s="375"/>
      <c r="R51" s="375"/>
      <c r="S51" s="375"/>
      <c r="T51" s="375"/>
      <c r="U51" s="309"/>
      <c r="V51" s="310"/>
    </row>
    <row r="52" spans="2:22">
      <c r="B52" s="495"/>
      <c r="C52" s="376"/>
      <c r="D52" s="306"/>
      <c r="E52" s="306"/>
      <c r="F52" s="306"/>
      <c r="G52" s="306"/>
      <c r="H52" s="306"/>
      <c r="I52" s="306"/>
      <c r="J52" s="395"/>
      <c r="K52" s="396"/>
      <c r="L52" s="378"/>
      <c r="M52" s="379"/>
      <c r="N52" s="236" t="s">
        <v>24</v>
      </c>
      <c r="O52" s="306"/>
      <c r="P52" s="306"/>
      <c r="Q52" s="376"/>
      <c r="R52" s="376"/>
      <c r="S52" s="376"/>
      <c r="T52" s="376"/>
      <c r="U52" s="311"/>
      <c r="V52" s="312"/>
    </row>
    <row r="53" spans="2:22" ht="19.5" thickBot="1">
      <c r="B53" s="492"/>
      <c r="C53" s="377"/>
      <c r="D53" s="374"/>
      <c r="E53" s="374"/>
      <c r="F53" s="374"/>
      <c r="G53" s="374"/>
      <c r="H53" s="374"/>
      <c r="I53" s="374"/>
      <c r="J53" s="394"/>
      <c r="K53" s="394"/>
      <c r="L53" s="391"/>
      <c r="M53" s="392"/>
      <c r="N53" s="237" t="s">
        <v>24</v>
      </c>
      <c r="O53" s="374"/>
      <c r="P53" s="374"/>
      <c r="Q53" s="377"/>
      <c r="R53" s="377"/>
      <c r="S53" s="377"/>
      <c r="T53" s="377"/>
      <c r="U53" s="352"/>
      <c r="V53" s="353"/>
    </row>
    <row r="54" spans="2:22" ht="6.75" customHeight="1"/>
  </sheetData>
  <sheetProtection algorithmName="SHA-512" hashValue="3b9RtDh3kmUkh4ZwsOu6wL3IARyNbj08M7jeWnRcNJoX4/QlV1pnffVnu5TSM0zWUjnwfpoAWE9nxzmmqf7yGA==" saltValue="0hllIxjvxP4UZP9isG83dA==" spinCount="100000" sheet="1" objects="1" autoFilter="0"/>
  <mergeCells count="197">
    <mergeCell ref="B26:V27"/>
    <mergeCell ref="N25:Q25"/>
    <mergeCell ref="B53:C53"/>
    <mergeCell ref="B44:T44"/>
    <mergeCell ref="B51:C51"/>
    <mergeCell ref="B52:C52"/>
    <mergeCell ref="B50:C50"/>
    <mergeCell ref="J50:K50"/>
    <mergeCell ref="N35:Q35"/>
    <mergeCell ref="B42:C42"/>
    <mergeCell ref="E42:F42"/>
    <mergeCell ref="B40:D41"/>
    <mergeCell ref="E40:G41"/>
    <mergeCell ref="H40:I41"/>
    <mergeCell ref="R35:T35"/>
    <mergeCell ref="B36:I36"/>
    <mergeCell ref="J36:L36"/>
    <mergeCell ref="N36:Q36"/>
    <mergeCell ref="N38:W39"/>
    <mergeCell ref="R36:T36"/>
    <mergeCell ref="B35:I35"/>
    <mergeCell ref="B37:I37"/>
    <mergeCell ref="J37:L37"/>
    <mergeCell ref="N37:Q37"/>
    <mergeCell ref="R37:T37"/>
    <mergeCell ref="E18:I18"/>
    <mergeCell ref="E20:I20"/>
    <mergeCell ref="J20:L20"/>
    <mergeCell ref="N20:Q20"/>
    <mergeCell ref="B1:D1"/>
    <mergeCell ref="B3:C3"/>
    <mergeCell ref="D3:K3"/>
    <mergeCell ref="J1:N1"/>
    <mergeCell ref="B2:D2"/>
    <mergeCell ref="J12:L12"/>
    <mergeCell ref="N12:Q12"/>
    <mergeCell ref="J16:L16"/>
    <mergeCell ref="N16:Q16"/>
    <mergeCell ref="J10:L10"/>
    <mergeCell ref="N10:Q10"/>
    <mergeCell ref="N14:Q14"/>
    <mergeCell ref="N8:Q8"/>
    <mergeCell ref="R8:T8"/>
    <mergeCell ref="E9:I9"/>
    <mergeCell ref="J9:L9"/>
    <mergeCell ref="N9:Q9"/>
    <mergeCell ref="R9:T9"/>
    <mergeCell ref="B8:I8"/>
    <mergeCell ref="J8:L8"/>
    <mergeCell ref="R5:T6"/>
    <mergeCell ref="J6:L6"/>
    <mergeCell ref="N6:Q6"/>
    <mergeCell ref="B7:I7"/>
    <mergeCell ref="J7:L7"/>
    <mergeCell ref="N7:Q7"/>
    <mergeCell ref="R7:T7"/>
    <mergeCell ref="B5:I6"/>
    <mergeCell ref="J5:Q5"/>
    <mergeCell ref="R12:T12"/>
    <mergeCell ref="E13:I13"/>
    <mergeCell ref="J13:L13"/>
    <mergeCell ref="N13:Q13"/>
    <mergeCell ref="R13:T13"/>
    <mergeCell ref="R10:T10"/>
    <mergeCell ref="E11:I11"/>
    <mergeCell ref="J11:L11"/>
    <mergeCell ref="N11:Q11"/>
    <mergeCell ref="R11:T11"/>
    <mergeCell ref="E12:I12"/>
    <mergeCell ref="E17:I17"/>
    <mergeCell ref="J17:L17"/>
    <mergeCell ref="R17:T17"/>
    <mergeCell ref="B14:D14"/>
    <mergeCell ref="E14:I14"/>
    <mergeCell ref="J14:L14"/>
    <mergeCell ref="R14:T14"/>
    <mergeCell ref="E15:I15"/>
    <mergeCell ref="J15:L15"/>
    <mergeCell ref="N15:Q15"/>
    <mergeCell ref="R15:T15"/>
    <mergeCell ref="B15:D15"/>
    <mergeCell ref="N17:Q17"/>
    <mergeCell ref="J31:L32"/>
    <mergeCell ref="N31:Q32"/>
    <mergeCell ref="B34:I34"/>
    <mergeCell ref="J34:L34"/>
    <mergeCell ref="N34:Q34"/>
    <mergeCell ref="R34:T34"/>
    <mergeCell ref="R20:T20"/>
    <mergeCell ref="B23:I23"/>
    <mergeCell ref="J23:L23"/>
    <mergeCell ref="N23:Q23"/>
    <mergeCell ref="R23:T23"/>
    <mergeCell ref="E21:I21"/>
    <mergeCell ref="R21:T21"/>
    <mergeCell ref="N21:Q21"/>
    <mergeCell ref="J21:L21"/>
    <mergeCell ref="M6:M21"/>
    <mergeCell ref="J18:L18"/>
    <mergeCell ref="N18:Q18"/>
    <mergeCell ref="R18:T18"/>
    <mergeCell ref="J19:L19"/>
    <mergeCell ref="N19:Q19"/>
    <mergeCell ref="R19:T19"/>
    <mergeCell ref="E16:I16"/>
    <mergeCell ref="R16:T16"/>
    <mergeCell ref="U37:V37"/>
    <mergeCell ref="B33:I33"/>
    <mergeCell ref="J33:L33"/>
    <mergeCell ref="N33:Q33"/>
    <mergeCell ref="U15:V15"/>
    <mergeCell ref="U16:V16"/>
    <mergeCell ref="U17:V17"/>
    <mergeCell ref="U18:V18"/>
    <mergeCell ref="U19:V19"/>
    <mergeCell ref="U20:V20"/>
    <mergeCell ref="U21:V21"/>
    <mergeCell ref="U36:V36"/>
    <mergeCell ref="B28:V28"/>
    <mergeCell ref="R25:T25"/>
    <mergeCell ref="R33:T33"/>
    <mergeCell ref="M23:M24"/>
    <mergeCell ref="B24:I24"/>
    <mergeCell ref="J24:L24"/>
    <mergeCell ref="N24:Q24"/>
    <mergeCell ref="R22:T22"/>
    <mergeCell ref="M31:M37"/>
    <mergeCell ref="B30:I32"/>
    <mergeCell ref="J30:Q30"/>
    <mergeCell ref="R30:T32"/>
    <mergeCell ref="L53:M53"/>
    <mergeCell ref="D51:F51"/>
    <mergeCell ref="G51:I51"/>
    <mergeCell ref="J51:K51"/>
    <mergeCell ref="D52:F52"/>
    <mergeCell ref="G52:I52"/>
    <mergeCell ref="D53:F53"/>
    <mergeCell ref="G53:I53"/>
    <mergeCell ref="J53:K53"/>
    <mergeCell ref="J52:K52"/>
    <mergeCell ref="U5:V6"/>
    <mergeCell ref="U7:V7"/>
    <mergeCell ref="U8:V8"/>
    <mergeCell ref="U9:V9"/>
    <mergeCell ref="U10:V10"/>
    <mergeCell ref="U11:V11"/>
    <mergeCell ref="U12:V12"/>
    <mergeCell ref="U13:V13"/>
    <mergeCell ref="U14:V14"/>
    <mergeCell ref="U53:V53"/>
    <mergeCell ref="B45:V48"/>
    <mergeCell ref="T40:V41"/>
    <mergeCell ref="Q40:S41"/>
    <mergeCell ref="M40:P41"/>
    <mergeCell ref="J40:L41"/>
    <mergeCell ref="J42:K42"/>
    <mergeCell ref="T42:U42"/>
    <mergeCell ref="Q42:R42"/>
    <mergeCell ref="M42:O42"/>
    <mergeCell ref="O53:P53"/>
    <mergeCell ref="Q51:R51"/>
    <mergeCell ref="Q52:R52"/>
    <mergeCell ref="Q53:R53"/>
    <mergeCell ref="S51:T51"/>
    <mergeCell ref="S52:T52"/>
    <mergeCell ref="S53:T53"/>
    <mergeCell ref="L52:M52"/>
    <mergeCell ref="L50:N50"/>
    <mergeCell ref="O50:P50"/>
    <mergeCell ref="D50:F50"/>
    <mergeCell ref="G50:I50"/>
    <mergeCell ref="Q50:R50"/>
    <mergeCell ref="S50:T50"/>
    <mergeCell ref="O51:P51"/>
    <mergeCell ref="O52:P52"/>
    <mergeCell ref="U50:V50"/>
    <mergeCell ref="U51:V51"/>
    <mergeCell ref="U52:V52"/>
    <mergeCell ref="B49:S49"/>
    <mergeCell ref="J22:L22"/>
    <mergeCell ref="E22:I22"/>
    <mergeCell ref="N22:Q22"/>
    <mergeCell ref="R24:T24"/>
    <mergeCell ref="B25:I25"/>
    <mergeCell ref="J25:L25"/>
    <mergeCell ref="L51:M51"/>
    <mergeCell ref="U22:V22"/>
    <mergeCell ref="U23:V23"/>
    <mergeCell ref="U24:V24"/>
    <mergeCell ref="U25:V25"/>
    <mergeCell ref="U30:V32"/>
    <mergeCell ref="U33:V33"/>
    <mergeCell ref="U34:V34"/>
    <mergeCell ref="U35:V35"/>
    <mergeCell ref="B38:M38"/>
    <mergeCell ref="B39:F39"/>
    <mergeCell ref="J35:L35"/>
  </mergeCells>
  <phoneticPr fontId="4"/>
  <conditionalFormatting sqref="J7:L8 J10:L20 J24:L24 J21:J22 J33:L36">
    <cfRule type="cellIs" dxfId="19" priority="30" operator="equal">
      <formula>""</formula>
    </cfRule>
  </conditionalFormatting>
  <conditionalFormatting sqref="N33:Q36">
    <cfRule type="cellIs" dxfId="18" priority="29" operator="equal">
      <formula>""</formula>
    </cfRule>
  </conditionalFormatting>
  <conditionalFormatting sqref="N38">
    <cfRule type="cellIs" dxfId="17" priority="24" operator="lessThan">
      <formula>$N$24</formula>
    </cfRule>
  </conditionalFormatting>
  <conditionalFormatting sqref="N37:Q37">
    <cfRule type="expression" dxfId="16" priority="21">
      <formula>NOT(N38="")</formula>
    </cfRule>
  </conditionalFormatting>
  <conditionalFormatting sqref="J10:L10">
    <cfRule type="expression" priority="19">
      <formula>$H$10&gt;50</formula>
    </cfRule>
  </conditionalFormatting>
  <conditionalFormatting sqref="H10">
    <cfRule type="expression" dxfId="15" priority="8">
      <formula>$AF$10&gt;0</formula>
    </cfRule>
  </conditionalFormatting>
  <conditionalFormatting sqref="H19">
    <cfRule type="cellIs" dxfId="14" priority="11" operator="greaterThanOrEqual">
      <formula>0.5</formula>
    </cfRule>
  </conditionalFormatting>
  <conditionalFormatting sqref="AB10:AB11">
    <cfRule type="expression" dxfId="13" priority="10">
      <formula>$AF$10&gt;0</formula>
    </cfRule>
  </conditionalFormatting>
  <conditionalFormatting sqref="N10:Q10">
    <cfRule type="expression" dxfId="12" priority="5">
      <formula>$AF$10&gt;=0.5</formula>
    </cfRule>
    <cfRule type="expression" dxfId="11" priority="6">
      <formula>$AF$12&gt;0</formula>
    </cfRule>
  </conditionalFormatting>
  <conditionalFormatting sqref="N19:Q19">
    <cfRule type="expression" dxfId="10" priority="4">
      <formula>$H$19&gt;=0.5</formula>
    </cfRule>
  </conditionalFormatting>
  <conditionalFormatting sqref="B51:B52 D51:D52 G51:G52 J51:J52 L51:L52 O51:O52 Q51:Q52 S51:S52 U51:U53">
    <cfRule type="cellIs" dxfId="9" priority="3" operator="equal">
      <formula>""</formula>
    </cfRule>
  </conditionalFormatting>
  <conditionalFormatting sqref="B45">
    <cfRule type="expression" dxfId="8" priority="2">
      <formula>AND(T42&gt;0,B45="")</formula>
    </cfRule>
  </conditionalFormatting>
  <conditionalFormatting sqref="O53 B53 D53 G53 J53 L53 Q53 S53">
    <cfRule type="cellIs" dxfId="7" priority="1" operator="equal">
      <formula>""</formula>
    </cfRule>
  </conditionalFormatting>
  <dataValidations xWindow="445" yWindow="364" count="2">
    <dataValidation allowBlank="1" showErrorMessage="1" sqref="N24:Q24" xr:uid="{00000000-0002-0000-0800-000000000000}"/>
    <dataValidation allowBlank="1" showInputMessage="1" showErrorMessage="1" promptTitle="助成決定時の予算額" prompt="ご応募時の「助成金額調書」にご記載の金額をご入力ください。_x000a__x000a_「助成金申請書兼請求書」のご提出時（４～５月頃）に、_x000a_予算を変更された場合は、ご変更後の金額となります。_x000a__x000a_事業期中に予算を変更しても、その金額を入力しないでください。" sqref="J7:L8 J24:L24 J33:L36 J10:J22 K10:L21" xr:uid="{8EFAA2A9-823B-404D-850C-7A1A76EE6AA9}"/>
  </dataValidations>
  <hyperlinks>
    <hyperlink ref="B1:D1" location="メニュー画面!B5" display="メニュー画面へ" xr:uid="{00000000-0004-0000-0800-000000000000}"/>
    <hyperlink ref="B2:D2" location="支出入力表!B5" display="支出入力表へ" xr:uid="{00000000-0004-0000-0800-000001000000}"/>
  </hyperlinks>
  <pageMargins left="0.7" right="0.7" top="0.75" bottom="0.75" header="0.3" footer="0.3"/>
  <pageSetup paperSize="9" scale="44"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165"/>
  <sheetViews>
    <sheetView showGridLines="0" view="pageBreakPreview" topLeftCell="A4" zoomScale="80" zoomScaleNormal="100" zoomScaleSheetLayoutView="80" workbookViewId="0">
      <selection activeCell="K16" sqref="K16"/>
    </sheetView>
  </sheetViews>
  <sheetFormatPr defaultRowHeight="18.75"/>
  <cols>
    <col min="1" max="1" width="2.125" style="9" customWidth="1"/>
    <col min="2" max="2" width="19" style="9" bestFit="1" customWidth="1"/>
    <col min="3" max="3" width="2.125" style="9" customWidth="1"/>
    <col min="4" max="4" width="16.625" style="9" customWidth="1"/>
    <col min="5" max="5" width="13.125" style="9" customWidth="1"/>
    <col min="6" max="6" width="3.625" style="9" customWidth="1"/>
    <col min="7" max="7" width="13.125" style="9" customWidth="1"/>
    <col min="8" max="8" width="3.625" style="9" customWidth="1"/>
    <col min="9" max="9" width="13.125" style="9" customWidth="1"/>
    <col min="10" max="10" width="3.625" style="9" customWidth="1"/>
    <col min="11" max="11" width="2.125" style="9" customWidth="1"/>
    <col min="12" max="17" width="8.625" style="9"/>
  </cols>
  <sheetData>
    <row r="1" spans="1:16" ht="36.6" customHeight="1">
      <c r="B1" s="149" t="s">
        <v>75</v>
      </c>
      <c r="C1" s="57"/>
      <c r="D1" s="284" t="s">
        <v>168</v>
      </c>
      <c r="E1" s="284"/>
      <c r="F1" s="284"/>
      <c r="G1" s="284"/>
      <c r="H1" s="284"/>
      <c r="I1" s="284"/>
      <c r="J1" s="284"/>
    </row>
    <row r="2" spans="1:16" ht="27.6" customHeight="1">
      <c r="B2" s="149" t="s">
        <v>105</v>
      </c>
      <c r="C2" s="47"/>
      <c r="D2" s="150" t="s">
        <v>112</v>
      </c>
      <c r="E2" s="479">
        <f>団体基本情報入力!D7</f>
        <v>0</v>
      </c>
      <c r="F2" s="479"/>
      <c r="G2" s="479"/>
      <c r="H2" s="479"/>
      <c r="I2" s="13"/>
      <c r="J2" s="13"/>
    </row>
    <row r="3" spans="1:16" ht="11.1" customHeight="1" thickBot="1">
      <c r="B3" s="13"/>
      <c r="C3" s="13"/>
      <c r="D3" s="48"/>
      <c r="E3" s="48"/>
      <c r="F3" s="48"/>
      <c r="G3" s="48"/>
      <c r="H3" s="48"/>
      <c r="I3" s="13"/>
      <c r="J3" s="34"/>
    </row>
    <row r="4" spans="1:16" ht="19.5" thickBot="1">
      <c r="B4" s="163" t="s">
        <v>234</v>
      </c>
      <c r="C4" s="517" t="s">
        <v>28</v>
      </c>
      <c r="D4" s="517"/>
      <c r="E4" s="516" t="s">
        <v>43</v>
      </c>
      <c r="F4" s="516"/>
      <c r="G4" s="517" t="s">
        <v>213</v>
      </c>
      <c r="H4" s="517"/>
      <c r="I4" s="517" t="s">
        <v>214</v>
      </c>
      <c r="J4" s="518"/>
      <c r="K4" s="28"/>
      <c r="M4" s="28"/>
    </row>
    <row r="5" spans="1:16">
      <c r="A5" s="49"/>
      <c r="B5" s="79">
        <f>団体基本情報入力!$B$15</f>
        <v>1</v>
      </c>
      <c r="C5" s="80" t="s">
        <v>49</v>
      </c>
      <c r="D5" s="81" t="s">
        <v>0</v>
      </c>
      <c r="E5" s="82">
        <f>SUMIFS(支出入力表!$L$6:$L$1000,支出入力表!$C$6:$C$1000,"1",支出入力表!$F$6:$F$1000,"1")</f>
        <v>0</v>
      </c>
      <c r="F5" s="83" t="s">
        <v>45</v>
      </c>
      <c r="G5" s="82">
        <f>SUMIFS(支出入力表!$M$6:$M$1000,支出入力表!$C$6:$C$1000,"1",支出入力表!$F$6:$F$1000,"1")</f>
        <v>0</v>
      </c>
      <c r="H5" s="83" t="s">
        <v>45</v>
      </c>
      <c r="I5" s="82">
        <f>SUMIFS(支出入力表!$N$6:$N$1000,支出入力表!$C$6:$C$1000,"1",支出入力表!$F$6:$F$1000,"1")</f>
        <v>0</v>
      </c>
      <c r="J5" s="136" t="s">
        <v>45</v>
      </c>
      <c r="K5" s="28"/>
      <c r="M5" s="28"/>
      <c r="N5" s="28"/>
    </row>
    <row r="6" spans="1:16">
      <c r="A6" s="50"/>
      <c r="B6" s="79">
        <f>団体基本情報入力!$B$15</f>
        <v>1</v>
      </c>
      <c r="C6" s="85" t="s">
        <v>50</v>
      </c>
      <c r="D6" s="86" t="s">
        <v>2</v>
      </c>
      <c r="E6" s="87">
        <f>SUMIFS(支出入力表!$L$6:$L$1000,支出入力表!$C$6:$C$1000,"1",支出入力表!$F$6:$F$1000,"2")</f>
        <v>0</v>
      </c>
      <c r="F6" s="88" t="s">
        <v>46</v>
      </c>
      <c r="G6" s="87">
        <f>SUMIFS(支出入力表!$M$6:$M$1000,支出入力表!$C$6:$C$1000,"1",支出入力表!$F$6:$F$1000,"2")</f>
        <v>0</v>
      </c>
      <c r="H6" s="88" t="s">
        <v>46</v>
      </c>
      <c r="I6" s="87">
        <f>SUMIFS(支出入力表!$N$6:$N$1000,支出入力表!$C$6:$C$1000,"1",支出入力表!$F$6:$F$1000,"2")</f>
        <v>0</v>
      </c>
      <c r="J6" s="137" t="s">
        <v>46</v>
      </c>
      <c r="K6" s="28"/>
      <c r="M6" s="28"/>
      <c r="N6" s="28"/>
    </row>
    <row r="7" spans="1:16">
      <c r="A7" s="50"/>
      <c r="B7" s="79">
        <f>団体基本情報入力!$B$15</f>
        <v>1</v>
      </c>
      <c r="C7" s="85" t="s">
        <v>51</v>
      </c>
      <c r="D7" s="86" t="s">
        <v>191</v>
      </c>
      <c r="E7" s="87">
        <f>SUMIFS(支出入力表!$L$6:$L$1000,支出入力表!$C$6:$C$1000,"1",支出入力表!$F$6:$F$1000,"3")</f>
        <v>0</v>
      </c>
      <c r="F7" s="88" t="s">
        <v>46</v>
      </c>
      <c r="G7" s="87">
        <f>SUMIFS(支出入力表!$M$6:$M$1000,支出入力表!$C$6:$C$1000,"1",支出入力表!$F$6:$F$1000,"3")</f>
        <v>0</v>
      </c>
      <c r="H7" s="88" t="s">
        <v>46</v>
      </c>
      <c r="I7" s="87">
        <f>SUMIFS(支出入力表!$N$6:$N$1000,支出入力表!$C$6:$C$1000,"1",支出入力表!$F$6:$F$1000,"3")</f>
        <v>0</v>
      </c>
      <c r="J7" s="137" t="s">
        <v>46</v>
      </c>
      <c r="K7" s="28"/>
      <c r="M7" s="28"/>
      <c r="N7" s="28"/>
    </row>
    <row r="8" spans="1:16">
      <c r="A8" s="50"/>
      <c r="B8" s="79">
        <f>団体基本情報入力!$B$15</f>
        <v>1</v>
      </c>
      <c r="C8" s="85" t="s">
        <v>52</v>
      </c>
      <c r="D8" s="86" t="s">
        <v>192</v>
      </c>
      <c r="E8" s="87">
        <f>SUMIFS(支出入力表!$L$6:$L$1000,支出入力表!$C$6:$C$1000,"1",支出入力表!$F$6:$F$1000,"4")</f>
        <v>0</v>
      </c>
      <c r="F8" s="88" t="s">
        <v>46</v>
      </c>
      <c r="G8" s="87">
        <f>SUMIFS(支出入力表!$M$6:$M$1000,支出入力表!$C$6:$C$1000,"1",支出入力表!$F$6:$F$1000,"4")</f>
        <v>0</v>
      </c>
      <c r="H8" s="88" t="s">
        <v>46</v>
      </c>
      <c r="I8" s="87">
        <f>SUMIFS(支出入力表!$N$6:$N$1000,支出入力表!$C$6:$C$1000,"1",支出入力表!$F$6:$F$1000,"4")</f>
        <v>0</v>
      </c>
      <c r="J8" s="137" t="s">
        <v>46</v>
      </c>
      <c r="K8" s="28"/>
      <c r="M8" s="28"/>
      <c r="N8" s="28"/>
      <c r="P8" s="28"/>
    </row>
    <row r="9" spans="1:16">
      <c r="A9" s="50"/>
      <c r="B9" s="79">
        <f>団体基本情報入力!$B$15</f>
        <v>1</v>
      </c>
      <c r="C9" s="85" t="s">
        <v>53</v>
      </c>
      <c r="D9" s="86" t="s">
        <v>10</v>
      </c>
      <c r="E9" s="87">
        <f>SUMIFS(支出入力表!$L$6:$L$1000,支出入力表!$C$6:$C$1000,"1",支出入力表!$F$6:$F$1000,"5")</f>
        <v>0</v>
      </c>
      <c r="F9" s="88" t="s">
        <v>46</v>
      </c>
      <c r="G9" s="87">
        <f>SUMIFS(支出入力表!$M$6:$M$1000,支出入力表!$C$6:$C$1000,"1",支出入力表!$F$6:$F$1000,"5")</f>
        <v>0</v>
      </c>
      <c r="H9" s="88" t="s">
        <v>46</v>
      </c>
      <c r="I9" s="87">
        <f>SUMIFS(支出入力表!$N$6:$N$1000,支出入力表!$C$6:$C$1000,"1",支出入力表!$F$6:$F$1000,"5")</f>
        <v>0</v>
      </c>
      <c r="J9" s="137" t="s">
        <v>46</v>
      </c>
      <c r="K9" s="28"/>
      <c r="M9" s="28"/>
      <c r="N9" s="28"/>
      <c r="O9" s="28"/>
    </row>
    <row r="10" spans="1:16">
      <c r="A10" s="50"/>
      <c r="B10" s="79">
        <f>団体基本情報入力!$B$15</f>
        <v>1</v>
      </c>
      <c r="C10" s="85" t="s">
        <v>54</v>
      </c>
      <c r="D10" s="86" t="s">
        <v>3</v>
      </c>
      <c r="E10" s="87">
        <f>SUMIFS(支出入力表!$L$6:$L$1000,支出入力表!$C$6:$C$1000,"1",支出入力表!$F$6:$F$1000,"6")</f>
        <v>0</v>
      </c>
      <c r="F10" s="88" t="s">
        <v>46</v>
      </c>
      <c r="G10" s="87">
        <f>SUMIFS(支出入力表!$M$6:$M$1000,支出入力表!$C$6:$C$1000,"1",支出入力表!$F$6:$F$1000,"6")</f>
        <v>0</v>
      </c>
      <c r="H10" s="88" t="s">
        <v>46</v>
      </c>
      <c r="I10" s="87">
        <f>SUMIFS(支出入力表!$N$6:$N$1000,支出入力表!$C$6:$C$1000,"1",支出入力表!$F$6:$F$1000,"6")</f>
        <v>0</v>
      </c>
      <c r="J10" s="137" t="s">
        <v>46</v>
      </c>
      <c r="K10" s="28"/>
      <c r="L10" s="28"/>
      <c r="M10" s="28"/>
      <c r="N10" s="28"/>
    </row>
    <row r="11" spans="1:16">
      <c r="A11" s="50"/>
      <c r="B11" s="79">
        <f>団体基本情報入力!$B$15</f>
        <v>1</v>
      </c>
      <c r="C11" s="85" t="s">
        <v>55</v>
      </c>
      <c r="D11" s="86" t="s">
        <v>7</v>
      </c>
      <c r="E11" s="87">
        <f>SUMIFS(支出入力表!$L$6:$L$1000,支出入力表!$C$6:$C$1000,"1",支出入力表!$F$6:$F$1000,"7")</f>
        <v>0</v>
      </c>
      <c r="F11" s="88" t="s">
        <v>46</v>
      </c>
      <c r="G11" s="87">
        <f>SUMIFS(支出入力表!$M$6:$M$1000,支出入力表!$C$6:$C$1000,"1",支出入力表!$F$6:$F$1000,"7")</f>
        <v>0</v>
      </c>
      <c r="H11" s="88" t="s">
        <v>46</v>
      </c>
      <c r="I11" s="87">
        <f>SUMIFS(支出入力表!$N$6:$N$1000,支出入力表!$C$6:$C$1000,"1",支出入力表!$F$6:$F$1000,"7")</f>
        <v>0</v>
      </c>
      <c r="J11" s="137" t="s">
        <v>46</v>
      </c>
      <c r="K11" s="28"/>
      <c r="M11" s="28"/>
      <c r="N11" s="28"/>
    </row>
    <row r="12" spans="1:16">
      <c r="A12" s="50"/>
      <c r="B12" s="79">
        <f>団体基本情報入力!$B$15</f>
        <v>1</v>
      </c>
      <c r="C12" s="85" t="s">
        <v>56</v>
      </c>
      <c r="D12" s="86" t="s">
        <v>1</v>
      </c>
      <c r="E12" s="87">
        <f>SUMIFS(支出入力表!$L$6:$L$1000,支出入力表!$C$6:$C$1000,"1",支出入力表!$F$6:$F$1000,"8")</f>
        <v>0</v>
      </c>
      <c r="F12" s="88" t="s">
        <v>46</v>
      </c>
      <c r="G12" s="87">
        <f>SUMIFS(支出入力表!$M$6:$M$1000,支出入力表!$C$6:$C$1000,"1",支出入力表!$F$6:$F$1000,"8")</f>
        <v>0</v>
      </c>
      <c r="H12" s="88" t="s">
        <v>46</v>
      </c>
      <c r="I12" s="87">
        <f>SUMIFS(支出入力表!$N$6:$N$1000,支出入力表!$C$6:$C$1000,"1",支出入力表!$F$6:$F$1000,"8")</f>
        <v>0</v>
      </c>
      <c r="J12" s="137" t="s">
        <v>46</v>
      </c>
      <c r="K12" s="28"/>
      <c r="M12" s="28"/>
      <c r="N12" s="28"/>
    </row>
    <row r="13" spans="1:16">
      <c r="A13" s="50"/>
      <c r="B13" s="79">
        <f>団体基本情報入力!$B$15</f>
        <v>1</v>
      </c>
      <c r="C13" s="85" t="s">
        <v>57</v>
      </c>
      <c r="D13" s="86" t="s">
        <v>4</v>
      </c>
      <c r="E13" s="87">
        <f>SUMIFS(支出入力表!$L$6:$L$1000,支出入力表!$C$6:$C$1000,"1",支出入力表!$F$6:$F$1000,"9")</f>
        <v>0</v>
      </c>
      <c r="F13" s="88" t="s">
        <v>46</v>
      </c>
      <c r="G13" s="87">
        <f>SUMIFS(支出入力表!$M$6:$M$1000,支出入力表!$C$6:$C$1000,"1",支出入力表!$F$6:$F$1000,"9")</f>
        <v>0</v>
      </c>
      <c r="H13" s="88" t="s">
        <v>46</v>
      </c>
      <c r="I13" s="87">
        <f>SUMIFS(支出入力表!$N$6:$N$1000,支出入力表!$C$6:$C$1000,"1",支出入力表!$F$6:$F$1000,"9")</f>
        <v>0</v>
      </c>
      <c r="J13" s="137" t="s">
        <v>46</v>
      </c>
      <c r="K13" s="28"/>
      <c r="M13" s="28"/>
      <c r="N13" s="28"/>
    </row>
    <row r="14" spans="1:16">
      <c r="A14" s="50"/>
      <c r="B14" s="79">
        <f>団体基本情報入力!$B$15</f>
        <v>1</v>
      </c>
      <c r="C14" s="85" t="s">
        <v>58</v>
      </c>
      <c r="D14" s="86" t="s">
        <v>8</v>
      </c>
      <c r="E14" s="87">
        <f>SUMIFS(支出入力表!$L$6:$L$1000,支出入力表!$C$6:$C$1000,"1",支出入力表!$F$6:$F$1000,"10")</f>
        <v>0</v>
      </c>
      <c r="F14" s="88" t="s">
        <v>46</v>
      </c>
      <c r="G14" s="87">
        <f>SUMIFS(支出入力表!$M$6:$M$1000,支出入力表!$C$6:$C$1000,"1",支出入力表!$F$6:$F$1000,"10")</f>
        <v>0</v>
      </c>
      <c r="H14" s="88" t="s">
        <v>46</v>
      </c>
      <c r="I14" s="87">
        <f>SUMIFS(支出入力表!$N$6:$N$1000,支出入力表!$C$6:$C$1000,"1",支出入力表!$F$6:$F$1000,"10")</f>
        <v>0</v>
      </c>
      <c r="J14" s="137" t="s">
        <v>46</v>
      </c>
      <c r="K14" s="28"/>
      <c r="M14" s="28"/>
      <c r="N14" s="28"/>
    </row>
    <row r="15" spans="1:16">
      <c r="A15" s="50"/>
      <c r="B15" s="79">
        <f>団体基本情報入力!$B$15</f>
        <v>1</v>
      </c>
      <c r="C15" s="85" t="s">
        <v>59</v>
      </c>
      <c r="D15" s="86" t="s">
        <v>11</v>
      </c>
      <c r="E15" s="87">
        <f>SUMIFS(支出入力表!$L$6:$L$1000,支出入力表!$C$6:$C$1000,"1",支出入力表!$F$6:$F$1000,"11")</f>
        <v>0</v>
      </c>
      <c r="F15" s="88" t="s">
        <v>46</v>
      </c>
      <c r="G15" s="87">
        <f>SUMIFS(支出入力表!$M$6:$M$1000,支出入力表!$C$6:$C$1000,"1",支出入力表!$F$6:$F$1000,"11")</f>
        <v>0</v>
      </c>
      <c r="H15" s="88" t="s">
        <v>46</v>
      </c>
      <c r="I15" s="87">
        <f>SUMIFS(支出入力表!$N$6:$N$1000,支出入力表!$C$6:$C$1000,"1",支出入力表!$F$6:$F$1000,"11")</f>
        <v>0</v>
      </c>
      <c r="J15" s="137" t="s">
        <v>46</v>
      </c>
      <c r="K15" s="28"/>
      <c r="M15" s="28"/>
      <c r="N15" s="28"/>
    </row>
    <row r="16" spans="1:16">
      <c r="A16" s="50"/>
      <c r="B16" s="79">
        <f>団体基本情報入力!$B$15</f>
        <v>1</v>
      </c>
      <c r="C16" s="85" t="s">
        <v>60</v>
      </c>
      <c r="D16" s="86" t="s">
        <v>12</v>
      </c>
      <c r="E16" s="87">
        <f>SUMIFS(支出入力表!$L$6:$L$1000,支出入力表!$C$6:$C$1000,"1",支出入力表!$F$6:$F$1000,"12")</f>
        <v>0</v>
      </c>
      <c r="F16" s="88" t="s">
        <v>46</v>
      </c>
      <c r="G16" s="87">
        <f>SUMIFS(支出入力表!$M$6:$M$1000,支出入力表!$C$6:$C$1000,"1",支出入力表!$F$6:$F$1000,"12")</f>
        <v>0</v>
      </c>
      <c r="H16" s="88" t="s">
        <v>46</v>
      </c>
      <c r="I16" s="87">
        <f>SUMIFS(支出入力表!$N$6:$N$1000,支出入力表!$C$6:$C$1000,"1",支出入力表!$F$6:$F$1000,"12")</f>
        <v>0</v>
      </c>
      <c r="J16" s="137" t="s">
        <v>46</v>
      </c>
      <c r="K16" s="28"/>
      <c r="M16" s="28"/>
      <c r="N16" s="28"/>
    </row>
    <row r="17" spans="1:15">
      <c r="A17" s="50"/>
      <c r="B17" s="79">
        <f>団体基本情報入力!$B$15</f>
        <v>1</v>
      </c>
      <c r="C17" s="85" t="s">
        <v>61</v>
      </c>
      <c r="D17" s="86" t="s">
        <v>9</v>
      </c>
      <c r="E17" s="87">
        <f>SUMIFS(支出入力表!$L$6:$L$1000,支出入力表!$C$6:$C$1000,"1",支出入力表!$F$6:$F$1000,"13")</f>
        <v>0</v>
      </c>
      <c r="F17" s="88" t="s">
        <v>46</v>
      </c>
      <c r="G17" s="87">
        <f>SUMIFS(支出入力表!$M$6:$M$1000,支出入力表!$C$6:$C$1000,"1",支出入力表!$F$6:$F$1000,"13")</f>
        <v>0</v>
      </c>
      <c r="H17" s="88" t="s">
        <v>46</v>
      </c>
      <c r="I17" s="87">
        <f>SUMIFS(支出入力表!$N$6:$N$1000,支出入力表!$C$6:$C$1000,"1",支出入力表!$F$6:$F$1000,"13")</f>
        <v>0</v>
      </c>
      <c r="J17" s="137" t="s">
        <v>46</v>
      </c>
      <c r="K17" s="28"/>
      <c r="M17" s="28"/>
      <c r="N17" s="28"/>
    </row>
    <row r="18" spans="1:15">
      <c r="A18" s="50"/>
      <c r="B18" s="79">
        <f>団体基本情報入力!$B$15</f>
        <v>1</v>
      </c>
      <c r="C18" s="85" t="s">
        <v>47</v>
      </c>
      <c r="D18" s="86" t="s">
        <v>5</v>
      </c>
      <c r="E18" s="87">
        <f>SUMIFS(支出入力表!$L$6:$L$1000,支出入力表!$C$6:$C$1000,"1",支出入力表!$F$6:$F$1000,"14")</f>
        <v>0</v>
      </c>
      <c r="F18" s="88" t="s">
        <v>46</v>
      </c>
      <c r="G18" s="87">
        <f>SUMIFS(支出入力表!$M$6:$M$1000,支出入力表!$C$6:$C$1000,"1",支出入力表!$F$6:$F$1000,"14")</f>
        <v>0</v>
      </c>
      <c r="H18" s="88" t="s">
        <v>46</v>
      </c>
      <c r="I18" s="87">
        <f>SUMIFS(支出入力表!$N$6:$N$1000,支出入力表!$C$6:$C$1000,"1",支出入力表!$F$6:$F$1000,"14")</f>
        <v>0</v>
      </c>
      <c r="J18" s="137" t="s">
        <v>46</v>
      </c>
      <c r="K18" s="28"/>
      <c r="M18" s="28"/>
      <c r="N18" s="28"/>
    </row>
    <row r="19" spans="1:15" ht="19.5" thickBot="1">
      <c r="A19" s="50"/>
      <c r="B19" s="79">
        <f>団体基本情報入力!$B$15</f>
        <v>1</v>
      </c>
      <c r="C19" s="91" t="s">
        <v>106</v>
      </c>
      <c r="D19" s="92" t="s">
        <v>103</v>
      </c>
      <c r="E19" s="93">
        <f>SUMIFS(支出入力表!$L$6:$L$1000,支出入力表!$C$6:$C$1000,"1",支出入力表!$F$6:$F$1000,"15")</f>
        <v>0</v>
      </c>
      <c r="F19" s="94" t="s">
        <v>24</v>
      </c>
      <c r="G19" s="108" t="s">
        <v>107</v>
      </c>
      <c r="H19" s="94" t="s">
        <v>24</v>
      </c>
      <c r="I19" s="93">
        <f>SUMIFS(支出入力表!$N$6:$N$1000,支出入力表!$C$6:$C$1000,"1",支出入力表!$F$6:$F$1000,"15")</f>
        <v>0</v>
      </c>
      <c r="J19" s="138" t="s">
        <v>24</v>
      </c>
      <c r="K19" s="28"/>
      <c r="M19" s="28"/>
      <c r="N19" s="28"/>
    </row>
    <row r="20" spans="1:15" ht="19.5" thickTop="1">
      <c r="A20" s="50"/>
      <c r="B20" s="110">
        <f>団体基本情報入力!$B$15</f>
        <v>1</v>
      </c>
      <c r="C20" s="514" t="s">
        <v>170</v>
      </c>
      <c r="D20" s="515"/>
      <c r="E20" s="111">
        <f>SUM(E5:E19)</f>
        <v>0</v>
      </c>
      <c r="F20" s="112" t="s">
        <v>46</v>
      </c>
      <c r="G20" s="111">
        <f>SUM(G5:G19)</f>
        <v>0</v>
      </c>
      <c r="H20" s="112" t="s">
        <v>46</v>
      </c>
      <c r="I20" s="111">
        <f>SUM(I5:I19)</f>
        <v>0</v>
      </c>
      <c r="J20" s="139" t="s">
        <v>46</v>
      </c>
      <c r="K20" s="28"/>
      <c r="M20" s="28"/>
      <c r="N20" s="28"/>
    </row>
    <row r="21" spans="1:15">
      <c r="A21" s="49"/>
      <c r="B21" s="79">
        <f>団体基本情報入力!$B$16</f>
        <v>2</v>
      </c>
      <c r="C21" s="95" t="s">
        <v>49</v>
      </c>
      <c r="D21" s="96" t="s">
        <v>0</v>
      </c>
      <c r="E21" s="97">
        <f>SUMIFS(支出入力表!$L$6:$L$1000,支出入力表!$C$6:$C$1000,"2",支出入力表!$F$6:$F$1000,"1")</f>
        <v>0</v>
      </c>
      <c r="F21" s="98" t="s">
        <v>46</v>
      </c>
      <c r="G21" s="97">
        <f>SUMIFS(支出入力表!$M$6:$M$1000,支出入力表!$C$6:$C$1000,"2",支出入力表!$F$6:$F$1000,"1")</f>
        <v>0</v>
      </c>
      <c r="H21" s="98" t="s">
        <v>46</v>
      </c>
      <c r="I21" s="97">
        <f>SUMIFS(支出入力表!$N$6:$N$1000,支出入力表!$C$6:$C$1000,"2",支出入力表!$F$6:$F$1000,"1")</f>
        <v>0</v>
      </c>
      <c r="J21" s="140" t="s">
        <v>46</v>
      </c>
      <c r="K21" s="28"/>
      <c r="M21" s="28"/>
      <c r="N21" s="28"/>
    </row>
    <row r="22" spans="1:15">
      <c r="A22" s="50"/>
      <c r="B22" s="84">
        <f>団体基本情報入力!$B$16</f>
        <v>2</v>
      </c>
      <c r="C22" s="85" t="s">
        <v>83</v>
      </c>
      <c r="D22" s="86" t="s">
        <v>2</v>
      </c>
      <c r="E22" s="87">
        <f>SUMIFS(支出入力表!$L$6:$L$1000,支出入力表!$C$6:$C$1000,"2",支出入力表!$F$6:$F$1000,"2")</f>
        <v>0</v>
      </c>
      <c r="F22" s="88" t="s">
        <v>46</v>
      </c>
      <c r="G22" s="87">
        <f>SUMIFS(支出入力表!$M$6:$M$1000,支出入力表!$C$6:$C$1000,"2",支出入力表!$F$6:$F$1000,"2")</f>
        <v>0</v>
      </c>
      <c r="H22" s="88" t="s">
        <v>46</v>
      </c>
      <c r="I22" s="87">
        <f>SUMIFS(支出入力表!$N$6:$N$1000,支出入力表!$C$6:$C$1000,"2",支出入力表!$F$6:$F$1000,"2")</f>
        <v>0</v>
      </c>
      <c r="J22" s="137" t="s">
        <v>46</v>
      </c>
      <c r="K22" s="28"/>
      <c r="M22" s="28"/>
      <c r="N22" s="28"/>
    </row>
    <row r="23" spans="1:15">
      <c r="A23" s="50"/>
      <c r="B23" s="84">
        <f>団体基本情報入力!$B$16</f>
        <v>2</v>
      </c>
      <c r="C23" s="85" t="s">
        <v>51</v>
      </c>
      <c r="D23" s="86" t="s">
        <v>191</v>
      </c>
      <c r="E23" s="87">
        <f>SUMIFS(支出入力表!$L$6:$L$1000,支出入力表!$C$6:$C$1000,"2",支出入力表!$F$6:$F$1000,"3")</f>
        <v>0</v>
      </c>
      <c r="F23" s="88" t="s">
        <v>46</v>
      </c>
      <c r="G23" s="87">
        <f>SUMIFS(支出入力表!$M$6:$M$1000,支出入力表!$C$6:$C$1000,"2",支出入力表!$F$6:$F$1000,"3")</f>
        <v>0</v>
      </c>
      <c r="H23" s="88" t="s">
        <v>46</v>
      </c>
      <c r="I23" s="87">
        <f>SUMIFS(支出入力表!$N$6:$N$1000,支出入力表!$C$6:$C$1000,"2",支出入力表!$F$6:$F$1000,"3")</f>
        <v>0</v>
      </c>
      <c r="J23" s="137" t="s">
        <v>46</v>
      </c>
      <c r="K23" s="28"/>
      <c r="M23" s="28"/>
      <c r="N23" s="28"/>
    </row>
    <row r="24" spans="1:15">
      <c r="A24" s="50"/>
      <c r="B24" s="84">
        <f>団体基本情報入力!$B$16</f>
        <v>2</v>
      </c>
      <c r="C24" s="85" t="s">
        <v>84</v>
      </c>
      <c r="D24" s="86" t="s">
        <v>192</v>
      </c>
      <c r="E24" s="87">
        <f>SUMIFS(支出入力表!$L$6:$L$1000,支出入力表!$C$6:$C$1000,"2",支出入力表!$F$6:$F$1000,"4")</f>
        <v>0</v>
      </c>
      <c r="F24" s="88" t="s">
        <v>46</v>
      </c>
      <c r="G24" s="87">
        <f>SUMIFS(支出入力表!$M$6:$M$1000,支出入力表!$C$6:$C$1000,"2",支出入力表!$F$6:$F$1000,"4")</f>
        <v>0</v>
      </c>
      <c r="H24" s="88" t="s">
        <v>46</v>
      </c>
      <c r="I24" s="87">
        <f>SUMIFS(支出入力表!$N$6:$N$1000,支出入力表!$C$6:$C$1000,"2",支出入力表!$F$6:$F$1000,"4")</f>
        <v>0</v>
      </c>
      <c r="J24" s="137" t="s">
        <v>46</v>
      </c>
      <c r="K24" s="28"/>
      <c r="M24" s="28"/>
      <c r="N24" s="28"/>
    </row>
    <row r="25" spans="1:15">
      <c r="A25" s="50"/>
      <c r="B25" s="84">
        <f>団体基本情報入力!$B$16</f>
        <v>2</v>
      </c>
      <c r="C25" s="85" t="s">
        <v>85</v>
      </c>
      <c r="D25" s="86" t="s">
        <v>10</v>
      </c>
      <c r="E25" s="87">
        <f>SUMIFS(支出入力表!$L$6:$L$1000,支出入力表!$C$6:$C$1000,"2",支出入力表!$F$6:$F$1000,"5")</f>
        <v>0</v>
      </c>
      <c r="F25" s="88" t="s">
        <v>46</v>
      </c>
      <c r="G25" s="87">
        <f>SUMIFS(支出入力表!$M$6:$M$1000,支出入力表!$C$6:$C$1000,"2",支出入力表!$F$6:$F$1000,"5")</f>
        <v>0</v>
      </c>
      <c r="H25" s="88" t="s">
        <v>46</v>
      </c>
      <c r="I25" s="87">
        <f>SUMIFS(支出入力表!$N$6:$N$1000,支出入力表!$C$6:$C$1000,"2",支出入力表!$F$6:$F$1000,"5")</f>
        <v>0</v>
      </c>
      <c r="J25" s="137" t="s">
        <v>46</v>
      </c>
      <c r="K25" s="28"/>
      <c r="M25" s="28"/>
      <c r="N25" s="28"/>
      <c r="O25" s="28"/>
    </row>
    <row r="26" spans="1:15">
      <c r="A26" s="50"/>
      <c r="B26" s="84">
        <f>団体基本情報入力!$B$16</f>
        <v>2</v>
      </c>
      <c r="C26" s="85" t="s">
        <v>86</v>
      </c>
      <c r="D26" s="86" t="s">
        <v>3</v>
      </c>
      <c r="E26" s="87">
        <f>SUMIFS(支出入力表!$L$6:$L$1000,支出入力表!$C$6:$C$1000,"2",支出入力表!$F$6:$F$1000,"6")</f>
        <v>0</v>
      </c>
      <c r="F26" s="88" t="s">
        <v>46</v>
      </c>
      <c r="G26" s="87">
        <f>SUMIFS(支出入力表!$M$6:$M$1000,支出入力表!$C$6:$C$1000,"2",支出入力表!$F$6:$F$1000,"6")</f>
        <v>0</v>
      </c>
      <c r="H26" s="88" t="s">
        <v>46</v>
      </c>
      <c r="I26" s="87">
        <f>SUMIFS(支出入力表!$N$6:$N$1000,支出入力表!$C$6:$C$1000,"2",支出入力表!$F$6:$F$1000,"6")</f>
        <v>0</v>
      </c>
      <c r="J26" s="137" t="s">
        <v>46</v>
      </c>
      <c r="K26" s="28"/>
      <c r="M26" s="28"/>
      <c r="N26" s="28"/>
    </row>
    <row r="27" spans="1:15">
      <c r="A27" s="50"/>
      <c r="B27" s="84">
        <f>団体基本情報入力!$B$16</f>
        <v>2</v>
      </c>
      <c r="C27" s="85" t="s">
        <v>87</v>
      </c>
      <c r="D27" s="86" t="s">
        <v>7</v>
      </c>
      <c r="E27" s="87">
        <f>SUMIFS(支出入力表!$L$6:$L$1000,支出入力表!$C$6:$C$1000,"2",支出入力表!$F$6:$F$1000,"7")</f>
        <v>0</v>
      </c>
      <c r="F27" s="88" t="s">
        <v>46</v>
      </c>
      <c r="G27" s="87">
        <f>SUMIFS(支出入力表!$M$6:$M$1000,支出入力表!$C$6:$C$1000,"2",支出入力表!$F$6:$F$1000,"7")</f>
        <v>0</v>
      </c>
      <c r="H27" s="88" t="s">
        <v>46</v>
      </c>
      <c r="I27" s="87">
        <f>SUMIFS(支出入力表!$N$6:$N$1000,支出入力表!$C$6:$C$1000,"2",支出入力表!$F$6:$F$1000,"7")</f>
        <v>0</v>
      </c>
      <c r="J27" s="137" t="s">
        <v>46</v>
      </c>
      <c r="K27" s="28"/>
      <c r="M27" s="28"/>
      <c r="N27" s="28"/>
    </row>
    <row r="28" spans="1:15">
      <c r="A28" s="50"/>
      <c r="B28" s="84">
        <f>団体基本情報入力!$B$16</f>
        <v>2</v>
      </c>
      <c r="C28" s="85" t="s">
        <v>88</v>
      </c>
      <c r="D28" s="86" t="s">
        <v>1</v>
      </c>
      <c r="E28" s="87">
        <f>SUMIFS(支出入力表!$L$6:$L$1000,支出入力表!$C$6:$C$1000,"2",支出入力表!$F$6:$F$1000,"8")</f>
        <v>0</v>
      </c>
      <c r="F28" s="88" t="s">
        <v>46</v>
      </c>
      <c r="G28" s="87">
        <f>SUMIFS(支出入力表!$M$6:$M$1000,支出入力表!$C$6:$C$1000,"2",支出入力表!$F$6:$F$1000,"8")</f>
        <v>0</v>
      </c>
      <c r="H28" s="88" t="s">
        <v>46</v>
      </c>
      <c r="I28" s="87">
        <f>SUMIFS(支出入力表!$N$6:$N$1000,支出入力表!$C$6:$C$1000,"2",支出入力表!$F$6:$F$1000,"8")</f>
        <v>0</v>
      </c>
      <c r="J28" s="137" t="s">
        <v>46</v>
      </c>
      <c r="K28" s="28"/>
      <c r="M28" s="28"/>
      <c r="N28" s="28"/>
    </row>
    <row r="29" spans="1:15">
      <c r="A29" s="50"/>
      <c r="B29" s="84">
        <f>団体基本情報入力!$B$16</f>
        <v>2</v>
      </c>
      <c r="C29" s="85" t="s">
        <v>89</v>
      </c>
      <c r="D29" s="86" t="s">
        <v>4</v>
      </c>
      <c r="E29" s="87">
        <f>SUMIFS(支出入力表!$L$6:$L$1000,支出入力表!$C$6:$C$1000,"2",支出入力表!$F$6:$F$1000,"9")</f>
        <v>0</v>
      </c>
      <c r="F29" s="88" t="s">
        <v>46</v>
      </c>
      <c r="G29" s="87">
        <f>SUMIFS(支出入力表!$M$6:$M$1000,支出入力表!$C$6:$C$1000,"2",支出入力表!$F$6:$F$1000,"9")</f>
        <v>0</v>
      </c>
      <c r="H29" s="88" t="s">
        <v>46</v>
      </c>
      <c r="I29" s="87">
        <f>SUMIFS(支出入力表!$N$6:$N$1000,支出入力表!$C$6:$C$1000,"2",支出入力表!$F$6:$F$1000,"9")</f>
        <v>0</v>
      </c>
      <c r="J29" s="137" t="s">
        <v>46</v>
      </c>
      <c r="K29" s="28"/>
      <c r="M29" s="28"/>
      <c r="N29" s="28"/>
    </row>
    <row r="30" spans="1:15">
      <c r="A30" s="50"/>
      <c r="B30" s="84">
        <f>団体基本情報入力!$B$16</f>
        <v>2</v>
      </c>
      <c r="C30" s="85" t="s">
        <v>90</v>
      </c>
      <c r="D30" s="86" t="s">
        <v>8</v>
      </c>
      <c r="E30" s="87">
        <f>SUMIFS(支出入力表!$L$6:$L$1000,支出入力表!$C$6:$C$1000,"2",支出入力表!$F$6:$F$1000,"10")</f>
        <v>0</v>
      </c>
      <c r="F30" s="88" t="s">
        <v>46</v>
      </c>
      <c r="G30" s="87">
        <f>SUMIFS(支出入力表!$M$6:$M$1000,支出入力表!$C$6:$C$1000,"2",支出入力表!$F$6:$F$1000,"10")</f>
        <v>0</v>
      </c>
      <c r="H30" s="88" t="s">
        <v>46</v>
      </c>
      <c r="I30" s="87">
        <f>SUMIFS(支出入力表!$N$6:$N$1000,支出入力表!$C$6:$C$1000,"2",支出入力表!$F$6:$F$1000,"10")</f>
        <v>0</v>
      </c>
      <c r="J30" s="137" t="s">
        <v>46</v>
      </c>
      <c r="K30" s="28"/>
      <c r="M30" s="28"/>
      <c r="N30" s="28"/>
    </row>
    <row r="31" spans="1:15">
      <c r="A31" s="50"/>
      <c r="B31" s="84">
        <f>団体基本情報入力!$B$16</f>
        <v>2</v>
      </c>
      <c r="C31" s="85" t="s">
        <v>91</v>
      </c>
      <c r="D31" s="86" t="s">
        <v>11</v>
      </c>
      <c r="E31" s="87">
        <f>SUMIFS(支出入力表!$L$6:$L$1000,支出入力表!$C$6:$C$1000,"2",支出入力表!$F$6:$F$1000,"11")</f>
        <v>0</v>
      </c>
      <c r="F31" s="88" t="s">
        <v>45</v>
      </c>
      <c r="G31" s="87">
        <f>SUMIFS(支出入力表!$M$6:$M$1000,支出入力表!$C$6:$C$1000,"2",支出入力表!$F$6:$F$1000,"11")</f>
        <v>0</v>
      </c>
      <c r="H31" s="88" t="s">
        <v>45</v>
      </c>
      <c r="I31" s="87">
        <f>SUMIFS(支出入力表!$N$6:$N$1000,支出入力表!$C$6:$C$1000,"2",支出入力表!$F$6:$F$1000,"11")</f>
        <v>0</v>
      </c>
      <c r="J31" s="137" t="s">
        <v>45</v>
      </c>
      <c r="K31" s="28"/>
      <c r="M31" s="28"/>
    </row>
    <row r="32" spans="1:15">
      <c r="A32" s="50"/>
      <c r="B32" s="84">
        <f>団体基本情報入力!$B$16</f>
        <v>2</v>
      </c>
      <c r="C32" s="85" t="s">
        <v>92</v>
      </c>
      <c r="D32" s="86" t="s">
        <v>12</v>
      </c>
      <c r="E32" s="87">
        <f>SUMIFS(支出入力表!$L$6:$L$1000,支出入力表!$C$6:$C$1000,"2",支出入力表!$F$6:$F$1000,"12")</f>
        <v>0</v>
      </c>
      <c r="F32" s="88" t="s">
        <v>24</v>
      </c>
      <c r="G32" s="87">
        <f>SUMIFS(支出入力表!$M$6:$M$1000,支出入力表!$C$6:$C$1000,"2",支出入力表!$F$6:$F$1000,"12")</f>
        <v>0</v>
      </c>
      <c r="H32" s="88" t="s">
        <v>24</v>
      </c>
      <c r="I32" s="87">
        <f>SUMIFS(支出入力表!$N$6:$N$1000,支出入力表!$C$6:$C$1000,"2",支出入力表!$F$6:$F$1000,"12")</f>
        <v>0</v>
      </c>
      <c r="J32" s="137" t="s">
        <v>24</v>
      </c>
      <c r="K32" s="28"/>
      <c r="M32" s="28"/>
      <c r="N32" s="28"/>
    </row>
    <row r="33" spans="1:15">
      <c r="A33" s="50"/>
      <c r="B33" s="84">
        <f>団体基本情報入力!$B$16</f>
        <v>2</v>
      </c>
      <c r="C33" s="85" t="s">
        <v>93</v>
      </c>
      <c r="D33" s="86" t="s">
        <v>9</v>
      </c>
      <c r="E33" s="87">
        <f>SUMIFS(支出入力表!$L$6:$L$1000,支出入力表!$C$6:$C$1000,"2",支出入力表!$F$6:$F$1000,"13")</f>
        <v>0</v>
      </c>
      <c r="F33" s="88" t="s">
        <v>24</v>
      </c>
      <c r="G33" s="87">
        <f>SUMIFS(支出入力表!$M$6:$M$1000,支出入力表!$C$6:$C$1000,"2",支出入力表!$F$6:$F$1000,"13")</f>
        <v>0</v>
      </c>
      <c r="H33" s="88" t="s">
        <v>24</v>
      </c>
      <c r="I33" s="87">
        <f>SUMIFS(支出入力表!$N$6:$N$1000,支出入力表!$C$6:$C$1000,"2",支出入力表!$F$6:$F$1000,"13")</f>
        <v>0</v>
      </c>
      <c r="J33" s="137" t="s">
        <v>24</v>
      </c>
      <c r="K33" s="28"/>
      <c r="M33" s="28"/>
    </row>
    <row r="34" spans="1:15">
      <c r="A34" s="50"/>
      <c r="B34" s="89">
        <f>団体基本情報入力!$B$16</f>
        <v>2</v>
      </c>
      <c r="C34" s="85" t="s">
        <v>48</v>
      </c>
      <c r="D34" s="86" t="s">
        <v>5</v>
      </c>
      <c r="E34" s="87">
        <f>SUMIFS(支出入力表!$L$6:$L$1000,支出入力表!$C$6:$C$1000,"2",支出入力表!$F$6:$F$1000,"14")</f>
        <v>0</v>
      </c>
      <c r="F34" s="88" t="s">
        <v>24</v>
      </c>
      <c r="G34" s="87">
        <f>SUMIFS(支出入力表!$M$6:$M$1000,支出入力表!$C$6:$C$1000,"2",支出入力表!$F$6:$F$1000,"14")</f>
        <v>0</v>
      </c>
      <c r="H34" s="88" t="s">
        <v>24</v>
      </c>
      <c r="I34" s="87">
        <f>SUMIFS(支出入力表!$N$6:$N$1000,支出入力表!$C$6:$C$1000,"2",支出入力表!$F$6:$F$1000,"14")</f>
        <v>0</v>
      </c>
      <c r="J34" s="137" t="s">
        <v>24</v>
      </c>
      <c r="K34" s="28"/>
      <c r="M34" s="28"/>
    </row>
    <row r="35" spans="1:15" ht="19.5" thickBot="1">
      <c r="A35" s="50"/>
      <c r="B35" s="90">
        <f>団体基本情報入力!$B$16</f>
        <v>2</v>
      </c>
      <c r="C35" s="91" t="s">
        <v>106</v>
      </c>
      <c r="D35" s="92" t="s">
        <v>103</v>
      </c>
      <c r="E35" s="93">
        <f>SUMIFS(支出入力表!$L$6:$L$1000,支出入力表!$C$6:$C$1000,"2",支出入力表!$F$6:$F$1000,"15")</f>
        <v>0</v>
      </c>
      <c r="F35" s="94" t="s">
        <v>24</v>
      </c>
      <c r="G35" s="108" t="s">
        <v>108</v>
      </c>
      <c r="H35" s="94" t="s">
        <v>24</v>
      </c>
      <c r="I35" s="93">
        <f>SUMIFS(支出入力表!$N$6:$N$1000,支出入力表!$C$6:$C$1000,"2",支出入力表!$F$6:$F$1000,"15")</f>
        <v>0</v>
      </c>
      <c r="J35" s="138" t="s">
        <v>24</v>
      </c>
      <c r="K35" s="28"/>
      <c r="M35" s="28"/>
    </row>
    <row r="36" spans="1:15" ht="19.5" thickTop="1">
      <c r="A36" s="50"/>
      <c r="B36" s="110">
        <f>団体基本情報入力!$B$16</f>
        <v>2</v>
      </c>
      <c r="C36" s="512" t="s">
        <v>171</v>
      </c>
      <c r="D36" s="512"/>
      <c r="E36" s="111">
        <f>SUM(E21:E35)</f>
        <v>0</v>
      </c>
      <c r="F36" s="112" t="s">
        <v>24</v>
      </c>
      <c r="G36" s="111">
        <f>SUM(G21:G35)</f>
        <v>0</v>
      </c>
      <c r="H36" s="112" t="s">
        <v>24</v>
      </c>
      <c r="I36" s="111">
        <f>SUM(I21:I35)</f>
        <v>0</v>
      </c>
      <c r="J36" s="139" t="s">
        <v>24</v>
      </c>
      <c r="K36" s="28"/>
      <c r="M36" s="28"/>
    </row>
    <row r="37" spans="1:15">
      <c r="A37" s="49"/>
      <c r="B37" s="79">
        <f>団体基本情報入力!$B$17</f>
        <v>3</v>
      </c>
      <c r="C37" s="95" t="s">
        <v>65</v>
      </c>
      <c r="D37" s="96" t="s">
        <v>0</v>
      </c>
      <c r="E37" s="97">
        <f>SUMIFS(支出入力表!$L$6:$L$1000,支出入力表!$C$6:$C$1000,"3",支出入力表!$F$6:$F$1000,"1")</f>
        <v>0</v>
      </c>
      <c r="F37" s="98" t="s">
        <v>73</v>
      </c>
      <c r="G37" s="97">
        <f>SUMIFS(支出入力表!$M$6:$M$1000,支出入力表!$C$6:$C$1000,"3",支出入力表!$F$6:$F$1000,"1")</f>
        <v>0</v>
      </c>
      <c r="H37" s="98" t="s">
        <v>73</v>
      </c>
      <c r="I37" s="97">
        <f>SUMIFS(支出入力表!$N$6:$N$1000,支出入力表!$C$6:$C$1000,"3",支出入力表!$F$6:$F$1000,"1")</f>
        <v>0</v>
      </c>
      <c r="J37" s="140" t="s">
        <v>73</v>
      </c>
      <c r="K37" s="28"/>
      <c r="M37" s="28"/>
    </row>
    <row r="38" spans="1:15">
      <c r="A38" s="50"/>
      <c r="B38" s="84">
        <f>団体基本情報入力!$B$17</f>
        <v>3</v>
      </c>
      <c r="C38" s="85" t="s">
        <v>66</v>
      </c>
      <c r="D38" s="86" t="s">
        <v>2</v>
      </c>
      <c r="E38" s="87">
        <f>SUMIFS(支出入力表!$L$6:$L$1000,支出入力表!$C$6:$C$1000,"3",支出入力表!$F$6:$F$1000,"2")</f>
        <v>0</v>
      </c>
      <c r="F38" s="88" t="s">
        <v>73</v>
      </c>
      <c r="G38" s="87">
        <f>SUMIFS(支出入力表!$M$6:$M$1000,支出入力表!$C$6:$C$1000,"3",支出入力表!$F$6:$F$1000,"2")</f>
        <v>0</v>
      </c>
      <c r="H38" s="88" t="s">
        <v>73</v>
      </c>
      <c r="I38" s="87">
        <f>SUMIFS(支出入力表!$N$6:$N$1000,支出入力表!$C$6:$C$1000,"3",支出入力表!$F$6:$F$1000,"2")</f>
        <v>0</v>
      </c>
      <c r="J38" s="137" t="s">
        <v>73</v>
      </c>
      <c r="K38" s="28"/>
      <c r="M38" s="28"/>
    </row>
    <row r="39" spans="1:15">
      <c r="A39" s="50"/>
      <c r="B39" s="84">
        <f>団体基本情報入力!$B$17</f>
        <v>3</v>
      </c>
      <c r="C39" s="85" t="s">
        <v>67</v>
      </c>
      <c r="D39" s="86" t="s">
        <v>191</v>
      </c>
      <c r="E39" s="87">
        <f>SUMIFS(支出入力表!$L$6:$L$1000,支出入力表!$C$6:$C$1000,"3",支出入力表!$F$6:$F$1000,"3")</f>
        <v>0</v>
      </c>
      <c r="F39" s="88" t="s">
        <v>73</v>
      </c>
      <c r="G39" s="87">
        <f>SUMIFS(支出入力表!$M$6:$M$1000,支出入力表!$C$6:$C$1000,"3",支出入力表!$F$6:$F$1000,"3")</f>
        <v>0</v>
      </c>
      <c r="H39" s="88" t="s">
        <v>73</v>
      </c>
      <c r="I39" s="87">
        <f>SUMIFS(支出入力表!$N$6:$N$1000,支出入力表!$C$6:$C$1000,"3",支出入力表!$F$6:$F$1000,"3")</f>
        <v>0</v>
      </c>
      <c r="J39" s="137" t="s">
        <v>73</v>
      </c>
      <c r="L39" s="28"/>
      <c r="M39" s="28"/>
    </row>
    <row r="40" spans="1:15">
      <c r="A40" s="50"/>
      <c r="B40" s="84">
        <f>団体基本情報入力!$B$17</f>
        <v>3</v>
      </c>
      <c r="C40" s="85" t="s">
        <v>52</v>
      </c>
      <c r="D40" s="86" t="s">
        <v>192</v>
      </c>
      <c r="E40" s="87">
        <f>SUMIFS(支出入力表!$L$6:$L$1000,支出入力表!$C$6:$C$1000,"3",支出入力表!$F$6:$F$1000,"4")</f>
        <v>0</v>
      </c>
      <c r="F40" s="88" t="s">
        <v>73</v>
      </c>
      <c r="G40" s="87">
        <f>SUMIFS(支出入力表!$M$6:$M$1000,支出入力表!$C$6:$C$1000,"3",支出入力表!$F$6:$F$1000,"4")</f>
        <v>0</v>
      </c>
      <c r="H40" s="88" t="s">
        <v>73</v>
      </c>
      <c r="I40" s="87">
        <f>SUMIFS(支出入力表!$N$6:$N$1000,支出入力表!$C$6:$C$1000,"3",支出入力表!$F$6:$F$1000,"4")</f>
        <v>0</v>
      </c>
      <c r="J40" s="137" t="s">
        <v>73</v>
      </c>
      <c r="L40" s="28"/>
      <c r="M40" s="28"/>
    </row>
    <row r="41" spans="1:15">
      <c r="A41" s="50"/>
      <c r="B41" s="84">
        <f>団体基本情報入力!$B$17</f>
        <v>3</v>
      </c>
      <c r="C41" s="85" t="s">
        <v>53</v>
      </c>
      <c r="D41" s="86" t="s">
        <v>10</v>
      </c>
      <c r="E41" s="87">
        <f>SUMIFS(支出入力表!$L$6:$L$1000,支出入力表!$C$6:$C$1000,"3",支出入力表!$F$6:$F$1000,"5")</f>
        <v>0</v>
      </c>
      <c r="F41" s="88" t="s">
        <v>73</v>
      </c>
      <c r="G41" s="87">
        <f>SUMIFS(支出入力表!$M$6:$M$1000,支出入力表!$C$6:$C$1000,"3",支出入力表!$F$6:$F$1000,"5")</f>
        <v>0</v>
      </c>
      <c r="H41" s="88" t="s">
        <v>73</v>
      </c>
      <c r="I41" s="87">
        <f>SUMIFS(支出入力表!$N$6:$N$1000,支出入力表!$C$6:$C$1000,"3",支出入力表!$F$6:$F$1000,"5")</f>
        <v>0</v>
      </c>
      <c r="J41" s="137" t="s">
        <v>73</v>
      </c>
      <c r="L41" s="28"/>
    </row>
    <row r="42" spans="1:15">
      <c r="A42" s="50"/>
      <c r="B42" s="84">
        <f>団体基本情報入力!$B$17</f>
        <v>3</v>
      </c>
      <c r="C42" s="85" t="s">
        <v>54</v>
      </c>
      <c r="D42" s="86" t="s">
        <v>3</v>
      </c>
      <c r="E42" s="87">
        <f>SUMIFS(支出入力表!$L$6:$L$1000,支出入力表!$C$6:$C$1000,"3",支出入力表!$F$6:$F$1000,"6")</f>
        <v>0</v>
      </c>
      <c r="F42" s="88" t="s">
        <v>73</v>
      </c>
      <c r="G42" s="87">
        <f>SUMIFS(支出入力表!$M$6:$M$1000,支出入力表!$C$6:$C$1000,"3",支出入力表!$F$6:$F$1000,"6")</f>
        <v>0</v>
      </c>
      <c r="H42" s="88" t="s">
        <v>73</v>
      </c>
      <c r="I42" s="87">
        <f>SUMIFS(支出入力表!$N$6:$N$1000,支出入力表!$C$6:$C$1000,"3",支出入力表!$F$6:$F$1000,"6")</f>
        <v>0</v>
      </c>
      <c r="J42" s="137" t="s">
        <v>73</v>
      </c>
      <c r="O42" s="28"/>
    </row>
    <row r="43" spans="1:15">
      <c r="A43" s="50"/>
      <c r="B43" s="84">
        <f>団体基本情報入力!$B$17</f>
        <v>3</v>
      </c>
      <c r="C43" s="85" t="s">
        <v>55</v>
      </c>
      <c r="D43" s="86" t="s">
        <v>7</v>
      </c>
      <c r="E43" s="87">
        <f>SUMIFS(支出入力表!$L$6:$L$1000,支出入力表!$C$6:$C$1000,"3",支出入力表!$F$6:$F$1000,"7")</f>
        <v>0</v>
      </c>
      <c r="F43" s="88" t="s">
        <v>73</v>
      </c>
      <c r="G43" s="87">
        <f>SUMIFS(支出入力表!$M$6:$M$1000,支出入力表!$C$6:$C$1000,"3",支出入力表!$F$6:$F$1000,"7")</f>
        <v>0</v>
      </c>
      <c r="H43" s="88" t="s">
        <v>73</v>
      </c>
      <c r="I43" s="87">
        <f>SUMIFS(支出入力表!$N$6:$N$1000,支出入力表!$C$6:$C$1000,"3",支出入力表!$F$6:$F$1000,"7")</f>
        <v>0</v>
      </c>
      <c r="J43" s="137" t="s">
        <v>73</v>
      </c>
    </row>
    <row r="44" spans="1:15">
      <c r="A44" s="50"/>
      <c r="B44" s="84">
        <f>団体基本情報入力!$B$17</f>
        <v>3</v>
      </c>
      <c r="C44" s="85" t="s">
        <v>56</v>
      </c>
      <c r="D44" s="86" t="s">
        <v>1</v>
      </c>
      <c r="E44" s="87">
        <f>SUMIFS(支出入力表!$L$6:$L$1000,支出入力表!$C$6:$C$1000,"3",支出入力表!$F$6:$F$1000,"8")</f>
        <v>0</v>
      </c>
      <c r="F44" s="88" t="s">
        <v>73</v>
      </c>
      <c r="G44" s="87">
        <f>SUMIFS(支出入力表!$M$6:$M$1000,支出入力表!$C$6:$C$1000,"3",支出入力表!$F$6:$F$1000,"8")</f>
        <v>0</v>
      </c>
      <c r="H44" s="88" t="s">
        <v>73</v>
      </c>
      <c r="I44" s="87">
        <f>SUMIFS(支出入力表!$N$6:$N$1000,支出入力表!$C$6:$C$1000,"3",支出入力表!$F$6:$F$1000,"8")</f>
        <v>0</v>
      </c>
      <c r="J44" s="137" t="s">
        <v>73</v>
      </c>
    </row>
    <row r="45" spans="1:15">
      <c r="A45" s="50"/>
      <c r="B45" s="84">
        <f>団体基本情報入力!$B$17</f>
        <v>3</v>
      </c>
      <c r="C45" s="85" t="s">
        <v>57</v>
      </c>
      <c r="D45" s="86" t="s">
        <v>4</v>
      </c>
      <c r="E45" s="87">
        <f>SUMIFS(支出入力表!$L$6:$L$1000,支出入力表!$C$6:$C$1000,"3",支出入力表!$F$6:$F$1000,"9")</f>
        <v>0</v>
      </c>
      <c r="F45" s="88" t="s">
        <v>73</v>
      </c>
      <c r="G45" s="87">
        <f>SUMIFS(支出入力表!$M$6:$M$1000,支出入力表!$C$6:$C$1000,"3",支出入力表!$F$6:$F$1000,"9")</f>
        <v>0</v>
      </c>
      <c r="H45" s="88" t="s">
        <v>73</v>
      </c>
      <c r="I45" s="87">
        <f>SUMIFS(支出入力表!$N$6:$N$1000,支出入力表!$C$6:$C$1000,"3",支出入力表!$F$6:$F$1000,"9")</f>
        <v>0</v>
      </c>
      <c r="J45" s="137" t="s">
        <v>73</v>
      </c>
    </row>
    <row r="46" spans="1:15">
      <c r="A46" s="50"/>
      <c r="B46" s="84">
        <f>団体基本情報入力!$B$17</f>
        <v>3</v>
      </c>
      <c r="C46" s="85" t="s">
        <v>58</v>
      </c>
      <c r="D46" s="86" t="s">
        <v>8</v>
      </c>
      <c r="E46" s="87">
        <f>SUMIFS(支出入力表!$L$6:$L$1000,支出入力表!$C$6:$C$1000,"3",支出入力表!$F$6:$F$1000,"10")</f>
        <v>0</v>
      </c>
      <c r="F46" s="88" t="s">
        <v>73</v>
      </c>
      <c r="G46" s="87">
        <f>SUMIFS(支出入力表!$M$6:$M$1000,支出入力表!$C$6:$C$1000,"3",支出入力表!$F$6:$F$1000,"10")</f>
        <v>0</v>
      </c>
      <c r="H46" s="88" t="s">
        <v>73</v>
      </c>
      <c r="I46" s="87">
        <f>SUMIFS(支出入力表!$N$6:$N$1000,支出入力表!$C$6:$C$1000,"3",支出入力表!$F$6:$F$1000,"10")</f>
        <v>0</v>
      </c>
      <c r="J46" s="137" t="s">
        <v>73</v>
      </c>
    </row>
    <row r="47" spans="1:15">
      <c r="A47" s="50"/>
      <c r="B47" s="84">
        <f>団体基本情報入力!$B$17</f>
        <v>3</v>
      </c>
      <c r="C47" s="85" t="s">
        <v>59</v>
      </c>
      <c r="D47" s="86" t="s">
        <v>11</v>
      </c>
      <c r="E47" s="87">
        <f>SUMIFS(支出入力表!$L$6:$L$1000,支出入力表!$C$6:$C$1000,"3",支出入力表!$F$6:$F$1000,"11")</f>
        <v>0</v>
      </c>
      <c r="F47" s="88" t="s">
        <v>73</v>
      </c>
      <c r="G47" s="87">
        <f>SUMIFS(支出入力表!$M$6:$M$1000,支出入力表!$C$6:$C$1000,"3",支出入力表!$F$6:$F$1000,"11")</f>
        <v>0</v>
      </c>
      <c r="H47" s="88" t="s">
        <v>73</v>
      </c>
      <c r="I47" s="87">
        <f>SUMIFS(支出入力表!$N$6:$N$1000,支出入力表!$C$6:$C$1000,"3",支出入力表!$F$6:$F$1000,"11")</f>
        <v>0</v>
      </c>
      <c r="J47" s="137" t="s">
        <v>73</v>
      </c>
    </row>
    <row r="48" spans="1:15">
      <c r="A48" s="50"/>
      <c r="B48" s="84">
        <f>団体基本情報入力!$B$17</f>
        <v>3</v>
      </c>
      <c r="C48" s="85" t="s">
        <v>60</v>
      </c>
      <c r="D48" s="86" t="s">
        <v>12</v>
      </c>
      <c r="E48" s="87">
        <f>SUMIFS(支出入力表!$L$6:$L$1000,支出入力表!$C$6:$C$1000,"3",支出入力表!$F$6:$F$1000,"12")</f>
        <v>0</v>
      </c>
      <c r="F48" s="88" t="s">
        <v>73</v>
      </c>
      <c r="G48" s="87">
        <f>SUMIFS(支出入力表!$M$6:$M$1000,支出入力表!$C$6:$C$1000,"3",支出入力表!$F$6:$F$1000,"12")</f>
        <v>0</v>
      </c>
      <c r="H48" s="88" t="s">
        <v>73</v>
      </c>
      <c r="I48" s="87">
        <f>SUMIFS(支出入力表!$N$6:$N$1000,支出入力表!$C$6:$C$1000,"3",支出入力表!$F$6:$F$1000,"12")</f>
        <v>0</v>
      </c>
      <c r="J48" s="137" t="s">
        <v>73</v>
      </c>
    </row>
    <row r="49" spans="1:10">
      <c r="A49" s="50"/>
      <c r="B49" s="84">
        <f>団体基本情報入力!$B$17</f>
        <v>3</v>
      </c>
      <c r="C49" s="85" t="s">
        <v>61</v>
      </c>
      <c r="D49" s="86" t="s">
        <v>9</v>
      </c>
      <c r="E49" s="87">
        <f>SUMIFS(支出入力表!$L$6:$L$1000,支出入力表!$C$6:$C$1000,"3",支出入力表!$F$6:$F$1000,"13")</f>
        <v>0</v>
      </c>
      <c r="F49" s="88" t="s">
        <v>73</v>
      </c>
      <c r="G49" s="87">
        <f>SUMIFS(支出入力表!$M$6:$M$1000,支出入力表!$C$6:$C$1000,"3",支出入力表!$F$6:$F$1000,"13")</f>
        <v>0</v>
      </c>
      <c r="H49" s="88" t="s">
        <v>73</v>
      </c>
      <c r="I49" s="87">
        <f>SUMIFS(支出入力表!$N$6:$N$1000,支出入力表!$C$6:$C$1000,"3",支出入力表!$F$6:$F$1000,"13")</f>
        <v>0</v>
      </c>
      <c r="J49" s="137" t="s">
        <v>73</v>
      </c>
    </row>
    <row r="50" spans="1:10">
      <c r="A50" s="50"/>
      <c r="B50" s="89">
        <f>団体基本情報入力!$B$17</f>
        <v>3</v>
      </c>
      <c r="C50" s="85" t="s">
        <v>47</v>
      </c>
      <c r="D50" s="86" t="s">
        <v>5</v>
      </c>
      <c r="E50" s="87">
        <f>SUMIFS(支出入力表!$L$6:$L$1000,支出入力表!$C$6:$C$1000,"3",支出入力表!$F$6:$F$1000,"14")</f>
        <v>0</v>
      </c>
      <c r="F50" s="88" t="s">
        <v>73</v>
      </c>
      <c r="G50" s="87">
        <f>SUMIFS(支出入力表!$M$6:$M$1000,支出入力表!$C$6:$C$1000,"3",支出入力表!$F$6:$F$1000,"14")</f>
        <v>0</v>
      </c>
      <c r="H50" s="88" t="s">
        <v>73</v>
      </c>
      <c r="I50" s="87">
        <f>SUMIFS(支出入力表!$N$6:$N$1000,支出入力表!$C$6:$C$1000,"3",支出入力表!$F$6:$F$1000,"14")</f>
        <v>0</v>
      </c>
      <c r="J50" s="137" t="s">
        <v>24</v>
      </c>
    </row>
    <row r="51" spans="1:10" ht="19.5" thickBot="1">
      <c r="A51" s="28"/>
      <c r="B51" s="90">
        <f>団体基本情報入力!$B$17</f>
        <v>3</v>
      </c>
      <c r="C51" s="91" t="s">
        <v>106</v>
      </c>
      <c r="D51" s="92" t="s">
        <v>103</v>
      </c>
      <c r="E51" s="93">
        <f>SUMIFS(支出入力表!$L$6:$L$1000,支出入力表!$C$6:$C$1000,"3",支出入力表!$F$6:$F$1000,"15")</f>
        <v>0</v>
      </c>
      <c r="F51" s="94" t="s">
        <v>24</v>
      </c>
      <c r="G51" s="108" t="s">
        <v>107</v>
      </c>
      <c r="H51" s="94" t="s">
        <v>24</v>
      </c>
      <c r="I51" s="93">
        <f>SUMIFS(支出入力表!$N$6:$N$1000,支出入力表!$C$6:$C$1000,"3",支出入力表!$F$6:$F$1000,"15")</f>
        <v>0</v>
      </c>
      <c r="J51" s="138" t="s">
        <v>24</v>
      </c>
    </row>
    <row r="52" spans="1:10" ht="19.5" thickTop="1">
      <c r="B52" s="110">
        <f>団体基本情報入力!$B$17</f>
        <v>3</v>
      </c>
      <c r="C52" s="512" t="s">
        <v>172</v>
      </c>
      <c r="D52" s="512"/>
      <c r="E52" s="111">
        <f>SUM(E37:E51)</f>
        <v>0</v>
      </c>
      <c r="F52" s="112" t="s">
        <v>73</v>
      </c>
      <c r="G52" s="111">
        <f>SUM(G37:G51)</f>
        <v>0</v>
      </c>
      <c r="H52" s="112" t="s">
        <v>73</v>
      </c>
      <c r="I52" s="111">
        <f>SUM(I37:I51)</f>
        <v>0</v>
      </c>
      <c r="J52" s="139" t="s">
        <v>73</v>
      </c>
    </row>
    <row r="53" spans="1:10">
      <c r="A53" s="51"/>
      <c r="B53" s="79">
        <f>団体基本情報入力!$B$18</f>
        <v>4</v>
      </c>
      <c r="C53" s="95" t="s">
        <v>68</v>
      </c>
      <c r="D53" s="96" t="s">
        <v>0</v>
      </c>
      <c r="E53" s="97">
        <f>SUMIFS(支出入力表!$L$6:$L$1000,支出入力表!$C$6:$C$1000,"4",支出入力表!$F$6:$F$1000,"1")</f>
        <v>0</v>
      </c>
      <c r="F53" s="98" t="s">
        <v>73</v>
      </c>
      <c r="G53" s="97">
        <f>SUMIFS(支出入力表!$M$6:$M$1000,支出入力表!$C$6:$C$1000,"4",支出入力表!$F$6:$F$1000,"1")</f>
        <v>0</v>
      </c>
      <c r="H53" s="98" t="s">
        <v>73</v>
      </c>
      <c r="I53" s="97">
        <f>SUMIFS(支出入力表!$N$6:$N$1000,支出入力表!$C$6:$C$1000,"4",支出入力表!$F$6:$F$1000,"1")</f>
        <v>0</v>
      </c>
      <c r="J53" s="140" t="s">
        <v>73</v>
      </c>
    </row>
    <row r="54" spans="1:10">
      <c r="B54" s="84">
        <f>団体基本情報入力!$B$18</f>
        <v>4</v>
      </c>
      <c r="C54" s="85" t="s">
        <v>69</v>
      </c>
      <c r="D54" s="86" t="s">
        <v>2</v>
      </c>
      <c r="E54" s="87">
        <f>SUMIFS(支出入力表!$L$6:$L$1000,支出入力表!$C$6:$C$1000,"4",支出入力表!$F$6:$F$1000,"2")</f>
        <v>0</v>
      </c>
      <c r="F54" s="88" t="s">
        <v>73</v>
      </c>
      <c r="G54" s="87">
        <f>SUMIFS(支出入力表!$M$6:$M$1000,支出入力表!$C$6:$C$1000,"4",支出入力表!$F$6:$F$1000,"2")</f>
        <v>0</v>
      </c>
      <c r="H54" s="88" t="s">
        <v>73</v>
      </c>
      <c r="I54" s="87">
        <f>SUMIFS(支出入力表!$N$6:$N$1000,支出入力表!$C$6:$C$1000,"4",支出入力表!$F$6:$F$1000,"2")</f>
        <v>0</v>
      </c>
      <c r="J54" s="137" t="s">
        <v>73</v>
      </c>
    </row>
    <row r="55" spans="1:10">
      <c r="B55" s="84">
        <f>団体基本情報入力!$B$18</f>
        <v>4</v>
      </c>
      <c r="C55" s="85" t="s">
        <v>67</v>
      </c>
      <c r="D55" s="86" t="s">
        <v>191</v>
      </c>
      <c r="E55" s="87">
        <f>SUMIFS(支出入力表!$L$6:$L$1000,支出入力表!$C$6:$C$1000,"4",支出入力表!$F$6:$F$1000,"3")</f>
        <v>0</v>
      </c>
      <c r="F55" s="88" t="s">
        <v>73</v>
      </c>
      <c r="G55" s="87">
        <f>SUMIFS(支出入力表!$M$6:$M$1000,支出入力表!$C$6:$C$1000,"4",支出入力表!$F$6:$F$1000,"3")</f>
        <v>0</v>
      </c>
      <c r="H55" s="88" t="s">
        <v>73</v>
      </c>
      <c r="I55" s="87">
        <f>SUMIFS(支出入力表!$N$6:$N$1000,支出入力表!$C$6:$C$1000,"4",支出入力表!$F$6:$F$1000,"3")</f>
        <v>0</v>
      </c>
      <c r="J55" s="137" t="s">
        <v>73</v>
      </c>
    </row>
    <row r="56" spans="1:10">
      <c r="B56" s="84">
        <f>団体基本情報入力!$B$18</f>
        <v>4</v>
      </c>
      <c r="C56" s="85" t="s">
        <v>52</v>
      </c>
      <c r="D56" s="86" t="s">
        <v>192</v>
      </c>
      <c r="E56" s="87">
        <f>SUMIFS(支出入力表!$L$6:$L$1000,支出入力表!$C$6:$C$1000,"4",支出入力表!$F$6:$F$1000,"4")</f>
        <v>0</v>
      </c>
      <c r="F56" s="88" t="s">
        <v>73</v>
      </c>
      <c r="G56" s="87">
        <f>SUMIFS(支出入力表!$M$6:$M$1000,支出入力表!$C$6:$C$1000,"4",支出入力表!$F$6:$F$1000,"4")</f>
        <v>0</v>
      </c>
      <c r="H56" s="88" t="s">
        <v>73</v>
      </c>
      <c r="I56" s="87">
        <f>SUMIFS(支出入力表!$N$6:$N$1000,支出入力表!$C$6:$C$1000,"4",支出入力表!$F$6:$F$1000,"4")</f>
        <v>0</v>
      </c>
      <c r="J56" s="137" t="s">
        <v>73</v>
      </c>
    </row>
    <row r="57" spans="1:10">
      <c r="B57" s="84">
        <f>団体基本情報入力!$B$18</f>
        <v>4</v>
      </c>
      <c r="C57" s="85" t="s">
        <v>53</v>
      </c>
      <c r="D57" s="86" t="s">
        <v>10</v>
      </c>
      <c r="E57" s="87">
        <f>SUMIFS(支出入力表!$L$6:$L$1000,支出入力表!$C$6:$C$1000,"4",支出入力表!$F$6:$F$1000,"5")</f>
        <v>0</v>
      </c>
      <c r="F57" s="88" t="s">
        <v>73</v>
      </c>
      <c r="G57" s="87">
        <f>SUMIFS(支出入力表!$M$6:$M$1000,支出入力表!$C$6:$C$1000,"4",支出入力表!$F$6:$F$1000,"5")</f>
        <v>0</v>
      </c>
      <c r="H57" s="88" t="s">
        <v>73</v>
      </c>
      <c r="I57" s="87">
        <f>SUMIFS(支出入力表!$N$6:$N$1000,支出入力表!$C$6:$C$1000,"4",支出入力表!$F$6:$F$1000,"5")</f>
        <v>0</v>
      </c>
      <c r="J57" s="137" t="s">
        <v>73</v>
      </c>
    </row>
    <row r="58" spans="1:10">
      <c r="B58" s="84">
        <f>団体基本情報入力!$B$18</f>
        <v>4</v>
      </c>
      <c r="C58" s="85" t="s">
        <v>54</v>
      </c>
      <c r="D58" s="86" t="s">
        <v>3</v>
      </c>
      <c r="E58" s="87">
        <f>SUMIFS(支出入力表!$L$6:$L$1000,支出入力表!$C$6:$C$1000,"4",支出入力表!$F$6:$F$1000,"6")</f>
        <v>0</v>
      </c>
      <c r="F58" s="88" t="s">
        <v>73</v>
      </c>
      <c r="G58" s="87">
        <f>SUMIFS(支出入力表!$M$6:$M$1000,支出入力表!$C$6:$C$1000,"4",支出入力表!$F$6:$F$1000,"6")</f>
        <v>0</v>
      </c>
      <c r="H58" s="88" t="s">
        <v>73</v>
      </c>
      <c r="I58" s="87">
        <f>SUMIFS(支出入力表!$N$6:$N$1000,支出入力表!$C$6:$C$1000,"4",支出入力表!$F$6:$F$1000,"6")</f>
        <v>0</v>
      </c>
      <c r="J58" s="137" t="s">
        <v>73</v>
      </c>
    </row>
    <row r="59" spans="1:10">
      <c r="B59" s="84">
        <f>団体基本情報入力!$B$18</f>
        <v>4</v>
      </c>
      <c r="C59" s="85" t="s">
        <v>55</v>
      </c>
      <c r="D59" s="86" t="s">
        <v>7</v>
      </c>
      <c r="E59" s="87">
        <f>SUMIFS(支出入力表!$L$6:$L$1000,支出入力表!$C$6:$C$1000,"4",支出入力表!$F$6:$F$1000,"7")</f>
        <v>0</v>
      </c>
      <c r="F59" s="88" t="s">
        <v>73</v>
      </c>
      <c r="G59" s="87">
        <f>SUMIFS(支出入力表!$M$6:$M$1000,支出入力表!$C$6:$C$1000,"4",支出入力表!$F$6:$F$1000,"7")</f>
        <v>0</v>
      </c>
      <c r="H59" s="88" t="s">
        <v>73</v>
      </c>
      <c r="I59" s="87">
        <f>SUMIFS(支出入力表!$N$6:$N$1000,支出入力表!$C$6:$C$1000,"4",支出入力表!$F$6:$F$1000,"7")</f>
        <v>0</v>
      </c>
      <c r="J59" s="137" t="s">
        <v>73</v>
      </c>
    </row>
    <row r="60" spans="1:10">
      <c r="B60" s="84">
        <f>団体基本情報入力!$B$18</f>
        <v>4</v>
      </c>
      <c r="C60" s="85" t="s">
        <v>56</v>
      </c>
      <c r="D60" s="86" t="s">
        <v>1</v>
      </c>
      <c r="E60" s="87">
        <f>SUMIFS(支出入力表!$L$6:$L$1000,支出入力表!$C$6:$C$1000,"4",支出入力表!$F$6:$F$1000,"8")</f>
        <v>0</v>
      </c>
      <c r="F60" s="88" t="s">
        <v>73</v>
      </c>
      <c r="G60" s="87">
        <f>SUMIFS(支出入力表!$M$6:$M$1000,支出入力表!$C$6:$C$1000,"4",支出入力表!$F$6:$F$1000,"8")</f>
        <v>0</v>
      </c>
      <c r="H60" s="88" t="s">
        <v>73</v>
      </c>
      <c r="I60" s="87">
        <f>SUMIFS(支出入力表!$N$6:$N$1000,支出入力表!$C$6:$C$1000,"4",支出入力表!$F$6:$F$1000,"8")</f>
        <v>0</v>
      </c>
      <c r="J60" s="137" t="s">
        <v>73</v>
      </c>
    </row>
    <row r="61" spans="1:10">
      <c r="B61" s="84">
        <f>団体基本情報入力!$B$18</f>
        <v>4</v>
      </c>
      <c r="C61" s="85" t="s">
        <v>57</v>
      </c>
      <c r="D61" s="86" t="s">
        <v>4</v>
      </c>
      <c r="E61" s="87">
        <f>SUMIFS(支出入力表!$L$6:$L$1000,支出入力表!$C$6:$C$1000,"4",支出入力表!$F$6:$F$1000,"9")</f>
        <v>0</v>
      </c>
      <c r="F61" s="88" t="s">
        <v>73</v>
      </c>
      <c r="G61" s="87">
        <f>SUMIFS(支出入力表!$M$6:$M$1000,支出入力表!$C$6:$C$1000,"4",支出入力表!$F$6:$F$1000,"9")</f>
        <v>0</v>
      </c>
      <c r="H61" s="88" t="s">
        <v>73</v>
      </c>
      <c r="I61" s="87">
        <f>SUMIFS(支出入力表!$N$6:$N$1000,支出入力表!$C$6:$C$1000,"4",支出入力表!$F$6:$F$1000,"9")</f>
        <v>0</v>
      </c>
      <c r="J61" s="137" t="s">
        <v>73</v>
      </c>
    </row>
    <row r="62" spans="1:10">
      <c r="B62" s="84">
        <f>団体基本情報入力!$B$18</f>
        <v>4</v>
      </c>
      <c r="C62" s="85" t="s">
        <v>58</v>
      </c>
      <c r="D62" s="86" t="s">
        <v>8</v>
      </c>
      <c r="E62" s="87">
        <f>SUMIFS(支出入力表!$L$6:$L$1000,支出入力表!$C$6:$C$1000,"4",支出入力表!$F$6:$F$1000,"10")</f>
        <v>0</v>
      </c>
      <c r="F62" s="88" t="s">
        <v>73</v>
      </c>
      <c r="G62" s="87">
        <f>SUMIFS(支出入力表!$M$6:$M$1000,支出入力表!$C$6:$C$1000,"4",支出入力表!$F$6:$F$1000,"10")</f>
        <v>0</v>
      </c>
      <c r="H62" s="88" t="s">
        <v>73</v>
      </c>
      <c r="I62" s="87">
        <f>SUMIFS(支出入力表!$N$6:$N$1000,支出入力表!$C$6:$C$1000,"4",支出入力表!$F$6:$F$1000,"10")</f>
        <v>0</v>
      </c>
      <c r="J62" s="137" t="s">
        <v>73</v>
      </c>
    </row>
    <row r="63" spans="1:10">
      <c r="B63" s="84">
        <f>団体基本情報入力!$B$18</f>
        <v>4</v>
      </c>
      <c r="C63" s="85" t="s">
        <v>59</v>
      </c>
      <c r="D63" s="86" t="s">
        <v>11</v>
      </c>
      <c r="E63" s="87">
        <f>SUMIFS(支出入力表!$L$6:$L$1000,支出入力表!$C$6:$C$1000,"4",支出入力表!$F$6:$F$1000,"11")</f>
        <v>0</v>
      </c>
      <c r="F63" s="88" t="s">
        <v>73</v>
      </c>
      <c r="G63" s="87">
        <f>SUMIFS(支出入力表!$M$6:$M$1000,支出入力表!$C$6:$C$1000,"4",支出入力表!$F$6:$F$1000,"11")</f>
        <v>0</v>
      </c>
      <c r="H63" s="88" t="s">
        <v>73</v>
      </c>
      <c r="I63" s="87">
        <f>SUMIFS(支出入力表!$N$6:$N$1000,支出入力表!$C$6:$C$1000,"4",支出入力表!$F$6:$F$1000,"11")</f>
        <v>0</v>
      </c>
      <c r="J63" s="137" t="s">
        <v>73</v>
      </c>
    </row>
    <row r="64" spans="1:10">
      <c r="B64" s="84">
        <f>団体基本情報入力!$B$18</f>
        <v>4</v>
      </c>
      <c r="C64" s="85" t="s">
        <v>60</v>
      </c>
      <c r="D64" s="86" t="s">
        <v>12</v>
      </c>
      <c r="E64" s="87">
        <f>SUMIFS(支出入力表!$L$6:$L$1000,支出入力表!$C$6:$C$1000,"4",支出入力表!$F$6:$F$1000,"12")</f>
        <v>0</v>
      </c>
      <c r="F64" s="88" t="s">
        <v>73</v>
      </c>
      <c r="G64" s="87">
        <f>SUMIFS(支出入力表!$M$6:$M$1000,支出入力表!$C$6:$C$1000,"4",支出入力表!$F$6:$F$1000,"12")</f>
        <v>0</v>
      </c>
      <c r="H64" s="88" t="s">
        <v>73</v>
      </c>
      <c r="I64" s="87">
        <f>SUMIFS(支出入力表!$N$6:$N$1000,支出入力表!$C$6:$C$1000,"4",支出入力表!$F$6:$F$1000,"12")</f>
        <v>0</v>
      </c>
      <c r="J64" s="137" t="s">
        <v>73</v>
      </c>
    </row>
    <row r="65" spans="2:14">
      <c r="B65" s="84">
        <f>団体基本情報入力!$B$18</f>
        <v>4</v>
      </c>
      <c r="C65" s="85" t="s">
        <v>61</v>
      </c>
      <c r="D65" s="86" t="s">
        <v>9</v>
      </c>
      <c r="E65" s="87">
        <f>SUMIFS(支出入力表!$L$6:$L$1000,支出入力表!$C$6:$C$1000,"4",支出入力表!$F$6:$F$1000,"13")</f>
        <v>0</v>
      </c>
      <c r="F65" s="88" t="s">
        <v>73</v>
      </c>
      <c r="G65" s="87">
        <f>SUMIFS(支出入力表!$M$6:$M$1000,支出入力表!$C$6:$C$1000,"4",支出入力表!$F$6:$F$1000,"13")</f>
        <v>0</v>
      </c>
      <c r="H65" s="88" t="s">
        <v>73</v>
      </c>
      <c r="I65" s="87">
        <f>SUMIFS(支出入力表!$N$6:$N$1000,支出入力表!$C$6:$C$1000,"4",支出入力表!$F$6:$F$1000,"13")</f>
        <v>0</v>
      </c>
      <c r="J65" s="137" t="s">
        <v>73</v>
      </c>
    </row>
    <row r="66" spans="2:14">
      <c r="B66" s="89">
        <f>団体基本情報入力!$B$18</f>
        <v>4</v>
      </c>
      <c r="C66" s="85" t="s">
        <v>47</v>
      </c>
      <c r="D66" s="86" t="s">
        <v>5</v>
      </c>
      <c r="E66" s="87">
        <f>SUMIFS(支出入力表!$L$6:$L$1000,支出入力表!$C$6:$C$1000,"4",支出入力表!$F$6:$F$1000,"14")</f>
        <v>0</v>
      </c>
      <c r="F66" s="88" t="s">
        <v>73</v>
      </c>
      <c r="G66" s="87">
        <f>SUMIFS(支出入力表!$M$6:$M$1000,支出入力表!$C$6:$C$1000,"4",支出入力表!$F$6:$F$1000,"14")</f>
        <v>0</v>
      </c>
      <c r="H66" s="88" t="s">
        <v>73</v>
      </c>
      <c r="I66" s="87">
        <f>SUMIFS(支出入力表!$N$6:$N$1000,支出入力表!$C$6:$C$1000,"4",支出入力表!$F$6:$F$1000,"14")</f>
        <v>0</v>
      </c>
      <c r="J66" s="137" t="s">
        <v>73</v>
      </c>
    </row>
    <row r="67" spans="2:14" ht="19.5" thickBot="1">
      <c r="B67" s="90">
        <f>団体基本情報入力!$B$18</f>
        <v>4</v>
      </c>
      <c r="C67" s="91" t="s">
        <v>106</v>
      </c>
      <c r="D67" s="92" t="s">
        <v>103</v>
      </c>
      <c r="E67" s="93">
        <f>SUMIFS(支出入力表!$L$6:$L$1000,支出入力表!$C$6:$C$1000,"4",支出入力表!$F$6:$F$1000,"15")</f>
        <v>0</v>
      </c>
      <c r="F67" s="94" t="s">
        <v>24</v>
      </c>
      <c r="G67" s="108" t="s">
        <v>109</v>
      </c>
      <c r="H67" s="94" t="s">
        <v>24</v>
      </c>
      <c r="I67" s="93">
        <f>SUMIFS(支出入力表!$N$6:$N$1000,支出入力表!$C$6:$C$1000,"4",支出入力表!$F$6:$F$1000,"15")</f>
        <v>0</v>
      </c>
      <c r="J67" s="138" t="s">
        <v>24</v>
      </c>
    </row>
    <row r="68" spans="2:14" ht="19.5" thickTop="1">
      <c r="B68" s="110">
        <f>団体基本情報入力!$B$18</f>
        <v>4</v>
      </c>
      <c r="C68" s="512" t="s">
        <v>173</v>
      </c>
      <c r="D68" s="512"/>
      <c r="E68" s="111">
        <f>SUM(E53:E67)</f>
        <v>0</v>
      </c>
      <c r="F68" s="112" t="s">
        <v>73</v>
      </c>
      <c r="G68" s="111">
        <f>SUM(G53:G67)</f>
        <v>0</v>
      </c>
      <c r="H68" s="112" t="s">
        <v>73</v>
      </c>
      <c r="I68" s="111">
        <f>SUM(I53:I67)</f>
        <v>0</v>
      </c>
      <c r="J68" s="139" t="s">
        <v>73</v>
      </c>
    </row>
    <row r="69" spans="2:14">
      <c r="B69" s="79">
        <f>団体基本情報入力!$B$19</f>
        <v>5</v>
      </c>
      <c r="C69" s="95" t="s">
        <v>49</v>
      </c>
      <c r="D69" s="96" t="s">
        <v>0</v>
      </c>
      <c r="E69" s="97">
        <f>SUMIFS(支出入力表!$L$6:$L$1000,支出入力表!$C$6:$C$1000,"5",支出入力表!$F$6:$F$1000,"1")</f>
        <v>0</v>
      </c>
      <c r="F69" s="98" t="s">
        <v>73</v>
      </c>
      <c r="G69" s="97">
        <f>SUMIFS(支出入力表!$M$6:$M$1000,支出入力表!$C$6:$C$1000,"5",支出入力表!$F$6:$F$1000,"1")</f>
        <v>0</v>
      </c>
      <c r="H69" s="98" t="s">
        <v>73</v>
      </c>
      <c r="I69" s="97">
        <f>SUMIFS(支出入力表!$N$6:$N$1000,支出入力表!$C$6:$C$1000,"5",支出入力表!$F$6:$F$1000,"1")</f>
        <v>0</v>
      </c>
      <c r="J69" s="140" t="s">
        <v>73</v>
      </c>
    </row>
    <row r="70" spans="2:14">
      <c r="B70" s="84">
        <f>団体基本情報入力!$B$19</f>
        <v>5</v>
      </c>
      <c r="C70" s="85" t="s">
        <v>50</v>
      </c>
      <c r="D70" s="86" t="s">
        <v>2</v>
      </c>
      <c r="E70" s="87">
        <f>SUMIFS(支出入力表!$L$6:$L$1000,支出入力表!$C$6:$C$1000,"5",支出入力表!$F$6:$F$1000,"2")</f>
        <v>0</v>
      </c>
      <c r="F70" s="88" t="s">
        <v>73</v>
      </c>
      <c r="G70" s="87">
        <f>SUMIFS(支出入力表!$M$6:$M$1000,支出入力表!$C$6:$C$1000,"5",支出入力表!$F$6:$F$1000,"2")</f>
        <v>0</v>
      </c>
      <c r="H70" s="88" t="s">
        <v>73</v>
      </c>
      <c r="I70" s="87">
        <f>SUMIFS(支出入力表!$N$6:$N$1000,支出入力表!$C$6:$C$1000,"5",支出入力表!$F$6:$F$1000,"2")</f>
        <v>0</v>
      </c>
      <c r="J70" s="137" t="s">
        <v>73</v>
      </c>
    </row>
    <row r="71" spans="2:14">
      <c r="B71" s="84">
        <f>団体基本情報入力!$B$19</f>
        <v>5</v>
      </c>
      <c r="C71" s="85" t="s">
        <v>70</v>
      </c>
      <c r="D71" s="86" t="s">
        <v>191</v>
      </c>
      <c r="E71" s="87">
        <f>SUMIFS(支出入力表!$L$6:$L$1000,支出入力表!$C$6:$C$1000,"5",支出入力表!$F$6:$F$1000,"3")</f>
        <v>0</v>
      </c>
      <c r="F71" s="88" t="s">
        <v>73</v>
      </c>
      <c r="G71" s="87">
        <f>SUMIFS(支出入力表!$M$6:$M$1000,支出入力表!$C$6:$C$1000,"5",支出入力表!$F$6:$F$1000,"3")</f>
        <v>0</v>
      </c>
      <c r="H71" s="88" t="s">
        <v>73</v>
      </c>
      <c r="I71" s="87">
        <f>SUMIFS(支出入力表!$N$6:$N$1000,支出入力表!$C$6:$C$1000,"5",支出入力表!$F$6:$F$1000,"3")</f>
        <v>0</v>
      </c>
      <c r="J71" s="137" t="s">
        <v>73</v>
      </c>
    </row>
    <row r="72" spans="2:14">
      <c r="B72" s="84">
        <f>団体基本情報入力!$B$19</f>
        <v>5</v>
      </c>
      <c r="C72" s="85" t="s">
        <v>52</v>
      </c>
      <c r="D72" s="86" t="s">
        <v>192</v>
      </c>
      <c r="E72" s="87">
        <f>SUMIFS(支出入力表!$L$6:$L$1000,支出入力表!$C$6:$C$1000,"5",支出入力表!$F$6:$F$1000,"4")</f>
        <v>0</v>
      </c>
      <c r="F72" s="88" t="s">
        <v>73</v>
      </c>
      <c r="G72" s="87">
        <f>SUMIFS(支出入力表!$M$6:$M$1000,支出入力表!$C$6:$C$1000,"5",支出入力表!$F$6:$F$1000,"4")</f>
        <v>0</v>
      </c>
      <c r="H72" s="88" t="s">
        <v>73</v>
      </c>
      <c r="I72" s="87">
        <f>SUMIFS(支出入力表!$N$6:$N$1000,支出入力表!$C$6:$C$1000,"5",支出入力表!$F$6:$F$1000,"4")</f>
        <v>0</v>
      </c>
      <c r="J72" s="137" t="s">
        <v>73</v>
      </c>
    </row>
    <row r="73" spans="2:14">
      <c r="B73" s="84">
        <f>団体基本情報入力!$B$19</f>
        <v>5</v>
      </c>
      <c r="C73" s="85" t="s">
        <v>53</v>
      </c>
      <c r="D73" s="86" t="s">
        <v>10</v>
      </c>
      <c r="E73" s="87">
        <f>SUMIFS(支出入力表!$L$6:$L$1000,支出入力表!$C$6:$C$1000,"5",支出入力表!$F$6:$F$1000,"5")</f>
        <v>0</v>
      </c>
      <c r="F73" s="88" t="s">
        <v>73</v>
      </c>
      <c r="G73" s="87">
        <f>SUMIFS(支出入力表!$M$6:$M$1000,支出入力表!$C$6:$C$1000,"5",支出入力表!$F$6:$F$1000,"5")</f>
        <v>0</v>
      </c>
      <c r="H73" s="88" t="s">
        <v>73</v>
      </c>
      <c r="I73" s="87">
        <f>SUMIFS(支出入力表!$N$6:$N$1000,支出入力表!$C$6:$C$1000,"5",支出入力表!$F$6:$F$1000,"5")</f>
        <v>0</v>
      </c>
      <c r="J73" s="137" t="s">
        <v>73</v>
      </c>
    </row>
    <row r="74" spans="2:14">
      <c r="B74" s="84">
        <f>団体基本情報入力!$B$19</f>
        <v>5</v>
      </c>
      <c r="C74" s="85" t="s">
        <v>54</v>
      </c>
      <c r="D74" s="86" t="s">
        <v>3</v>
      </c>
      <c r="E74" s="87">
        <f>SUMIFS(支出入力表!$L$6:$L$1000,支出入力表!$C$6:$C$1000,"5",支出入力表!$F$6:$F$1000,"6")</f>
        <v>0</v>
      </c>
      <c r="F74" s="88" t="s">
        <v>73</v>
      </c>
      <c r="G74" s="87">
        <f>SUMIFS(支出入力表!$M$6:$M$1000,支出入力表!$C$6:$C$1000,"5",支出入力表!$F$6:$F$1000,"6")</f>
        <v>0</v>
      </c>
      <c r="H74" s="88" t="s">
        <v>73</v>
      </c>
      <c r="I74" s="87">
        <f>SUMIFS(支出入力表!$N$6:$N$1000,支出入力表!$C$6:$C$1000,"5",支出入力表!$F$6:$F$1000,"6")</f>
        <v>0</v>
      </c>
      <c r="J74" s="137" t="s">
        <v>73</v>
      </c>
    </row>
    <row r="75" spans="2:14">
      <c r="B75" s="84">
        <f>団体基本情報入力!$B$19</f>
        <v>5</v>
      </c>
      <c r="C75" s="85" t="s">
        <v>55</v>
      </c>
      <c r="D75" s="86" t="s">
        <v>7</v>
      </c>
      <c r="E75" s="87">
        <f>SUMIFS(支出入力表!$L$6:$L$1000,支出入力表!$C$6:$C$1000,"5",支出入力表!$F$6:$F$1000,"7")</f>
        <v>0</v>
      </c>
      <c r="F75" s="88" t="s">
        <v>73</v>
      </c>
      <c r="G75" s="87">
        <f>SUMIFS(支出入力表!$M$6:$M$1000,支出入力表!$C$6:$C$1000,"5",支出入力表!$F$6:$F$1000,"7")</f>
        <v>0</v>
      </c>
      <c r="H75" s="88" t="s">
        <v>73</v>
      </c>
      <c r="I75" s="87">
        <f>SUMIFS(支出入力表!$N$6:$N$1000,支出入力表!$C$6:$C$1000,"5",支出入力表!$F$6:$F$1000,"7")</f>
        <v>0</v>
      </c>
      <c r="J75" s="137" t="s">
        <v>73</v>
      </c>
      <c r="N75" s="28"/>
    </row>
    <row r="76" spans="2:14">
      <c r="B76" s="84">
        <f>団体基本情報入力!$B$19</f>
        <v>5</v>
      </c>
      <c r="C76" s="85" t="s">
        <v>56</v>
      </c>
      <c r="D76" s="86" t="s">
        <v>1</v>
      </c>
      <c r="E76" s="87">
        <f>SUMIFS(支出入力表!$L$6:$L$1000,支出入力表!$C$6:$C$1000,"5",支出入力表!$F$6:$F$1000,"8")</f>
        <v>0</v>
      </c>
      <c r="F76" s="88" t="s">
        <v>73</v>
      </c>
      <c r="G76" s="87">
        <f>SUMIFS(支出入力表!$M$6:$M$1000,支出入力表!$C$6:$C$1000,"5",支出入力表!$F$6:$F$1000,"8")</f>
        <v>0</v>
      </c>
      <c r="H76" s="88" t="s">
        <v>73</v>
      </c>
      <c r="I76" s="87">
        <f>SUMIFS(支出入力表!$N$6:$N$1000,支出入力表!$C$6:$C$1000,"5",支出入力表!$F$6:$F$1000,"8")</f>
        <v>0</v>
      </c>
      <c r="J76" s="137" t="s">
        <v>73</v>
      </c>
      <c r="N76" s="28"/>
    </row>
    <row r="77" spans="2:14">
      <c r="B77" s="84">
        <f>団体基本情報入力!$B$19</f>
        <v>5</v>
      </c>
      <c r="C77" s="85" t="s">
        <v>57</v>
      </c>
      <c r="D77" s="86" t="s">
        <v>4</v>
      </c>
      <c r="E77" s="87">
        <f>SUMIFS(支出入力表!$L$6:$L$1000,支出入力表!$C$6:$C$1000,"5",支出入力表!$F$6:$F$1000,"9")</f>
        <v>0</v>
      </c>
      <c r="F77" s="88" t="s">
        <v>73</v>
      </c>
      <c r="G77" s="87">
        <f>SUMIFS(支出入力表!$M$6:$M$1000,支出入力表!$C$6:$C$1000,"5",支出入力表!$F$6:$F$1000,"9")</f>
        <v>0</v>
      </c>
      <c r="H77" s="88" t="s">
        <v>73</v>
      </c>
      <c r="I77" s="87">
        <f>SUMIFS(支出入力表!$N$6:$N$1000,支出入力表!$C$6:$C$1000,"5",支出入力表!$F$6:$F$1000,"9")</f>
        <v>0</v>
      </c>
      <c r="J77" s="137" t="s">
        <v>73</v>
      </c>
    </row>
    <row r="78" spans="2:14">
      <c r="B78" s="84">
        <f>団体基本情報入力!$B$19</f>
        <v>5</v>
      </c>
      <c r="C78" s="85" t="s">
        <v>58</v>
      </c>
      <c r="D78" s="86" t="s">
        <v>8</v>
      </c>
      <c r="E78" s="87">
        <f>SUMIFS(支出入力表!$L$6:$L$1000,支出入力表!$C$6:$C$1000,"5",支出入力表!$F$6:$F$1000,"10")</f>
        <v>0</v>
      </c>
      <c r="F78" s="88" t="s">
        <v>73</v>
      </c>
      <c r="G78" s="87">
        <f>SUMIFS(支出入力表!$M$6:$M$1000,支出入力表!$C$6:$C$1000,"5",支出入力表!$F$6:$F$1000,"10")</f>
        <v>0</v>
      </c>
      <c r="H78" s="88" t="s">
        <v>73</v>
      </c>
      <c r="I78" s="87">
        <f>SUMIFS(支出入力表!$N$6:$N$1000,支出入力表!$C$6:$C$1000,"5",支出入力表!$F$6:$F$1000,"10")</f>
        <v>0</v>
      </c>
      <c r="J78" s="137" t="s">
        <v>73</v>
      </c>
    </row>
    <row r="79" spans="2:14">
      <c r="B79" s="84">
        <f>団体基本情報入力!$B$19</f>
        <v>5</v>
      </c>
      <c r="C79" s="85" t="s">
        <v>59</v>
      </c>
      <c r="D79" s="86" t="s">
        <v>11</v>
      </c>
      <c r="E79" s="87">
        <f>SUMIFS(支出入力表!$L$6:$L$1000,支出入力表!$C$6:$C$1000,"5",支出入力表!$F$6:$F$1000,"11")</f>
        <v>0</v>
      </c>
      <c r="F79" s="88" t="s">
        <v>73</v>
      </c>
      <c r="G79" s="87">
        <f>SUMIFS(支出入力表!$M$6:$M$1000,支出入力表!$C$6:$C$1000,"5",支出入力表!$F$6:$F$1000,"11")</f>
        <v>0</v>
      </c>
      <c r="H79" s="88" t="s">
        <v>73</v>
      </c>
      <c r="I79" s="87">
        <f>SUMIFS(支出入力表!$N$6:$N$1000,支出入力表!$C$6:$C$1000,"5",支出入力表!$F$6:$F$1000,"11")</f>
        <v>0</v>
      </c>
      <c r="J79" s="137" t="s">
        <v>73</v>
      </c>
    </row>
    <row r="80" spans="2:14">
      <c r="B80" s="84">
        <f>団体基本情報入力!$B$19</f>
        <v>5</v>
      </c>
      <c r="C80" s="85" t="s">
        <v>60</v>
      </c>
      <c r="D80" s="86" t="s">
        <v>12</v>
      </c>
      <c r="E80" s="87">
        <f>SUMIFS(支出入力表!$L$6:$L$1000,支出入力表!$C$6:$C$1000,"5",支出入力表!$F$6:$F$1000,"12")</f>
        <v>0</v>
      </c>
      <c r="F80" s="88" t="s">
        <v>73</v>
      </c>
      <c r="G80" s="87">
        <f>SUMIFS(支出入力表!$M$6:$M$1000,支出入力表!$C$6:$C$1000,"5",支出入力表!$F$6:$F$1000,"12")</f>
        <v>0</v>
      </c>
      <c r="H80" s="88" t="s">
        <v>73</v>
      </c>
      <c r="I80" s="87">
        <f>SUMIFS(支出入力表!$N$6:$N$1000,支出入力表!$C$6:$C$1000,"5",支出入力表!$F$6:$F$1000,"12")</f>
        <v>0</v>
      </c>
      <c r="J80" s="137" t="s">
        <v>73</v>
      </c>
    </row>
    <row r="81" spans="2:16">
      <c r="B81" s="84">
        <f>団体基本情報入力!$B$19</f>
        <v>5</v>
      </c>
      <c r="C81" s="85" t="s">
        <v>61</v>
      </c>
      <c r="D81" s="86" t="s">
        <v>9</v>
      </c>
      <c r="E81" s="87">
        <f>SUMIFS(支出入力表!$L$6:$L$1000,支出入力表!$C$6:$C$1000,"5",支出入力表!$F$6:$F$1000,"13")</f>
        <v>0</v>
      </c>
      <c r="F81" s="88" t="s">
        <v>73</v>
      </c>
      <c r="G81" s="87">
        <f>SUMIFS(支出入力表!$M$6:$M$1000,支出入力表!$C$6:$C$1000,"5",支出入力表!$F$6:$F$1000,"13")</f>
        <v>0</v>
      </c>
      <c r="H81" s="88" t="s">
        <v>73</v>
      </c>
      <c r="I81" s="87">
        <f>SUMIFS(支出入力表!$N$6:$N$1000,支出入力表!$C$6:$C$1000,"5",支出入力表!$F$6:$F$1000,"13")</f>
        <v>0</v>
      </c>
      <c r="J81" s="137" t="s">
        <v>73</v>
      </c>
    </row>
    <row r="82" spans="2:16">
      <c r="B82" s="89">
        <f>団体基本情報入力!$B$19</f>
        <v>5</v>
      </c>
      <c r="C82" s="85" t="s">
        <v>47</v>
      </c>
      <c r="D82" s="86" t="s">
        <v>5</v>
      </c>
      <c r="E82" s="87">
        <f>SUMIFS(支出入力表!$L$6:$L$1000,支出入力表!$C$6:$C$1000,"5",支出入力表!$F$6:$F$1000,"14")</f>
        <v>0</v>
      </c>
      <c r="F82" s="88" t="s">
        <v>73</v>
      </c>
      <c r="G82" s="87">
        <f>SUMIFS(支出入力表!$M$6:$M$1000,支出入力表!$C$6:$C$1000,"5",支出入力表!$F$6:$F$1000,"14")</f>
        <v>0</v>
      </c>
      <c r="H82" s="88" t="s">
        <v>73</v>
      </c>
      <c r="I82" s="87">
        <f>SUMIFS(支出入力表!$N$6:$N$1000,支出入力表!$C$6:$C$1000,"5",支出入力表!$F$6:$F$1000,"14")</f>
        <v>0</v>
      </c>
      <c r="J82" s="137" t="s">
        <v>73</v>
      </c>
    </row>
    <row r="83" spans="2:16" ht="19.5" thickBot="1">
      <c r="B83" s="90">
        <f>団体基本情報入力!$B$19</f>
        <v>5</v>
      </c>
      <c r="C83" s="91" t="s">
        <v>106</v>
      </c>
      <c r="D83" s="92" t="s">
        <v>103</v>
      </c>
      <c r="E83" s="93">
        <f>SUMIFS(支出入力表!$L$6:$L$1000,支出入力表!$C$6:$C$1000,"5",支出入力表!$F$6:$F$1000,"15")</f>
        <v>0</v>
      </c>
      <c r="F83" s="94" t="s">
        <v>24</v>
      </c>
      <c r="G83" s="108" t="s">
        <v>110</v>
      </c>
      <c r="H83" s="94" t="s">
        <v>24</v>
      </c>
      <c r="I83" s="93">
        <f>SUMIFS(支出入力表!$N$6:$N$1000,支出入力表!$C$6:$C$1000,"5",支出入力表!$F$6:$F$1000,"15")</f>
        <v>0</v>
      </c>
      <c r="J83" s="138" t="s">
        <v>24</v>
      </c>
    </row>
    <row r="84" spans="2:16" ht="19.5" thickTop="1">
      <c r="B84" s="110">
        <f>団体基本情報入力!$B$19</f>
        <v>5</v>
      </c>
      <c r="C84" s="512" t="s">
        <v>174</v>
      </c>
      <c r="D84" s="512"/>
      <c r="E84" s="111">
        <f>SUM(E69:E83)</f>
        <v>0</v>
      </c>
      <c r="F84" s="112" t="s">
        <v>73</v>
      </c>
      <c r="G84" s="111">
        <f>SUM(G69:G83)</f>
        <v>0</v>
      </c>
      <c r="H84" s="112" t="s">
        <v>73</v>
      </c>
      <c r="I84" s="111">
        <f>SUM(I69:I83)</f>
        <v>0</v>
      </c>
      <c r="J84" s="139" t="s">
        <v>73</v>
      </c>
    </row>
    <row r="85" spans="2:16">
      <c r="B85" s="79">
        <f>団体基本情報入力!$B$20</f>
        <v>6</v>
      </c>
      <c r="C85" s="95" t="s">
        <v>49</v>
      </c>
      <c r="D85" s="96" t="s">
        <v>0</v>
      </c>
      <c r="E85" s="97">
        <f>SUMIFS(支出入力表!$L$6:$L$1000,支出入力表!$C$6:$C$1000,"6",支出入力表!$F$6:$F$1000,"1")</f>
        <v>0</v>
      </c>
      <c r="F85" s="98" t="s">
        <v>24</v>
      </c>
      <c r="G85" s="97">
        <f>SUMIFS(支出入力表!$M$6:$M$1000,支出入力表!$C$6:$C$1000,"6",支出入力表!$F$6:$F$1000,"1")</f>
        <v>0</v>
      </c>
      <c r="H85" s="98" t="s">
        <v>73</v>
      </c>
      <c r="I85" s="97">
        <f>SUMIFS(支出入力表!$N$6:$N$1000,支出入力表!$C$6:$C$1000,"6",支出入力表!$F$6:$F$1000,"1")</f>
        <v>0</v>
      </c>
      <c r="J85" s="140" t="s">
        <v>73</v>
      </c>
    </row>
    <row r="86" spans="2:16">
      <c r="B86" s="84">
        <f>団体基本情報入力!$B$20</f>
        <v>6</v>
      </c>
      <c r="C86" s="85" t="s">
        <v>50</v>
      </c>
      <c r="D86" s="86" t="s">
        <v>2</v>
      </c>
      <c r="E86" s="87">
        <f>SUMIFS(支出入力表!$L$6:$L$1000,支出入力表!$C$6:$C$1000,"6",支出入力表!$F$6:$F$1000,"2")</f>
        <v>0</v>
      </c>
      <c r="F86" s="88" t="s">
        <v>73</v>
      </c>
      <c r="G86" s="87">
        <f>SUMIFS(支出入力表!$M$6:$M$1000,支出入力表!$C$6:$C$1000,"6",支出入力表!$F$6:$F$1000,"2")</f>
        <v>0</v>
      </c>
      <c r="H86" s="88" t="s">
        <v>73</v>
      </c>
      <c r="I86" s="87">
        <f>SUMIFS(支出入力表!$N$6:$N$1000,支出入力表!$C$6:$C$1000,"6",支出入力表!$F$6:$F$1000,"2")</f>
        <v>0</v>
      </c>
      <c r="J86" s="137" t="s">
        <v>73</v>
      </c>
    </row>
    <row r="87" spans="2:16">
      <c r="B87" s="84">
        <f>団体基本情報入力!$B$20</f>
        <v>6</v>
      </c>
      <c r="C87" s="85" t="s">
        <v>71</v>
      </c>
      <c r="D87" s="86" t="s">
        <v>191</v>
      </c>
      <c r="E87" s="87">
        <f>SUMIFS(支出入力表!$L$6:$L$1000,支出入力表!$C$6:$C$1000,"6",支出入力表!$F$6:$F$1000,"3")</f>
        <v>0</v>
      </c>
      <c r="F87" s="88" t="s">
        <v>73</v>
      </c>
      <c r="G87" s="87">
        <f>SUMIFS(支出入力表!$M$6:$M$1000,支出入力表!$C$6:$C$1000,"6",支出入力表!$F$6:$F$1000,"3")</f>
        <v>0</v>
      </c>
      <c r="H87" s="88" t="s">
        <v>73</v>
      </c>
      <c r="I87" s="87">
        <f>SUMIFS(支出入力表!$N$6:$N$1000,支出入力表!$C$6:$C$1000,"6",支出入力表!$F$6:$F$1000,"3")</f>
        <v>0</v>
      </c>
      <c r="J87" s="137" t="s">
        <v>73</v>
      </c>
    </row>
    <row r="88" spans="2:16">
      <c r="B88" s="84">
        <f>団体基本情報入力!$B$20</f>
        <v>6</v>
      </c>
      <c r="C88" s="85" t="s">
        <v>52</v>
      </c>
      <c r="D88" s="86" t="s">
        <v>192</v>
      </c>
      <c r="E88" s="87">
        <f>SUMIFS(支出入力表!$L$6:$L$1000,支出入力表!$C$6:$C$1000,"6",支出入力表!$F$6:$F$1000,"4")</f>
        <v>0</v>
      </c>
      <c r="F88" s="88" t="s">
        <v>73</v>
      </c>
      <c r="G88" s="87">
        <f>SUMIFS(支出入力表!$M$6:$M$1000,支出入力表!$C$6:$C$1000,"6",支出入力表!$F$6:$F$1000,"4")</f>
        <v>0</v>
      </c>
      <c r="H88" s="88" t="s">
        <v>73</v>
      </c>
      <c r="I88" s="87">
        <f>SUMIFS(支出入力表!$N$6:$N$1000,支出入力表!$C$6:$C$1000,"6",支出入力表!$F$6:$F$1000,"4")</f>
        <v>0</v>
      </c>
      <c r="J88" s="137" t="s">
        <v>73</v>
      </c>
    </row>
    <row r="89" spans="2:16">
      <c r="B89" s="84">
        <f>団体基本情報入力!$B$20</f>
        <v>6</v>
      </c>
      <c r="C89" s="85" t="s">
        <v>53</v>
      </c>
      <c r="D89" s="86" t="s">
        <v>10</v>
      </c>
      <c r="E89" s="87">
        <f>SUMIFS(支出入力表!$L$6:$L$1000,支出入力表!$C$6:$C$1000,"6",支出入力表!$F$6:$F$1000,"5")</f>
        <v>0</v>
      </c>
      <c r="F89" s="88" t="s">
        <v>73</v>
      </c>
      <c r="G89" s="87">
        <f>SUMIFS(支出入力表!$M$6:$M$1000,支出入力表!$C$6:$C$1000,"6",支出入力表!$F$6:$F$1000,"5")</f>
        <v>0</v>
      </c>
      <c r="H89" s="88" t="s">
        <v>73</v>
      </c>
      <c r="I89" s="87">
        <f>SUMIFS(支出入力表!$N$6:$N$1000,支出入力表!$C$6:$C$1000,"6",支出入力表!$F$6:$F$1000,"5")</f>
        <v>0</v>
      </c>
      <c r="J89" s="137" t="s">
        <v>73</v>
      </c>
    </row>
    <row r="90" spans="2:16">
      <c r="B90" s="84">
        <f>団体基本情報入力!$B$20</f>
        <v>6</v>
      </c>
      <c r="C90" s="85" t="s">
        <v>54</v>
      </c>
      <c r="D90" s="86" t="s">
        <v>3</v>
      </c>
      <c r="E90" s="87">
        <f>SUMIFS(支出入力表!$L$6:$L$1000,支出入力表!$C$6:$C$1000,"6",支出入力表!$F$6:$F$1000,"6")</f>
        <v>0</v>
      </c>
      <c r="F90" s="88" t="s">
        <v>73</v>
      </c>
      <c r="G90" s="87">
        <f>SUMIFS(支出入力表!$M$6:$M$1000,支出入力表!$C$6:$C$1000,"6",支出入力表!$F$6:$F$1000,"6")</f>
        <v>0</v>
      </c>
      <c r="H90" s="88" t="s">
        <v>73</v>
      </c>
      <c r="I90" s="87">
        <f>SUMIFS(支出入力表!$N$6:$N$1000,支出入力表!$C$6:$C$1000,"6",支出入力表!$F$6:$F$1000,"6")</f>
        <v>0</v>
      </c>
      <c r="J90" s="137" t="s">
        <v>73</v>
      </c>
    </row>
    <row r="91" spans="2:16">
      <c r="B91" s="84">
        <f>団体基本情報入力!$B$20</f>
        <v>6</v>
      </c>
      <c r="C91" s="85" t="s">
        <v>55</v>
      </c>
      <c r="D91" s="86" t="s">
        <v>7</v>
      </c>
      <c r="E91" s="87">
        <f>SUMIFS(支出入力表!$L$6:$L$1000,支出入力表!$C$6:$C$1000,"6",支出入力表!$F$6:$F$1000,"7")</f>
        <v>0</v>
      </c>
      <c r="F91" s="88" t="s">
        <v>73</v>
      </c>
      <c r="G91" s="87">
        <f>SUMIFS(支出入力表!$M$6:$M$1000,支出入力表!$C$6:$C$1000,"6",支出入力表!$F$6:$F$1000,"7")</f>
        <v>0</v>
      </c>
      <c r="H91" s="88" t="s">
        <v>73</v>
      </c>
      <c r="I91" s="87">
        <f>SUMIFS(支出入力表!$N$6:$N$1000,支出入力表!$C$6:$C$1000,"6",支出入力表!$F$6:$F$1000,"7")</f>
        <v>0</v>
      </c>
      <c r="J91" s="137" t="s">
        <v>73</v>
      </c>
    </row>
    <row r="92" spans="2:16">
      <c r="B92" s="84">
        <f>団体基本情報入力!$B$20</f>
        <v>6</v>
      </c>
      <c r="C92" s="85" t="s">
        <v>56</v>
      </c>
      <c r="D92" s="86" t="s">
        <v>1</v>
      </c>
      <c r="E92" s="87">
        <f>SUMIFS(支出入力表!$L$6:$L$1000,支出入力表!$C$6:$C$1000,"6",支出入力表!$F$6:$F$1000,"8")</f>
        <v>0</v>
      </c>
      <c r="F92" s="88" t="s">
        <v>73</v>
      </c>
      <c r="G92" s="87">
        <f>SUMIFS(支出入力表!$M$6:$M$1000,支出入力表!$C$6:$C$1000,"6",支出入力表!$F$6:$F$1000,"8")</f>
        <v>0</v>
      </c>
      <c r="H92" s="88" t="s">
        <v>73</v>
      </c>
      <c r="I92" s="87">
        <f>SUMIFS(支出入力表!$N$6:$N$1000,支出入力表!$C$6:$C$1000,"6",支出入力表!$F$6:$F$1000,"8")</f>
        <v>0</v>
      </c>
      <c r="J92" s="137" t="s">
        <v>73</v>
      </c>
      <c r="P92" s="28"/>
    </row>
    <row r="93" spans="2:16">
      <c r="B93" s="84">
        <f>団体基本情報入力!$B$20</f>
        <v>6</v>
      </c>
      <c r="C93" s="85" t="s">
        <v>57</v>
      </c>
      <c r="D93" s="86" t="s">
        <v>4</v>
      </c>
      <c r="E93" s="87">
        <f>SUMIFS(支出入力表!$L$6:$L$1000,支出入力表!$C$6:$C$1000,"6",支出入力表!$F$6:$F$1000,"9")</f>
        <v>0</v>
      </c>
      <c r="F93" s="88" t="s">
        <v>73</v>
      </c>
      <c r="G93" s="87">
        <f>SUMIFS(支出入力表!$M$6:$M$1000,支出入力表!$C$6:$C$1000,"6",支出入力表!$F$6:$F$1000,"9")</f>
        <v>0</v>
      </c>
      <c r="H93" s="88" t="s">
        <v>73</v>
      </c>
      <c r="I93" s="87">
        <f>SUMIFS(支出入力表!$N$6:$N$1000,支出入力表!$C$6:$C$1000,"6",支出入力表!$F$6:$F$1000,"9")</f>
        <v>0</v>
      </c>
      <c r="J93" s="137" t="s">
        <v>73</v>
      </c>
      <c r="P93" s="28"/>
    </row>
    <row r="94" spans="2:16">
      <c r="B94" s="84">
        <f>団体基本情報入力!$B$20</f>
        <v>6</v>
      </c>
      <c r="C94" s="85" t="s">
        <v>58</v>
      </c>
      <c r="D94" s="86" t="s">
        <v>8</v>
      </c>
      <c r="E94" s="87">
        <f>SUMIFS(支出入力表!$L$6:$L$1000,支出入力表!$C$6:$C$1000,"6",支出入力表!$F$6:$F$1000,"10")</f>
        <v>0</v>
      </c>
      <c r="F94" s="88" t="s">
        <v>73</v>
      </c>
      <c r="G94" s="87">
        <f>SUMIFS(支出入力表!$M$6:$M$1000,支出入力表!$C$6:$C$1000,"6",支出入力表!$F$6:$F$1000,"10")</f>
        <v>0</v>
      </c>
      <c r="H94" s="88" t="s">
        <v>73</v>
      </c>
      <c r="I94" s="87">
        <f>SUMIFS(支出入力表!$N$6:$N$1000,支出入力表!$C$6:$C$1000,"6",支出入力表!$F$6:$F$1000,"10")</f>
        <v>0</v>
      </c>
      <c r="J94" s="137" t="s">
        <v>73</v>
      </c>
    </row>
    <row r="95" spans="2:16">
      <c r="B95" s="84">
        <f>団体基本情報入力!$B$20</f>
        <v>6</v>
      </c>
      <c r="C95" s="85" t="s">
        <v>59</v>
      </c>
      <c r="D95" s="86" t="s">
        <v>11</v>
      </c>
      <c r="E95" s="87">
        <f>SUMIFS(支出入力表!$L$6:$L$1000,支出入力表!$C$6:$C$1000,"6",支出入力表!$F$6:$F$1000,"11")</f>
        <v>0</v>
      </c>
      <c r="F95" s="88" t="s">
        <v>73</v>
      </c>
      <c r="G95" s="87">
        <f>SUMIFS(支出入力表!$M$6:$M$1000,支出入力表!$C$6:$C$1000,"6",支出入力表!$F$6:$F$1000,"11")</f>
        <v>0</v>
      </c>
      <c r="H95" s="88" t="s">
        <v>73</v>
      </c>
      <c r="I95" s="87">
        <f>SUMIFS(支出入力表!$N$6:$N$1000,支出入力表!$C$6:$C$1000,"6",支出入力表!$F$6:$F$1000,"11")</f>
        <v>0</v>
      </c>
      <c r="J95" s="137" t="s">
        <v>73</v>
      </c>
      <c r="L95" s="28"/>
    </row>
    <row r="96" spans="2:16">
      <c r="B96" s="84">
        <f>団体基本情報入力!$B$20</f>
        <v>6</v>
      </c>
      <c r="C96" s="85" t="s">
        <v>60</v>
      </c>
      <c r="D96" s="86" t="s">
        <v>12</v>
      </c>
      <c r="E96" s="87">
        <f>SUMIFS(支出入力表!$L$6:$L$1000,支出入力表!$C$6:$C$1000,"6",支出入力表!$F$6:$F$1000,"12")</f>
        <v>0</v>
      </c>
      <c r="F96" s="88" t="s">
        <v>73</v>
      </c>
      <c r="G96" s="87">
        <f>SUMIFS(支出入力表!$M$6:$M$1000,支出入力表!$C$6:$C$1000,"6",支出入力表!$F$6:$F$1000,"12")</f>
        <v>0</v>
      </c>
      <c r="H96" s="88" t="s">
        <v>73</v>
      </c>
      <c r="I96" s="87">
        <f>SUMIFS(支出入力表!$N$6:$N$1000,支出入力表!$C$6:$C$1000,"6",支出入力表!$F$6:$F$1000,"12")</f>
        <v>0</v>
      </c>
      <c r="J96" s="137" t="s">
        <v>73</v>
      </c>
    </row>
    <row r="97" spans="2:14">
      <c r="B97" s="84">
        <f>団体基本情報入力!$B$20</f>
        <v>6</v>
      </c>
      <c r="C97" s="85" t="s">
        <v>61</v>
      </c>
      <c r="D97" s="86" t="s">
        <v>9</v>
      </c>
      <c r="E97" s="87">
        <f>SUMIFS(支出入力表!$L$6:$L$1000,支出入力表!$C$6:$C$1000,"6",支出入力表!$F$6:$F$1000,"13")</f>
        <v>0</v>
      </c>
      <c r="F97" s="88" t="s">
        <v>73</v>
      </c>
      <c r="G97" s="87">
        <f>SUMIFS(支出入力表!$M$6:$M$1000,支出入力表!$C$6:$C$1000,"6",支出入力表!$F$6:$F$1000,"13")</f>
        <v>0</v>
      </c>
      <c r="H97" s="88" t="s">
        <v>73</v>
      </c>
      <c r="I97" s="87">
        <f>SUMIFS(支出入力表!$N$6:$N$1000,支出入力表!$C$6:$C$1000,"6",支出入力表!$F$6:$F$1000,"13")</f>
        <v>0</v>
      </c>
      <c r="J97" s="137" t="s">
        <v>73</v>
      </c>
    </row>
    <row r="98" spans="2:14">
      <c r="B98" s="89">
        <f>団体基本情報入力!$B$20</f>
        <v>6</v>
      </c>
      <c r="C98" s="85" t="s">
        <v>47</v>
      </c>
      <c r="D98" s="86" t="s">
        <v>5</v>
      </c>
      <c r="E98" s="87">
        <f>SUMIFS(支出入力表!$L$6:$L$1000,支出入力表!$C$6:$C$1000,"6",支出入力表!$F$6:$F$1000,"14")</f>
        <v>0</v>
      </c>
      <c r="F98" s="88" t="s">
        <v>73</v>
      </c>
      <c r="G98" s="87">
        <f>SUMIFS(支出入力表!$M$6:$M$1000,支出入力表!$C$6:$C$1000,"6",支出入力表!$F$6:$F$1000,"14")</f>
        <v>0</v>
      </c>
      <c r="H98" s="88" t="s">
        <v>73</v>
      </c>
      <c r="I98" s="87">
        <f>SUMIFS(支出入力表!$N$6:$N$1000,支出入力表!$C$6:$C$1000,"6",支出入力表!$F$6:$F$1000,"14")</f>
        <v>0</v>
      </c>
      <c r="J98" s="137" t="s">
        <v>73</v>
      </c>
    </row>
    <row r="99" spans="2:14" ht="19.5" thickBot="1">
      <c r="B99" s="90">
        <f>団体基本情報入力!$B$20</f>
        <v>6</v>
      </c>
      <c r="C99" s="91" t="s">
        <v>106</v>
      </c>
      <c r="D99" s="92" t="s">
        <v>103</v>
      </c>
      <c r="E99" s="93">
        <f>SUMIFS(支出入力表!$L$6:$L$1000,支出入力表!$C$6:$C$1000,"6",支出入力表!$F$6:$F$1000,"15")</f>
        <v>0</v>
      </c>
      <c r="F99" s="94" t="s">
        <v>24</v>
      </c>
      <c r="G99" s="108" t="s">
        <v>107</v>
      </c>
      <c r="H99" s="94" t="s">
        <v>24</v>
      </c>
      <c r="I99" s="93">
        <f>SUMIFS(支出入力表!$N$6:$N$1000,支出入力表!$C$6:$C$1000,"6",支出入力表!$F$6:$F$1000,"15")</f>
        <v>0</v>
      </c>
      <c r="J99" s="138" t="s">
        <v>24</v>
      </c>
    </row>
    <row r="100" spans="2:14" ht="19.5" thickTop="1">
      <c r="B100" s="110">
        <f>団体基本情報入力!$B$20</f>
        <v>6</v>
      </c>
      <c r="C100" s="512" t="s">
        <v>175</v>
      </c>
      <c r="D100" s="512"/>
      <c r="E100" s="111">
        <f>SUM(E85:E99)</f>
        <v>0</v>
      </c>
      <c r="F100" s="112" t="s">
        <v>73</v>
      </c>
      <c r="G100" s="111">
        <f>SUM(G85:G99)</f>
        <v>0</v>
      </c>
      <c r="H100" s="112" t="s">
        <v>73</v>
      </c>
      <c r="I100" s="111">
        <f>SUM(I85:I99)</f>
        <v>0</v>
      </c>
      <c r="J100" s="139" t="s">
        <v>73</v>
      </c>
    </row>
    <row r="101" spans="2:14">
      <c r="B101" s="79">
        <f>団体基本情報入力!$B$21</f>
        <v>7</v>
      </c>
      <c r="C101" s="95" t="s">
        <v>65</v>
      </c>
      <c r="D101" s="96" t="s">
        <v>0</v>
      </c>
      <c r="E101" s="97">
        <f>SUMIFS(支出入力表!$L$6:$L$1000,支出入力表!$C$6:$C$1000,"7",支出入力表!$F$6:$F$1000,"1")</f>
        <v>0</v>
      </c>
      <c r="F101" s="98" t="s">
        <v>73</v>
      </c>
      <c r="G101" s="97">
        <f>SUMIFS(支出入力表!$M$6:$M$1000,支出入力表!$C$6:$C$1000,"7",支出入力表!$F$6:$F$1000,"1")</f>
        <v>0</v>
      </c>
      <c r="H101" s="98" t="s">
        <v>73</v>
      </c>
      <c r="I101" s="97">
        <f>SUMIFS(支出入力表!$N$6:$N$1000,支出入力表!$C$6:$C$1000,"7",支出入力表!$F$6:$F$1000,"1")</f>
        <v>0</v>
      </c>
      <c r="J101" s="140" t="s">
        <v>73</v>
      </c>
    </row>
    <row r="102" spans="2:14">
      <c r="B102" s="84">
        <f>団体基本情報入力!$B$21</f>
        <v>7</v>
      </c>
      <c r="C102" s="85" t="s">
        <v>50</v>
      </c>
      <c r="D102" s="86" t="s">
        <v>2</v>
      </c>
      <c r="E102" s="87">
        <f>SUMIFS(支出入力表!$L$6:$L$1000,支出入力表!$C$6:$C$1000,"7",支出入力表!$F$6:$F$1000,"2")</f>
        <v>0</v>
      </c>
      <c r="F102" s="88" t="s">
        <v>73</v>
      </c>
      <c r="G102" s="87">
        <f>SUMIFS(支出入力表!$M$6:$M$1000,支出入力表!$C$6:$C$1000,"7",支出入力表!$F$6:$F$1000,"2")</f>
        <v>0</v>
      </c>
      <c r="H102" s="88" t="s">
        <v>73</v>
      </c>
      <c r="I102" s="87">
        <f>SUMIFS(支出入力表!$N$6:$N$1000,支出入力表!$C$6:$C$1000,"7",支出入力表!$F$6:$F$1000,"2")</f>
        <v>0</v>
      </c>
      <c r="J102" s="137" t="s">
        <v>73</v>
      </c>
    </row>
    <row r="103" spans="2:14">
      <c r="B103" s="84">
        <f>団体基本情報入力!$B$21</f>
        <v>7</v>
      </c>
      <c r="C103" s="85" t="s">
        <v>51</v>
      </c>
      <c r="D103" s="86" t="s">
        <v>191</v>
      </c>
      <c r="E103" s="87">
        <f>SUMIFS(支出入力表!$L$6:$L$1000,支出入力表!$C$6:$C$1000,"7",支出入力表!$F$6:$F$1000,"3")</f>
        <v>0</v>
      </c>
      <c r="F103" s="88" t="s">
        <v>73</v>
      </c>
      <c r="G103" s="87">
        <f>SUMIFS(支出入力表!$M$6:$M$1000,支出入力表!$C$6:$C$1000,"7",支出入力表!$F$6:$F$1000,"3")</f>
        <v>0</v>
      </c>
      <c r="H103" s="88" t="s">
        <v>73</v>
      </c>
      <c r="I103" s="87">
        <f>SUMIFS(支出入力表!$N$6:$N$1000,支出入力表!$C$6:$C$1000,"7",支出入力表!$F$6:$F$1000,"3")</f>
        <v>0</v>
      </c>
      <c r="J103" s="137" t="s">
        <v>73</v>
      </c>
    </row>
    <row r="104" spans="2:14">
      <c r="B104" s="84">
        <f>団体基本情報入力!$B$21</f>
        <v>7</v>
      </c>
      <c r="C104" s="85" t="s">
        <v>52</v>
      </c>
      <c r="D104" s="86" t="s">
        <v>192</v>
      </c>
      <c r="E104" s="87">
        <f>SUMIFS(支出入力表!$L$6:$L$1000,支出入力表!$C$6:$C$1000,"7",支出入力表!$F$6:$F$1000,"4")</f>
        <v>0</v>
      </c>
      <c r="F104" s="88" t="s">
        <v>73</v>
      </c>
      <c r="G104" s="87">
        <f>SUMIFS(支出入力表!$M$6:$M$1000,支出入力表!$C$6:$C$1000,"7",支出入力表!$F$6:$F$1000,"4")</f>
        <v>0</v>
      </c>
      <c r="H104" s="88" t="s">
        <v>73</v>
      </c>
      <c r="I104" s="87">
        <f>SUMIFS(支出入力表!$N$6:$N$1000,支出入力表!$C$6:$C$1000,"7",支出入力表!$F$6:$F$1000,"4")</f>
        <v>0</v>
      </c>
      <c r="J104" s="137" t="s">
        <v>73</v>
      </c>
    </row>
    <row r="105" spans="2:14">
      <c r="B105" s="84">
        <f>団体基本情報入力!$B$21</f>
        <v>7</v>
      </c>
      <c r="C105" s="85" t="s">
        <v>53</v>
      </c>
      <c r="D105" s="86" t="s">
        <v>10</v>
      </c>
      <c r="E105" s="87">
        <f>SUMIFS(支出入力表!$L$6:$L$1000,支出入力表!$C$6:$C$1000,"7",支出入力表!$F$6:$F$1000,"5")</f>
        <v>0</v>
      </c>
      <c r="F105" s="88" t="s">
        <v>73</v>
      </c>
      <c r="G105" s="87">
        <f>SUMIFS(支出入力表!$M$6:$M$1000,支出入力表!$C$6:$C$1000,"7",支出入力表!$F$6:$F$1000,"5")</f>
        <v>0</v>
      </c>
      <c r="H105" s="88" t="s">
        <v>73</v>
      </c>
      <c r="I105" s="87">
        <f>SUMIFS(支出入力表!$N$6:$N$1000,支出入力表!$C$6:$C$1000,"7",支出入力表!$F$6:$F$1000,"5")</f>
        <v>0</v>
      </c>
      <c r="J105" s="137" t="s">
        <v>73</v>
      </c>
    </row>
    <row r="106" spans="2:14">
      <c r="B106" s="84">
        <f>団体基本情報入力!$B$21</f>
        <v>7</v>
      </c>
      <c r="C106" s="85" t="s">
        <v>54</v>
      </c>
      <c r="D106" s="86" t="s">
        <v>3</v>
      </c>
      <c r="E106" s="87">
        <f>SUMIFS(支出入力表!$L$6:$L$1000,支出入力表!$C$6:$C$1000,"7",支出入力表!$F$6:$F$1000,"6")</f>
        <v>0</v>
      </c>
      <c r="F106" s="88" t="s">
        <v>73</v>
      </c>
      <c r="G106" s="87">
        <f>SUMIFS(支出入力表!$M$6:$M$1000,支出入力表!$C$6:$C$1000,"7",支出入力表!$F$6:$F$1000,"6")</f>
        <v>0</v>
      </c>
      <c r="H106" s="88" t="s">
        <v>73</v>
      </c>
      <c r="I106" s="87">
        <f>SUMIFS(支出入力表!$N$6:$N$1000,支出入力表!$C$6:$C$1000,"7",支出入力表!$F$6:$F$1000,"6")</f>
        <v>0</v>
      </c>
      <c r="J106" s="137" t="s">
        <v>73</v>
      </c>
    </row>
    <row r="107" spans="2:14">
      <c r="B107" s="84">
        <f>団体基本情報入力!$B$21</f>
        <v>7</v>
      </c>
      <c r="C107" s="85" t="s">
        <v>55</v>
      </c>
      <c r="D107" s="86" t="s">
        <v>7</v>
      </c>
      <c r="E107" s="87">
        <f>SUMIFS(支出入力表!$L$6:$L$1000,支出入力表!$C$6:$C$1000,"7",支出入力表!$F$6:$F$1000,"7")</f>
        <v>0</v>
      </c>
      <c r="F107" s="88" t="s">
        <v>73</v>
      </c>
      <c r="G107" s="87">
        <f>SUMIFS(支出入力表!$M$6:$M$1000,支出入力表!$C$6:$C$1000,"7",支出入力表!$F$6:$F$1000,"7")</f>
        <v>0</v>
      </c>
      <c r="H107" s="88" t="s">
        <v>73</v>
      </c>
      <c r="I107" s="87">
        <f>SUMIFS(支出入力表!$N$6:$N$1000,支出入力表!$C$6:$C$1000,"7",支出入力表!$F$6:$F$1000,"7")</f>
        <v>0</v>
      </c>
      <c r="J107" s="137" t="s">
        <v>73</v>
      </c>
      <c r="N107" s="28"/>
    </row>
    <row r="108" spans="2:14">
      <c r="B108" s="84">
        <f>団体基本情報入力!$B$21</f>
        <v>7</v>
      </c>
      <c r="C108" s="85" t="s">
        <v>56</v>
      </c>
      <c r="D108" s="86" t="s">
        <v>1</v>
      </c>
      <c r="E108" s="87">
        <f>SUMIFS(支出入力表!$L$6:$L$1000,支出入力表!$C$6:$C$1000,"7",支出入力表!$F$6:$F$1000,"8")</f>
        <v>0</v>
      </c>
      <c r="F108" s="88" t="s">
        <v>73</v>
      </c>
      <c r="G108" s="87">
        <f>SUMIFS(支出入力表!$M$6:$M$1000,支出入力表!$C$6:$C$1000,"7",支出入力表!$F$6:$F$1000,"8")</f>
        <v>0</v>
      </c>
      <c r="H108" s="88" t="s">
        <v>73</v>
      </c>
      <c r="I108" s="87">
        <f>SUMIFS(支出入力表!$N$6:$N$1000,支出入力表!$C$6:$C$1000,"7",支出入力表!$F$6:$F$1000,"8")</f>
        <v>0</v>
      </c>
      <c r="J108" s="137" t="s">
        <v>73</v>
      </c>
      <c r="L108" s="28"/>
    </row>
    <row r="109" spans="2:14">
      <c r="B109" s="84">
        <f>団体基本情報入力!$B$21</f>
        <v>7</v>
      </c>
      <c r="C109" s="85" t="s">
        <v>57</v>
      </c>
      <c r="D109" s="86" t="s">
        <v>4</v>
      </c>
      <c r="E109" s="87">
        <f>SUMIFS(支出入力表!$L$6:$L$1000,支出入力表!$C$6:$C$1000,"7",支出入力表!$F$6:$F$1000,"9")</f>
        <v>0</v>
      </c>
      <c r="F109" s="88" t="s">
        <v>73</v>
      </c>
      <c r="G109" s="87">
        <f>SUMIFS(支出入力表!$M$6:$M$1000,支出入力表!$C$6:$C$1000,"7",支出入力表!$F$6:$F$1000,"9")</f>
        <v>0</v>
      </c>
      <c r="H109" s="88" t="s">
        <v>73</v>
      </c>
      <c r="I109" s="87">
        <f>SUMIFS(支出入力表!$N$6:$N$1000,支出入力表!$C$6:$C$1000,"7",支出入力表!$F$6:$F$1000,"9")</f>
        <v>0</v>
      </c>
      <c r="J109" s="137" t="s">
        <v>73</v>
      </c>
    </row>
    <row r="110" spans="2:14">
      <c r="B110" s="84">
        <f>団体基本情報入力!$B$21</f>
        <v>7</v>
      </c>
      <c r="C110" s="85" t="s">
        <v>58</v>
      </c>
      <c r="D110" s="86" t="s">
        <v>8</v>
      </c>
      <c r="E110" s="87">
        <f>SUMIFS(支出入力表!$L$6:$L$1000,支出入力表!$C$6:$C$1000,"7",支出入力表!$F$6:$F$1000,"10")</f>
        <v>0</v>
      </c>
      <c r="F110" s="88" t="s">
        <v>73</v>
      </c>
      <c r="G110" s="87">
        <f>SUMIFS(支出入力表!$M$6:$M$1000,支出入力表!$C$6:$C$1000,"7",支出入力表!$F$6:$F$1000,"10")</f>
        <v>0</v>
      </c>
      <c r="H110" s="88" t="s">
        <v>73</v>
      </c>
      <c r="I110" s="87">
        <f>SUMIFS(支出入力表!$N$6:$N$1000,支出入力表!$C$6:$C$1000,"7",支出入力表!$F$6:$F$1000,"10")</f>
        <v>0</v>
      </c>
      <c r="J110" s="137" t="s">
        <v>73</v>
      </c>
    </row>
    <row r="111" spans="2:14">
      <c r="B111" s="84">
        <f>団体基本情報入力!$B$21</f>
        <v>7</v>
      </c>
      <c r="C111" s="85" t="s">
        <v>59</v>
      </c>
      <c r="D111" s="86" t="s">
        <v>11</v>
      </c>
      <c r="E111" s="87">
        <f>SUMIFS(支出入力表!$L$6:$L$1000,支出入力表!$C$6:$C$1000,"7",支出入力表!$F$6:$F$1000,"11")</f>
        <v>0</v>
      </c>
      <c r="F111" s="88" t="s">
        <v>73</v>
      </c>
      <c r="G111" s="87">
        <f>SUMIFS(支出入力表!$M$6:$M$1000,支出入力表!$C$6:$C$1000,"7",支出入力表!$F$6:$F$1000,"11")</f>
        <v>0</v>
      </c>
      <c r="H111" s="88" t="s">
        <v>73</v>
      </c>
      <c r="I111" s="87">
        <f>SUMIFS(支出入力表!$N$6:$N$1000,支出入力表!$C$6:$C$1000,"7",支出入力表!$F$6:$F$1000,"11")</f>
        <v>0</v>
      </c>
      <c r="J111" s="137" t="s">
        <v>73</v>
      </c>
    </row>
    <row r="112" spans="2:14">
      <c r="B112" s="84">
        <f>団体基本情報入力!$B$21</f>
        <v>7</v>
      </c>
      <c r="C112" s="85" t="s">
        <v>60</v>
      </c>
      <c r="D112" s="86" t="s">
        <v>12</v>
      </c>
      <c r="E112" s="87">
        <f>SUMIFS(支出入力表!$L$6:$L$1000,支出入力表!$C$6:$C$1000,"7",支出入力表!$F$6:$F$1000,"12")</f>
        <v>0</v>
      </c>
      <c r="F112" s="88" t="s">
        <v>73</v>
      </c>
      <c r="G112" s="87">
        <f>SUMIFS(支出入力表!$M$6:$M$1000,支出入力表!$C$6:$C$1000,"7",支出入力表!$F$6:$F$1000,"12")</f>
        <v>0</v>
      </c>
      <c r="H112" s="88" t="s">
        <v>73</v>
      </c>
      <c r="I112" s="87">
        <f>SUMIFS(支出入力表!$N$6:$N$1000,支出入力表!$C$6:$C$1000,"7",支出入力表!$F$6:$F$1000,"12")</f>
        <v>0</v>
      </c>
      <c r="J112" s="137" t="s">
        <v>73</v>
      </c>
    </row>
    <row r="113" spans="2:14">
      <c r="B113" s="84">
        <f>団体基本情報入力!$B$21</f>
        <v>7</v>
      </c>
      <c r="C113" s="85" t="s">
        <v>61</v>
      </c>
      <c r="D113" s="86" t="s">
        <v>9</v>
      </c>
      <c r="E113" s="87">
        <f>SUMIFS(支出入力表!$L$6:$L$1000,支出入力表!$C$6:$C$1000,"7",支出入力表!$F$6:$F$1000,"13")</f>
        <v>0</v>
      </c>
      <c r="F113" s="88" t="s">
        <v>73</v>
      </c>
      <c r="G113" s="87">
        <f>SUMIFS(支出入力表!$M$6:$M$1000,支出入力表!$C$6:$C$1000,"7",支出入力表!$F$6:$F$1000,"13")</f>
        <v>0</v>
      </c>
      <c r="H113" s="88" t="s">
        <v>73</v>
      </c>
      <c r="I113" s="87">
        <f>SUMIFS(支出入力表!$N$6:$N$1000,支出入力表!$C$6:$C$1000,"7",支出入力表!$F$6:$F$1000,"13")</f>
        <v>0</v>
      </c>
      <c r="J113" s="137" t="s">
        <v>73</v>
      </c>
    </row>
    <row r="114" spans="2:14">
      <c r="B114" s="89">
        <f>団体基本情報入力!$B$21</f>
        <v>7</v>
      </c>
      <c r="C114" s="85" t="s">
        <v>47</v>
      </c>
      <c r="D114" s="86" t="s">
        <v>5</v>
      </c>
      <c r="E114" s="87">
        <f>SUMIFS(支出入力表!$L$6:$L$1000,支出入力表!$C$6:$C$1000,"7",支出入力表!$F$6:$F$1000,"14")</f>
        <v>0</v>
      </c>
      <c r="F114" s="88" t="s">
        <v>73</v>
      </c>
      <c r="G114" s="87">
        <f>SUMIFS(支出入力表!$M$6:$M$1000,支出入力表!$C$6:$C$1000,"7",支出入力表!$F$6:$F$1000,"14")</f>
        <v>0</v>
      </c>
      <c r="H114" s="88" t="s">
        <v>73</v>
      </c>
      <c r="I114" s="87">
        <f>SUMIFS(支出入力表!$N$6:$N$1000,支出入力表!$C$6:$C$1000,"7",支出入力表!$F$6:$F$1000,"14")</f>
        <v>0</v>
      </c>
      <c r="J114" s="137" t="s">
        <v>73</v>
      </c>
    </row>
    <row r="115" spans="2:14" ht="19.5" thickBot="1">
      <c r="B115" s="90">
        <f>団体基本情報入力!$B$21</f>
        <v>7</v>
      </c>
      <c r="C115" s="91" t="s">
        <v>106</v>
      </c>
      <c r="D115" s="92" t="s">
        <v>103</v>
      </c>
      <c r="E115" s="93">
        <f>SUMIFS(支出入力表!$L$6:$L$1000,支出入力表!$C$6:$C$1000,"7",支出入力表!$F$6:$F$1000,"15")</f>
        <v>0</v>
      </c>
      <c r="F115" s="94" t="s">
        <v>24</v>
      </c>
      <c r="G115" s="108" t="s">
        <v>107</v>
      </c>
      <c r="H115" s="94" t="s">
        <v>24</v>
      </c>
      <c r="I115" s="93">
        <f>SUMIFS(支出入力表!$N$6:$N$1000,支出入力表!$C$6:$C$1000,"7",支出入力表!$F$6:$F$1000,"15")</f>
        <v>0</v>
      </c>
      <c r="J115" s="138" t="s">
        <v>24</v>
      </c>
    </row>
    <row r="116" spans="2:14" ht="19.5" thickTop="1">
      <c r="B116" s="110">
        <f>団体基本情報入力!$B$21</f>
        <v>7</v>
      </c>
      <c r="C116" s="512" t="s">
        <v>176</v>
      </c>
      <c r="D116" s="512"/>
      <c r="E116" s="111">
        <f>SUM(E101:E115)</f>
        <v>0</v>
      </c>
      <c r="F116" s="112" t="s">
        <v>73</v>
      </c>
      <c r="G116" s="111">
        <f>SUM(G101:G115)</f>
        <v>0</v>
      </c>
      <c r="H116" s="112" t="s">
        <v>73</v>
      </c>
      <c r="I116" s="111">
        <f>SUM(I101:I115)</f>
        <v>0</v>
      </c>
      <c r="J116" s="139" t="s">
        <v>73</v>
      </c>
    </row>
    <row r="117" spans="2:14">
      <c r="B117" s="79">
        <f>団体基本情報入力!$B$22</f>
        <v>8</v>
      </c>
      <c r="C117" s="95" t="s">
        <v>49</v>
      </c>
      <c r="D117" s="96" t="s">
        <v>0</v>
      </c>
      <c r="E117" s="97">
        <f>SUMIFS(支出入力表!$L$6:$L$1000,支出入力表!$C$6:$C$1000,"8",支出入力表!$F$6:$F$1000,"1")</f>
        <v>0</v>
      </c>
      <c r="F117" s="98" t="s">
        <v>74</v>
      </c>
      <c r="G117" s="97">
        <f>SUMIFS(支出入力表!$M$6:$M$1000,支出入力表!$C$6:$C$1000,"8",支出入力表!$F$6:$F$1000,"1")</f>
        <v>0</v>
      </c>
      <c r="H117" s="98" t="s">
        <v>74</v>
      </c>
      <c r="I117" s="97">
        <f>SUMIFS(支出入力表!$N$6:$N$1000,支出入力表!$C$6:$C$1000,"8",支出入力表!$F$6:$F$1000,"1")</f>
        <v>0</v>
      </c>
      <c r="J117" s="140" t="s">
        <v>74</v>
      </c>
    </row>
    <row r="118" spans="2:14">
      <c r="B118" s="84">
        <f>団体基本情報入力!$B$22</f>
        <v>8</v>
      </c>
      <c r="C118" s="85" t="s">
        <v>72</v>
      </c>
      <c r="D118" s="86" t="s">
        <v>2</v>
      </c>
      <c r="E118" s="87">
        <f>SUMIFS(支出入力表!$L$6:$L$1000,支出入力表!$C$6:$C$1000,"8",支出入力表!$F$6:$F$1000,"2")</f>
        <v>0</v>
      </c>
      <c r="F118" s="88" t="s">
        <v>24</v>
      </c>
      <c r="G118" s="87">
        <f>SUMIFS(支出入力表!$M$6:$M$1000,支出入力表!$C$6:$C$1000,"8",支出入力表!$F$6:$F$1000,"2")</f>
        <v>0</v>
      </c>
      <c r="H118" s="88" t="s">
        <v>74</v>
      </c>
      <c r="I118" s="87">
        <f>SUMIFS(支出入力表!$N$6:$N$1000,支出入力表!$C$6:$C$1000,"8",支出入力表!$F$6:$F$1000,"2")</f>
        <v>0</v>
      </c>
      <c r="J118" s="137" t="s">
        <v>74</v>
      </c>
    </row>
    <row r="119" spans="2:14">
      <c r="B119" s="84">
        <f>団体基本情報入力!$B$22</f>
        <v>8</v>
      </c>
      <c r="C119" s="85" t="s">
        <v>51</v>
      </c>
      <c r="D119" s="86" t="s">
        <v>191</v>
      </c>
      <c r="E119" s="87">
        <f>SUMIFS(支出入力表!$L$6:$L$1000,支出入力表!$C$6:$C$1000,"8",支出入力表!$F$6:$F$1000,"3")</f>
        <v>0</v>
      </c>
      <c r="F119" s="88" t="s">
        <v>24</v>
      </c>
      <c r="G119" s="87">
        <f>SUMIFS(支出入力表!$M$6:$M$1000,支出入力表!$C$6:$C$1000,"8",支出入力表!$F$6:$F$1000,"3")</f>
        <v>0</v>
      </c>
      <c r="H119" s="88" t="s">
        <v>74</v>
      </c>
      <c r="I119" s="87">
        <f>SUMIFS(支出入力表!$N$6:$N$1000,支出入力表!$C$6:$C$1000,"8",支出入力表!$F$6:$F$1000,"3")</f>
        <v>0</v>
      </c>
      <c r="J119" s="137" t="s">
        <v>74</v>
      </c>
    </row>
    <row r="120" spans="2:14">
      <c r="B120" s="84">
        <f>団体基本情報入力!$B$22</f>
        <v>8</v>
      </c>
      <c r="C120" s="85" t="s">
        <v>52</v>
      </c>
      <c r="D120" s="86" t="s">
        <v>192</v>
      </c>
      <c r="E120" s="87">
        <f>SUMIFS(支出入力表!$L$6:$L$1000,支出入力表!$C$6:$C$1000,"8",支出入力表!$F$6:$F$1000,"4")</f>
        <v>0</v>
      </c>
      <c r="F120" s="88" t="s">
        <v>24</v>
      </c>
      <c r="G120" s="87">
        <f>SUMIFS(支出入力表!$M$6:$M$1000,支出入力表!$C$6:$C$1000,"8",支出入力表!$F$6:$F$1000,"4")</f>
        <v>0</v>
      </c>
      <c r="H120" s="88" t="s">
        <v>74</v>
      </c>
      <c r="I120" s="87">
        <f>SUMIFS(支出入力表!$N$6:$N$1000,支出入力表!$C$6:$C$1000,"8",支出入力表!$F$6:$F$1000,"4")</f>
        <v>0</v>
      </c>
      <c r="J120" s="137" t="s">
        <v>74</v>
      </c>
    </row>
    <row r="121" spans="2:14">
      <c r="B121" s="84">
        <f>団体基本情報入力!$B$22</f>
        <v>8</v>
      </c>
      <c r="C121" s="85" t="s">
        <v>53</v>
      </c>
      <c r="D121" s="86" t="s">
        <v>10</v>
      </c>
      <c r="E121" s="87">
        <f>SUMIFS(支出入力表!$L$6:$L$1000,支出入力表!$C$6:$C$1000,"8",支出入力表!$F$6:$F$1000,"5")</f>
        <v>0</v>
      </c>
      <c r="F121" s="88" t="s">
        <v>24</v>
      </c>
      <c r="G121" s="87">
        <f>SUMIFS(支出入力表!$M$6:$M$1000,支出入力表!$C$6:$C$1000,"8",支出入力表!$F$6:$F$1000,"5")</f>
        <v>0</v>
      </c>
      <c r="H121" s="88" t="s">
        <v>74</v>
      </c>
      <c r="I121" s="87">
        <f>SUMIFS(支出入力表!$N$6:$N$1000,支出入力表!$C$6:$C$1000,"8",支出入力表!$F$6:$F$1000,"5")</f>
        <v>0</v>
      </c>
      <c r="J121" s="137" t="s">
        <v>74</v>
      </c>
    </row>
    <row r="122" spans="2:14">
      <c r="B122" s="84">
        <f>団体基本情報入力!$B$22</f>
        <v>8</v>
      </c>
      <c r="C122" s="85" t="s">
        <v>54</v>
      </c>
      <c r="D122" s="86" t="s">
        <v>3</v>
      </c>
      <c r="E122" s="87">
        <f>SUMIFS(支出入力表!$L$6:$L$1000,支出入力表!$C$6:$C$1000,"8",支出入力表!$F$6:$F$1000,"6")</f>
        <v>0</v>
      </c>
      <c r="F122" s="88" t="s">
        <v>24</v>
      </c>
      <c r="G122" s="87">
        <f>SUMIFS(支出入力表!$M$6:$M$1000,支出入力表!$C$6:$C$1000,"8",支出入力表!$F$6:$F$1000,"6")</f>
        <v>0</v>
      </c>
      <c r="H122" s="88" t="s">
        <v>74</v>
      </c>
      <c r="I122" s="87">
        <f>SUMIFS(支出入力表!$N$6:$N$1000,支出入力表!$C$6:$C$1000,"8",支出入力表!$F$6:$F$1000,"6")</f>
        <v>0</v>
      </c>
      <c r="J122" s="137" t="s">
        <v>74</v>
      </c>
      <c r="N122" s="28"/>
    </row>
    <row r="123" spans="2:14">
      <c r="B123" s="84">
        <f>団体基本情報入力!$B$22</f>
        <v>8</v>
      </c>
      <c r="C123" s="85" t="s">
        <v>55</v>
      </c>
      <c r="D123" s="86" t="s">
        <v>7</v>
      </c>
      <c r="E123" s="87">
        <f>SUMIFS(支出入力表!$L$6:$L$1000,支出入力表!$C$6:$C$1000,"8",支出入力表!$F$6:$F$1000,"7")</f>
        <v>0</v>
      </c>
      <c r="F123" s="88" t="s">
        <v>24</v>
      </c>
      <c r="G123" s="87">
        <f>SUMIFS(支出入力表!$M$6:$M$1000,支出入力表!$C$6:$C$1000,"8",支出入力表!$F$6:$F$1000,"7")</f>
        <v>0</v>
      </c>
      <c r="H123" s="88" t="s">
        <v>74</v>
      </c>
      <c r="I123" s="87">
        <f>SUMIFS(支出入力表!$N$6:$N$1000,支出入力表!$C$6:$C$1000,"8",支出入力表!$F$6:$F$1000,"7")</f>
        <v>0</v>
      </c>
      <c r="J123" s="137" t="s">
        <v>74</v>
      </c>
    </row>
    <row r="124" spans="2:14">
      <c r="B124" s="84">
        <f>団体基本情報入力!$B$22</f>
        <v>8</v>
      </c>
      <c r="C124" s="85" t="s">
        <v>56</v>
      </c>
      <c r="D124" s="86" t="s">
        <v>1</v>
      </c>
      <c r="E124" s="87">
        <f>SUMIFS(支出入力表!$L$6:$L$1000,支出入力表!$C$6:$C$1000,"8",支出入力表!$F$6:$F$1000,"8")</f>
        <v>0</v>
      </c>
      <c r="F124" s="88" t="s">
        <v>24</v>
      </c>
      <c r="G124" s="87">
        <f>SUMIFS(支出入力表!$M$6:$M$1000,支出入力表!$C$6:$C$1000,"8",支出入力表!$F$6:$F$1000,"8")</f>
        <v>0</v>
      </c>
      <c r="H124" s="88" t="s">
        <v>74</v>
      </c>
      <c r="I124" s="87">
        <f>SUMIFS(支出入力表!$N$6:$N$1000,支出入力表!$C$6:$C$1000,"8",支出入力表!$F$6:$F$1000,"8")</f>
        <v>0</v>
      </c>
      <c r="J124" s="137" t="s">
        <v>74</v>
      </c>
    </row>
    <row r="125" spans="2:14">
      <c r="B125" s="84">
        <f>団体基本情報入力!$B$22</f>
        <v>8</v>
      </c>
      <c r="C125" s="85" t="s">
        <v>57</v>
      </c>
      <c r="D125" s="86" t="s">
        <v>4</v>
      </c>
      <c r="E125" s="87">
        <f>SUMIFS(支出入力表!$L$6:$L$1000,支出入力表!$C$6:$C$1000,"8",支出入力表!$F$6:$F$1000,"9")</f>
        <v>0</v>
      </c>
      <c r="F125" s="88" t="s">
        <v>24</v>
      </c>
      <c r="G125" s="87">
        <f>SUMIFS(支出入力表!$M$6:$M$1000,支出入力表!$C$6:$C$1000,"8",支出入力表!$F$6:$F$1000,"9")</f>
        <v>0</v>
      </c>
      <c r="H125" s="88" t="s">
        <v>74</v>
      </c>
      <c r="I125" s="87">
        <f>SUMIFS(支出入力表!$N$6:$N$1000,支出入力表!$C$6:$C$1000,"8",支出入力表!$F$6:$F$1000,"9")</f>
        <v>0</v>
      </c>
      <c r="J125" s="137" t="s">
        <v>74</v>
      </c>
    </row>
    <row r="126" spans="2:14">
      <c r="B126" s="84">
        <f>団体基本情報入力!$B$22</f>
        <v>8</v>
      </c>
      <c r="C126" s="85" t="s">
        <v>58</v>
      </c>
      <c r="D126" s="86" t="s">
        <v>8</v>
      </c>
      <c r="E126" s="87">
        <f>SUMIFS(支出入力表!$L$6:$L$1000,支出入力表!$C$6:$C$1000,"8",支出入力表!$F$6:$F$1000,"10")</f>
        <v>0</v>
      </c>
      <c r="F126" s="88" t="s">
        <v>24</v>
      </c>
      <c r="G126" s="87">
        <f>SUMIFS(支出入力表!$M$6:$M$1000,支出入力表!$C$6:$C$1000,"8",支出入力表!$F$6:$F$1000,"10")</f>
        <v>0</v>
      </c>
      <c r="H126" s="88" t="s">
        <v>74</v>
      </c>
      <c r="I126" s="87">
        <f>SUMIFS(支出入力表!$N$6:$N$1000,支出入力表!$C$6:$C$1000,"8",支出入力表!$F$6:$F$1000,"10")</f>
        <v>0</v>
      </c>
      <c r="J126" s="137" t="s">
        <v>74</v>
      </c>
    </row>
    <row r="127" spans="2:14">
      <c r="B127" s="84">
        <f>団体基本情報入力!$B$22</f>
        <v>8</v>
      </c>
      <c r="C127" s="85" t="s">
        <v>59</v>
      </c>
      <c r="D127" s="86" t="s">
        <v>11</v>
      </c>
      <c r="E127" s="87">
        <f>SUMIFS(支出入力表!$L$6:$L$1000,支出入力表!$C$6:$C$1000,"8",支出入力表!$F$6:$F$1000,"11")</f>
        <v>0</v>
      </c>
      <c r="F127" s="88" t="s">
        <v>24</v>
      </c>
      <c r="G127" s="87">
        <f>SUMIFS(支出入力表!$M$6:$M$1000,支出入力表!$C$6:$C$1000,"8",支出入力表!$F$6:$F$1000,"11")</f>
        <v>0</v>
      </c>
      <c r="H127" s="88" t="s">
        <v>74</v>
      </c>
      <c r="I127" s="87">
        <f>SUMIFS(支出入力表!$N$6:$N$1000,支出入力表!$C$6:$C$1000,"8",支出入力表!$F$6:$F$1000,"11")</f>
        <v>0</v>
      </c>
      <c r="J127" s="137" t="s">
        <v>74</v>
      </c>
    </row>
    <row r="128" spans="2:14">
      <c r="B128" s="84">
        <f>団体基本情報入力!$B$22</f>
        <v>8</v>
      </c>
      <c r="C128" s="85" t="s">
        <v>60</v>
      </c>
      <c r="D128" s="86" t="s">
        <v>12</v>
      </c>
      <c r="E128" s="87">
        <f>SUMIFS(支出入力表!$L$6:$L$1000,支出入力表!$C$6:$C$1000,"8",支出入力表!$F$6:$F$1000,"12")</f>
        <v>0</v>
      </c>
      <c r="F128" s="88" t="s">
        <v>24</v>
      </c>
      <c r="G128" s="87">
        <f>SUMIFS(支出入力表!$M$6:$M$1000,支出入力表!$C$6:$C$1000,"8",支出入力表!$F$6:$F$1000,"12")</f>
        <v>0</v>
      </c>
      <c r="H128" s="88" t="s">
        <v>74</v>
      </c>
      <c r="I128" s="87">
        <f>SUMIFS(支出入力表!$N$6:$N$1000,支出入力表!$C$6:$C$1000,"8",支出入力表!$F$6:$F$1000,"12")</f>
        <v>0</v>
      </c>
      <c r="J128" s="137" t="s">
        <v>74</v>
      </c>
    </row>
    <row r="129" spans="2:10">
      <c r="B129" s="84">
        <f>団体基本情報入力!$B$22</f>
        <v>8</v>
      </c>
      <c r="C129" s="85" t="s">
        <v>61</v>
      </c>
      <c r="D129" s="86" t="s">
        <v>9</v>
      </c>
      <c r="E129" s="87">
        <f>SUMIFS(支出入力表!$L$6:$L$1000,支出入力表!$C$6:$C$1000,"8",支出入力表!$F$6:$F$1000,"13")</f>
        <v>0</v>
      </c>
      <c r="F129" s="88" t="s">
        <v>24</v>
      </c>
      <c r="G129" s="87">
        <f>SUMIFS(支出入力表!$M$6:$M$1000,支出入力表!$C$6:$C$1000,"8",支出入力表!$F$6:$F$1000,"13")</f>
        <v>0</v>
      </c>
      <c r="H129" s="88" t="s">
        <v>74</v>
      </c>
      <c r="I129" s="87">
        <f>SUMIFS(支出入力表!$N$6:$N$1000,支出入力表!$C$6:$C$1000,"8",支出入力表!$F$6:$F$1000,"13")</f>
        <v>0</v>
      </c>
      <c r="J129" s="137" t="s">
        <v>74</v>
      </c>
    </row>
    <row r="130" spans="2:10">
      <c r="B130" s="89">
        <f>団体基本情報入力!$B$22</f>
        <v>8</v>
      </c>
      <c r="C130" s="85" t="s">
        <v>47</v>
      </c>
      <c r="D130" s="86" t="s">
        <v>5</v>
      </c>
      <c r="E130" s="87">
        <f>SUMIFS(支出入力表!$L$6:$L$1000,支出入力表!$C$6:$C$1000,"8",支出入力表!$F$6:$F$1000,"14")</f>
        <v>0</v>
      </c>
      <c r="F130" s="88" t="s">
        <v>24</v>
      </c>
      <c r="G130" s="87">
        <f>SUMIFS(支出入力表!$M$6:$M$1000,支出入力表!$C$6:$C$1000,"8",支出入力表!$F$6:$F$1000,"14")</f>
        <v>0</v>
      </c>
      <c r="H130" s="88" t="s">
        <v>74</v>
      </c>
      <c r="I130" s="87">
        <f>SUMIFS(支出入力表!$N$6:$N$1000,支出入力表!$C$6:$C$1000,"8",支出入力表!$F$6:$F$1000,"14")</f>
        <v>0</v>
      </c>
      <c r="J130" s="137" t="s">
        <v>74</v>
      </c>
    </row>
    <row r="131" spans="2:10" ht="19.5" thickBot="1">
      <c r="B131" s="90">
        <f>団体基本情報入力!$B$22</f>
        <v>8</v>
      </c>
      <c r="C131" s="91" t="s">
        <v>106</v>
      </c>
      <c r="D131" s="92" t="s">
        <v>103</v>
      </c>
      <c r="E131" s="93">
        <f>SUMIFS(支出入力表!$L$6:$L$1000,支出入力表!$C$6:$C$1000,"8",支出入力表!$F$6:$F$1000,"15")</f>
        <v>0</v>
      </c>
      <c r="F131" s="94" t="s">
        <v>24</v>
      </c>
      <c r="G131" s="108" t="s">
        <v>107</v>
      </c>
      <c r="H131" s="94" t="s">
        <v>24</v>
      </c>
      <c r="I131" s="93">
        <f>SUMIFS(支出入力表!$N$6:$N$1000,支出入力表!$C$6:$C$1000,"8",支出入力表!$F$6:$F$1000,"15")</f>
        <v>0</v>
      </c>
      <c r="J131" s="138" t="s">
        <v>24</v>
      </c>
    </row>
    <row r="132" spans="2:10" ht="19.5" thickTop="1">
      <c r="B132" s="110">
        <f>団体基本情報入力!$B$22</f>
        <v>8</v>
      </c>
      <c r="C132" s="512" t="s">
        <v>177</v>
      </c>
      <c r="D132" s="512"/>
      <c r="E132" s="111">
        <f>SUM(E117:E131)</f>
        <v>0</v>
      </c>
      <c r="F132" s="112" t="s">
        <v>74</v>
      </c>
      <c r="G132" s="111">
        <f>SUM(G117:G131)</f>
        <v>0</v>
      </c>
      <c r="H132" s="112" t="s">
        <v>74</v>
      </c>
      <c r="I132" s="111">
        <f>SUM(I117:I131)</f>
        <v>0</v>
      </c>
      <c r="J132" s="139" t="s">
        <v>74</v>
      </c>
    </row>
    <row r="133" spans="2:10">
      <c r="B133" s="79">
        <f>団体基本情報入力!$B$23</f>
        <v>9</v>
      </c>
      <c r="C133" s="95" t="s">
        <v>49</v>
      </c>
      <c r="D133" s="96" t="s">
        <v>0</v>
      </c>
      <c r="E133" s="97">
        <f>SUMIFS(支出入力表!$L$6:$L$1000,支出入力表!$C$6:$C$1000,"9",支出入力表!$F$6:$F$1000,"1")</f>
        <v>0</v>
      </c>
      <c r="F133" s="98" t="s">
        <v>74</v>
      </c>
      <c r="G133" s="97">
        <f>SUMIFS(支出入力表!$M$6:$M$1000,支出入力表!$C$6:$C$1000,"9",支出入力表!$F$6:$F$1000,"1")</f>
        <v>0</v>
      </c>
      <c r="H133" s="98" t="s">
        <v>74</v>
      </c>
      <c r="I133" s="97">
        <f>SUMIFS(支出入力表!$N$6:$N$1000,支出入力表!$C$6:$C$1000,"9",支出入力表!$F$6:$F$1000,"1")</f>
        <v>0</v>
      </c>
      <c r="J133" s="140" t="s">
        <v>74</v>
      </c>
    </row>
    <row r="134" spans="2:10">
      <c r="B134" s="84">
        <f>団体基本情報入力!$B$23</f>
        <v>9</v>
      </c>
      <c r="C134" s="85" t="s">
        <v>50</v>
      </c>
      <c r="D134" s="86" t="s">
        <v>2</v>
      </c>
      <c r="E134" s="87">
        <f>SUMIFS(支出入力表!$L$6:$L$1000,支出入力表!$C$6:$C$1000,"9",支出入力表!$F$6:$F$1000,"2")</f>
        <v>0</v>
      </c>
      <c r="F134" s="88" t="s">
        <v>74</v>
      </c>
      <c r="G134" s="87">
        <f>SUMIFS(支出入力表!$M$6:$M$1000,支出入力表!$C$6:$C$1000,"9",支出入力表!$F$6:$F$1000,"2")</f>
        <v>0</v>
      </c>
      <c r="H134" s="88" t="s">
        <v>74</v>
      </c>
      <c r="I134" s="87">
        <f>SUMIFS(支出入力表!$N$6:$N$1000,支出入力表!$C$6:$C$1000,"9",支出入力表!$F$6:$F$1000,"2")</f>
        <v>0</v>
      </c>
      <c r="J134" s="137" t="s">
        <v>74</v>
      </c>
    </row>
    <row r="135" spans="2:10">
      <c r="B135" s="84">
        <f>団体基本情報入力!$B$23</f>
        <v>9</v>
      </c>
      <c r="C135" s="85" t="s">
        <v>51</v>
      </c>
      <c r="D135" s="86" t="s">
        <v>191</v>
      </c>
      <c r="E135" s="87">
        <f>SUMIFS(支出入力表!$L$6:$L$1000,支出入力表!$C$6:$C$1000,"9",支出入力表!$F$6:$F$1000,"3")</f>
        <v>0</v>
      </c>
      <c r="F135" s="88" t="s">
        <v>74</v>
      </c>
      <c r="G135" s="87">
        <f>SUMIFS(支出入力表!$M$6:$M$1000,支出入力表!$C$6:$C$1000,"9",支出入力表!$F$6:$F$1000,"3")</f>
        <v>0</v>
      </c>
      <c r="H135" s="88" t="s">
        <v>74</v>
      </c>
      <c r="I135" s="87">
        <f>SUMIFS(支出入力表!$N$6:$N$1000,支出入力表!$C$6:$C$1000,"9",支出入力表!$F$6:$F$1000,"3")</f>
        <v>0</v>
      </c>
      <c r="J135" s="137" t="s">
        <v>74</v>
      </c>
    </row>
    <row r="136" spans="2:10">
      <c r="B136" s="84">
        <f>団体基本情報入力!$B$23</f>
        <v>9</v>
      </c>
      <c r="C136" s="85" t="s">
        <v>52</v>
      </c>
      <c r="D136" s="86" t="s">
        <v>192</v>
      </c>
      <c r="E136" s="87">
        <f>SUMIFS(支出入力表!$L$6:$L$1000,支出入力表!$C$6:$C$1000,"9",支出入力表!$F$6:$F$1000,"4")</f>
        <v>0</v>
      </c>
      <c r="F136" s="88" t="s">
        <v>74</v>
      </c>
      <c r="G136" s="87">
        <f>SUMIFS(支出入力表!$M$6:$M$1000,支出入力表!$C$6:$C$1000,"9",支出入力表!$F$6:$F$1000,"4")</f>
        <v>0</v>
      </c>
      <c r="H136" s="88" t="s">
        <v>74</v>
      </c>
      <c r="I136" s="87">
        <f>SUMIFS(支出入力表!$N$6:$N$1000,支出入力表!$C$6:$C$1000,"9",支出入力表!$F$6:$F$1000,"4")</f>
        <v>0</v>
      </c>
      <c r="J136" s="137" t="s">
        <v>74</v>
      </c>
    </row>
    <row r="137" spans="2:10">
      <c r="B137" s="84">
        <f>団体基本情報入力!$B$23</f>
        <v>9</v>
      </c>
      <c r="C137" s="85" t="s">
        <v>53</v>
      </c>
      <c r="D137" s="86" t="s">
        <v>10</v>
      </c>
      <c r="E137" s="87">
        <f>SUMIFS(支出入力表!$L$6:$L$1000,支出入力表!$C$6:$C$1000,"9",支出入力表!$F$6:$F$1000,"5")</f>
        <v>0</v>
      </c>
      <c r="F137" s="88" t="s">
        <v>74</v>
      </c>
      <c r="G137" s="87">
        <f>SUMIFS(支出入力表!$M$6:$M$1000,支出入力表!$C$6:$C$1000,"9",支出入力表!$F$6:$F$1000,"5")</f>
        <v>0</v>
      </c>
      <c r="H137" s="88" t="s">
        <v>74</v>
      </c>
      <c r="I137" s="87">
        <f>SUMIFS(支出入力表!$N$6:$N$1000,支出入力表!$C$6:$C$1000,"9",支出入力表!$F$6:$F$1000,"5")</f>
        <v>0</v>
      </c>
      <c r="J137" s="137" t="s">
        <v>74</v>
      </c>
    </row>
    <row r="138" spans="2:10">
      <c r="B138" s="84">
        <f>団体基本情報入力!$B$23</f>
        <v>9</v>
      </c>
      <c r="C138" s="85" t="s">
        <v>54</v>
      </c>
      <c r="D138" s="86" t="s">
        <v>3</v>
      </c>
      <c r="E138" s="87">
        <f>SUMIFS(支出入力表!$L$6:$L$1000,支出入力表!$C$6:$C$1000,"9",支出入力表!$F$6:$F$1000,"6")</f>
        <v>0</v>
      </c>
      <c r="F138" s="88" t="s">
        <v>74</v>
      </c>
      <c r="G138" s="87">
        <f>SUMIFS(支出入力表!$M$6:$M$1000,支出入力表!$C$6:$C$1000,"9",支出入力表!$F$6:$F$1000,"6")</f>
        <v>0</v>
      </c>
      <c r="H138" s="88" t="s">
        <v>74</v>
      </c>
      <c r="I138" s="87">
        <f>SUMIFS(支出入力表!$N$6:$N$1000,支出入力表!$C$6:$C$1000,"9",支出入力表!$F$6:$F$1000,"6")</f>
        <v>0</v>
      </c>
      <c r="J138" s="137" t="s">
        <v>74</v>
      </c>
    </row>
    <row r="139" spans="2:10">
      <c r="B139" s="84">
        <f>団体基本情報入力!$B$23</f>
        <v>9</v>
      </c>
      <c r="C139" s="85" t="s">
        <v>55</v>
      </c>
      <c r="D139" s="86" t="s">
        <v>7</v>
      </c>
      <c r="E139" s="87">
        <f>SUMIFS(支出入力表!$L$6:$L$1000,支出入力表!$C$6:$C$1000,"9",支出入力表!$F$6:$F$1000,"7")</f>
        <v>0</v>
      </c>
      <c r="F139" s="88" t="s">
        <v>74</v>
      </c>
      <c r="G139" s="87">
        <f>SUMIFS(支出入力表!$M$6:$M$1000,支出入力表!$C$6:$C$1000,"9",支出入力表!$F$6:$F$1000,"7")</f>
        <v>0</v>
      </c>
      <c r="H139" s="88" t="s">
        <v>74</v>
      </c>
      <c r="I139" s="87">
        <f>SUMIFS(支出入力表!$N$6:$N$1000,支出入力表!$C$6:$C$1000,"9",支出入力表!$F$6:$F$1000,"7")</f>
        <v>0</v>
      </c>
      <c r="J139" s="137" t="s">
        <v>74</v>
      </c>
    </row>
    <row r="140" spans="2:10">
      <c r="B140" s="84">
        <f>団体基本情報入力!$B$23</f>
        <v>9</v>
      </c>
      <c r="C140" s="85" t="s">
        <v>56</v>
      </c>
      <c r="D140" s="86" t="s">
        <v>1</v>
      </c>
      <c r="E140" s="87">
        <f>SUMIFS(支出入力表!$L$6:$L$1000,支出入力表!$C$6:$C$1000,"9",支出入力表!$F$6:$F$1000,"8")</f>
        <v>0</v>
      </c>
      <c r="F140" s="88" t="s">
        <v>74</v>
      </c>
      <c r="G140" s="87">
        <f>SUMIFS(支出入力表!$M$6:$M$1000,支出入力表!$C$6:$C$1000,"9",支出入力表!$F$6:$F$1000,"8")</f>
        <v>0</v>
      </c>
      <c r="H140" s="88" t="s">
        <v>74</v>
      </c>
      <c r="I140" s="87">
        <f>SUMIFS(支出入力表!$N$6:$N$1000,支出入力表!$C$6:$C$1000,"9",支出入力表!$F$6:$F$1000,"8")</f>
        <v>0</v>
      </c>
      <c r="J140" s="137" t="s">
        <v>74</v>
      </c>
    </row>
    <row r="141" spans="2:10">
      <c r="B141" s="84">
        <f>団体基本情報入力!$B$23</f>
        <v>9</v>
      </c>
      <c r="C141" s="85" t="s">
        <v>57</v>
      </c>
      <c r="D141" s="86" t="s">
        <v>4</v>
      </c>
      <c r="E141" s="87">
        <f>SUMIFS(支出入力表!$L$6:$L$1000,支出入力表!$C$6:$C$1000,"9",支出入力表!$F$6:$F$1000,"9")</f>
        <v>0</v>
      </c>
      <c r="F141" s="88" t="s">
        <v>74</v>
      </c>
      <c r="G141" s="87">
        <f>SUMIFS(支出入力表!$M$6:$M$1000,支出入力表!$C$6:$C$1000,"9",支出入力表!$F$6:$F$1000,"9")</f>
        <v>0</v>
      </c>
      <c r="H141" s="88" t="s">
        <v>74</v>
      </c>
      <c r="I141" s="87">
        <f>SUMIFS(支出入力表!$N$6:$N$1000,支出入力表!$C$6:$C$1000,"9",支出入力表!$F$6:$F$1000,"9")</f>
        <v>0</v>
      </c>
      <c r="J141" s="137" t="s">
        <v>74</v>
      </c>
    </row>
    <row r="142" spans="2:10">
      <c r="B142" s="84">
        <f>団体基本情報入力!$B$23</f>
        <v>9</v>
      </c>
      <c r="C142" s="85" t="s">
        <v>58</v>
      </c>
      <c r="D142" s="86" t="s">
        <v>8</v>
      </c>
      <c r="E142" s="87">
        <f>SUMIFS(支出入力表!$L$6:$L$1000,支出入力表!$C$6:$C$1000,"9",支出入力表!$F$6:$F$1000,"10")</f>
        <v>0</v>
      </c>
      <c r="F142" s="88" t="s">
        <v>74</v>
      </c>
      <c r="G142" s="87">
        <f>SUMIFS(支出入力表!$M$6:$M$1000,支出入力表!$C$6:$C$1000,"9",支出入力表!$F$6:$F$1000,"10")</f>
        <v>0</v>
      </c>
      <c r="H142" s="88" t="s">
        <v>74</v>
      </c>
      <c r="I142" s="87">
        <f>SUMIFS(支出入力表!$N$6:$N$1000,支出入力表!$C$6:$C$1000,"9",支出入力表!$F$6:$F$1000,"10")</f>
        <v>0</v>
      </c>
      <c r="J142" s="137" t="s">
        <v>74</v>
      </c>
    </row>
    <row r="143" spans="2:10">
      <c r="B143" s="84">
        <f>団体基本情報入力!$B$23</f>
        <v>9</v>
      </c>
      <c r="C143" s="85" t="s">
        <v>59</v>
      </c>
      <c r="D143" s="86" t="s">
        <v>11</v>
      </c>
      <c r="E143" s="87">
        <f>SUMIFS(支出入力表!$L$6:$L$1000,支出入力表!$C$6:$C$1000,"9",支出入力表!$F$6:$F$1000,"11")</f>
        <v>0</v>
      </c>
      <c r="F143" s="88" t="s">
        <v>74</v>
      </c>
      <c r="G143" s="87">
        <f>SUMIFS(支出入力表!$M$6:$M$1000,支出入力表!$C$6:$C$1000,"9",支出入力表!$F$6:$F$1000,"11")</f>
        <v>0</v>
      </c>
      <c r="H143" s="88" t="s">
        <v>74</v>
      </c>
      <c r="I143" s="87">
        <f>SUMIFS(支出入力表!$N$6:$N$1000,支出入力表!$C$6:$C$1000,"9",支出入力表!$F$6:$F$1000,"11")</f>
        <v>0</v>
      </c>
      <c r="J143" s="137" t="s">
        <v>74</v>
      </c>
    </row>
    <row r="144" spans="2:10">
      <c r="B144" s="84">
        <f>団体基本情報入力!$B$23</f>
        <v>9</v>
      </c>
      <c r="C144" s="85" t="s">
        <v>60</v>
      </c>
      <c r="D144" s="86" t="s">
        <v>12</v>
      </c>
      <c r="E144" s="87">
        <f>SUMIFS(支出入力表!$L$6:$L$1000,支出入力表!$C$6:$C$1000,"9",支出入力表!$F$6:$F$1000,"12")</f>
        <v>0</v>
      </c>
      <c r="F144" s="88" t="s">
        <v>74</v>
      </c>
      <c r="G144" s="87">
        <f>SUMIFS(支出入力表!$M$6:$M$1000,支出入力表!$C$6:$C$1000,"9",支出入力表!$F$6:$F$1000,"12")</f>
        <v>0</v>
      </c>
      <c r="H144" s="88" t="s">
        <v>74</v>
      </c>
      <c r="I144" s="87">
        <f>SUMIFS(支出入力表!$N$6:$N$1000,支出入力表!$C$6:$C$1000,"9",支出入力表!$F$6:$F$1000,"12")</f>
        <v>0</v>
      </c>
      <c r="J144" s="137" t="s">
        <v>74</v>
      </c>
    </row>
    <row r="145" spans="2:10">
      <c r="B145" s="84">
        <f>団体基本情報入力!$B$23</f>
        <v>9</v>
      </c>
      <c r="C145" s="85" t="s">
        <v>61</v>
      </c>
      <c r="D145" s="86" t="s">
        <v>9</v>
      </c>
      <c r="E145" s="87">
        <f>SUMIFS(支出入力表!$L$6:$L$1000,支出入力表!$C$6:$C$1000,"9",支出入力表!$F$6:$F$1000,"13")</f>
        <v>0</v>
      </c>
      <c r="F145" s="88" t="s">
        <v>74</v>
      </c>
      <c r="G145" s="87">
        <f>SUMIFS(支出入力表!$M$6:$M$1000,支出入力表!$C$6:$C$1000,"9",支出入力表!$F$6:$F$1000,"13")</f>
        <v>0</v>
      </c>
      <c r="H145" s="88" t="s">
        <v>74</v>
      </c>
      <c r="I145" s="87">
        <f>SUMIFS(支出入力表!$N$6:$N$1000,支出入力表!$C$6:$C$1000,"9",支出入力表!$F$6:$F$1000,"13")</f>
        <v>0</v>
      </c>
      <c r="J145" s="137" t="s">
        <v>74</v>
      </c>
    </row>
    <row r="146" spans="2:10">
      <c r="B146" s="89">
        <f>団体基本情報入力!$B$23</f>
        <v>9</v>
      </c>
      <c r="C146" s="85" t="s">
        <v>47</v>
      </c>
      <c r="D146" s="86" t="s">
        <v>5</v>
      </c>
      <c r="E146" s="87">
        <f>SUMIFS(支出入力表!$L$6:$L$1000,支出入力表!$C$6:$C$1000,"9",支出入力表!$F$6:$F$1000,"14")</f>
        <v>0</v>
      </c>
      <c r="F146" s="88" t="s">
        <v>74</v>
      </c>
      <c r="G146" s="87">
        <f>SUMIFS(支出入力表!$M$6:$M$1000,支出入力表!$C$6:$C$1000,"9",支出入力表!$F$6:$F$1000,"14")</f>
        <v>0</v>
      </c>
      <c r="H146" s="88" t="s">
        <v>74</v>
      </c>
      <c r="I146" s="87">
        <f>SUMIFS(支出入力表!$N$6:$N$1000,支出入力表!$C$6:$C$1000,"9",支出入力表!$F$6:$F$1000,"14")</f>
        <v>0</v>
      </c>
      <c r="J146" s="137" t="s">
        <v>74</v>
      </c>
    </row>
    <row r="147" spans="2:10" ht="19.5" thickBot="1">
      <c r="B147" s="90">
        <f>団体基本情報入力!$B$23</f>
        <v>9</v>
      </c>
      <c r="C147" s="91" t="s">
        <v>106</v>
      </c>
      <c r="D147" s="92" t="s">
        <v>103</v>
      </c>
      <c r="E147" s="93">
        <f>SUMIFS(支出入力表!$L$6:$L$1000,支出入力表!$C$6:$C$1000,"9",支出入力表!$F$6:$F$1000,"15")</f>
        <v>0</v>
      </c>
      <c r="F147" s="94" t="s">
        <v>24</v>
      </c>
      <c r="G147" s="108" t="s">
        <v>107</v>
      </c>
      <c r="H147" s="94" t="s">
        <v>24</v>
      </c>
      <c r="I147" s="93">
        <f>SUMIFS(支出入力表!$N$6:$N$1000,支出入力表!$C$6:$C$1000,"9",支出入力表!$F$6:$F$1000,"15")</f>
        <v>0</v>
      </c>
      <c r="J147" s="138" t="s">
        <v>24</v>
      </c>
    </row>
    <row r="148" spans="2:10" ht="19.5" thickTop="1">
      <c r="B148" s="110">
        <f>団体基本情報入力!$B$23</f>
        <v>9</v>
      </c>
      <c r="C148" s="512" t="s">
        <v>178</v>
      </c>
      <c r="D148" s="512"/>
      <c r="E148" s="111">
        <f>SUM(E133:E147)</f>
        <v>0</v>
      </c>
      <c r="F148" s="112" t="s">
        <v>74</v>
      </c>
      <c r="G148" s="111">
        <f>SUM(G133:G147)</f>
        <v>0</v>
      </c>
      <c r="H148" s="112" t="s">
        <v>74</v>
      </c>
      <c r="I148" s="111">
        <f>SUM(I133:I147)</f>
        <v>0</v>
      </c>
      <c r="J148" s="139" t="s">
        <v>74</v>
      </c>
    </row>
    <row r="149" spans="2:10">
      <c r="B149" s="79">
        <f>団体基本情報入力!$B$24</f>
        <v>10</v>
      </c>
      <c r="C149" s="95" t="s">
        <v>49</v>
      </c>
      <c r="D149" s="96" t="s">
        <v>0</v>
      </c>
      <c r="E149" s="97">
        <f>SUMIFS(支出入力表!$L$6:$L$1000,支出入力表!$C$6:$C$1000,"10",支出入力表!$F$6:$F$1000,"1")</f>
        <v>0</v>
      </c>
      <c r="F149" s="98" t="s">
        <v>74</v>
      </c>
      <c r="G149" s="97">
        <f>SUMIFS(支出入力表!$M$6:$M$1000,支出入力表!$C$6:$C$1000,"10",支出入力表!$F$6:$F$1000,"1")</f>
        <v>0</v>
      </c>
      <c r="H149" s="98" t="s">
        <v>74</v>
      </c>
      <c r="I149" s="97">
        <f>SUMIFS(支出入力表!$N$6:$N$1000,支出入力表!$C$6:$C$1000,"10",支出入力表!$F$6:$F$1000,"1")</f>
        <v>0</v>
      </c>
      <c r="J149" s="140" t="s">
        <v>74</v>
      </c>
    </row>
    <row r="150" spans="2:10">
      <c r="B150" s="84">
        <f>団体基本情報入力!$B$24</f>
        <v>10</v>
      </c>
      <c r="C150" s="85" t="s">
        <v>50</v>
      </c>
      <c r="D150" s="86" t="s">
        <v>2</v>
      </c>
      <c r="E150" s="87">
        <f>SUMIFS(支出入力表!$L$6:$L$1000,支出入力表!$C$6:$C$1000,"10",支出入力表!$F$6:$F$1000,"2")</f>
        <v>0</v>
      </c>
      <c r="F150" s="88" t="s">
        <v>74</v>
      </c>
      <c r="G150" s="87">
        <f>SUMIFS(支出入力表!$M$6:$M$1000,支出入力表!$C$6:$C$1000,"10",支出入力表!$F$6:$F$1000,"2")</f>
        <v>0</v>
      </c>
      <c r="H150" s="88" t="s">
        <v>74</v>
      </c>
      <c r="I150" s="87">
        <f>SUMIFS(支出入力表!$N$6:$N$1000,支出入力表!$C$6:$C$1000,"10",支出入力表!$F$6:$F$1000,"2")</f>
        <v>0</v>
      </c>
      <c r="J150" s="137" t="s">
        <v>74</v>
      </c>
    </row>
    <row r="151" spans="2:10">
      <c r="B151" s="84">
        <f>団体基本情報入力!$B$24</f>
        <v>10</v>
      </c>
      <c r="C151" s="99" t="s">
        <v>67</v>
      </c>
      <c r="D151" s="72" t="s">
        <v>191</v>
      </c>
      <c r="E151" s="100">
        <f>SUMIFS(支出入力表!$L$6:$L$1000,支出入力表!$C$6:$C$1000,"10",支出入力表!$F$6:$F$1000,"3")</f>
        <v>0</v>
      </c>
      <c r="F151" s="101" t="s">
        <v>74</v>
      </c>
      <c r="G151" s="100">
        <f>SUMIFS(支出入力表!$M$6:$M$1000,支出入力表!$C$6:$C$1000,"10",支出入力表!$F$6:$F$1000,"3")</f>
        <v>0</v>
      </c>
      <c r="H151" s="101" t="s">
        <v>74</v>
      </c>
      <c r="I151" s="100">
        <f>SUMIFS(支出入力表!$N$6:$N$1000,支出入力表!$C$6:$C$1000,"10",支出入力表!$F$6:$F$1000,"3")</f>
        <v>0</v>
      </c>
      <c r="J151" s="141" t="s">
        <v>74</v>
      </c>
    </row>
    <row r="152" spans="2:10">
      <c r="B152" s="84">
        <f>団体基本情報入力!$B$24</f>
        <v>10</v>
      </c>
      <c r="C152" s="99" t="s">
        <v>52</v>
      </c>
      <c r="D152" s="72" t="s">
        <v>192</v>
      </c>
      <c r="E152" s="100">
        <f>SUMIFS(支出入力表!$L$6:$L$1000,支出入力表!$C$6:$C$1000,"10",支出入力表!$F$6:$F$1000,"4")</f>
        <v>0</v>
      </c>
      <c r="F152" s="101" t="s">
        <v>74</v>
      </c>
      <c r="G152" s="100">
        <f>SUMIFS(支出入力表!$M$6:$M$1000,支出入力表!$C$6:$C$1000,"10",支出入力表!$F$6:$F$1000,"4")</f>
        <v>0</v>
      </c>
      <c r="H152" s="101" t="s">
        <v>74</v>
      </c>
      <c r="I152" s="100">
        <f>SUMIFS(支出入力表!$N$6:$N$1000,支出入力表!$C$6:$C$1000,"10",支出入力表!$F$6:$F$1000,"4")</f>
        <v>0</v>
      </c>
      <c r="J152" s="141" t="s">
        <v>74</v>
      </c>
    </row>
    <row r="153" spans="2:10">
      <c r="B153" s="84">
        <f>団体基本情報入力!$B$24</f>
        <v>10</v>
      </c>
      <c r="C153" s="99" t="s">
        <v>53</v>
      </c>
      <c r="D153" s="72" t="s">
        <v>10</v>
      </c>
      <c r="E153" s="100">
        <f>SUMIFS(支出入力表!$L$6:$L$1000,支出入力表!$C$6:$C$1000,"10",支出入力表!$F$6:$F$1000,"5")</f>
        <v>0</v>
      </c>
      <c r="F153" s="101" t="s">
        <v>74</v>
      </c>
      <c r="G153" s="100">
        <f>SUMIFS(支出入力表!$M$6:$M$1000,支出入力表!$C$6:$C$1000,"10",支出入力表!$F$6:$F$1000,"5")</f>
        <v>0</v>
      </c>
      <c r="H153" s="101" t="s">
        <v>74</v>
      </c>
      <c r="I153" s="100">
        <f>SUMIFS(支出入力表!$N$6:$N$1000,支出入力表!$C$6:$C$1000,"10",支出入力表!$F$6:$F$1000,"5")</f>
        <v>0</v>
      </c>
      <c r="J153" s="141" t="s">
        <v>74</v>
      </c>
    </row>
    <row r="154" spans="2:10">
      <c r="B154" s="84">
        <f>団体基本情報入力!$B$24</f>
        <v>10</v>
      </c>
      <c r="C154" s="99" t="s">
        <v>54</v>
      </c>
      <c r="D154" s="72" t="s">
        <v>3</v>
      </c>
      <c r="E154" s="100">
        <f>SUMIFS(支出入力表!$L$6:$L$1000,支出入力表!$C$6:$C$1000,"10",支出入力表!$F$6:$F$1000,"6")</f>
        <v>0</v>
      </c>
      <c r="F154" s="101" t="s">
        <v>74</v>
      </c>
      <c r="G154" s="100">
        <f>SUMIFS(支出入力表!$M$6:$M$1000,支出入力表!$C$6:$C$1000,"10",支出入力表!$F$6:$F$1000,"6")</f>
        <v>0</v>
      </c>
      <c r="H154" s="101" t="s">
        <v>74</v>
      </c>
      <c r="I154" s="100">
        <f>SUMIFS(支出入力表!$N$6:$N$1000,支出入力表!$C$6:$C$1000,"10",支出入力表!$F$6:$F$1000,"6")</f>
        <v>0</v>
      </c>
      <c r="J154" s="141" t="s">
        <v>74</v>
      </c>
    </row>
    <row r="155" spans="2:10">
      <c r="B155" s="84">
        <f>団体基本情報入力!$B$24</f>
        <v>10</v>
      </c>
      <c r="C155" s="99" t="s">
        <v>55</v>
      </c>
      <c r="D155" s="72" t="s">
        <v>7</v>
      </c>
      <c r="E155" s="100">
        <f>SUMIFS(支出入力表!$L$6:$L$1000,支出入力表!$C$6:$C$1000,"10",支出入力表!$F$6:$F$1000,"7")</f>
        <v>0</v>
      </c>
      <c r="F155" s="101" t="s">
        <v>74</v>
      </c>
      <c r="G155" s="100">
        <f>SUMIFS(支出入力表!$M$6:$M$1000,支出入力表!$C$6:$C$1000,"10",支出入力表!$F$6:$F$1000,"7")</f>
        <v>0</v>
      </c>
      <c r="H155" s="101" t="s">
        <v>74</v>
      </c>
      <c r="I155" s="100">
        <f>SUMIFS(支出入力表!$N$6:$N$1000,支出入力表!$C$6:$C$1000,"10",支出入力表!$F$6:$F$1000,"7")</f>
        <v>0</v>
      </c>
      <c r="J155" s="141" t="s">
        <v>74</v>
      </c>
    </row>
    <row r="156" spans="2:10">
      <c r="B156" s="84">
        <f>団体基本情報入力!$B$24</f>
        <v>10</v>
      </c>
      <c r="C156" s="99" t="s">
        <v>56</v>
      </c>
      <c r="D156" s="72" t="s">
        <v>1</v>
      </c>
      <c r="E156" s="100">
        <f>SUMIFS(支出入力表!$L$6:$L$1000,支出入力表!$C$6:$C$1000,"10",支出入力表!$F$6:$F$1000,"8")</f>
        <v>0</v>
      </c>
      <c r="F156" s="101" t="s">
        <v>74</v>
      </c>
      <c r="G156" s="100">
        <f>SUMIFS(支出入力表!$M$6:$M$1000,支出入力表!$C$6:$C$1000,"10",支出入力表!$F$6:$F$1000,"8")</f>
        <v>0</v>
      </c>
      <c r="H156" s="101" t="s">
        <v>74</v>
      </c>
      <c r="I156" s="100">
        <f>SUMIFS(支出入力表!$N$6:$N$1000,支出入力表!$C$6:$C$1000,"10",支出入力表!$F$6:$F$1000,"8")</f>
        <v>0</v>
      </c>
      <c r="J156" s="141" t="s">
        <v>74</v>
      </c>
    </row>
    <row r="157" spans="2:10">
      <c r="B157" s="84">
        <f>団体基本情報入力!$B$24</f>
        <v>10</v>
      </c>
      <c r="C157" s="99" t="s">
        <v>57</v>
      </c>
      <c r="D157" s="72" t="s">
        <v>4</v>
      </c>
      <c r="E157" s="100">
        <f>SUMIFS(支出入力表!$L$6:$L$1000,支出入力表!$C$6:$C$1000,"10",支出入力表!$F$6:$F$1000,"9")</f>
        <v>0</v>
      </c>
      <c r="F157" s="101" t="s">
        <v>74</v>
      </c>
      <c r="G157" s="100">
        <f>SUMIFS(支出入力表!$M$6:$M$1000,支出入力表!$C$6:$C$1000,"10",支出入力表!$F$6:$F$1000,"9")</f>
        <v>0</v>
      </c>
      <c r="H157" s="101" t="s">
        <v>74</v>
      </c>
      <c r="I157" s="100">
        <f>SUMIFS(支出入力表!$N$6:$N$1000,支出入力表!$C$6:$C$1000,"10",支出入力表!$F$6:$F$1000,"9")</f>
        <v>0</v>
      </c>
      <c r="J157" s="141" t="s">
        <v>74</v>
      </c>
    </row>
    <row r="158" spans="2:10">
      <c r="B158" s="84">
        <f>団体基本情報入力!$B$24</f>
        <v>10</v>
      </c>
      <c r="C158" s="99" t="s">
        <v>58</v>
      </c>
      <c r="D158" s="72" t="s">
        <v>8</v>
      </c>
      <c r="E158" s="100">
        <f>SUMIFS(支出入力表!$L$6:$L$1000,支出入力表!$C$6:$C$1000,"10",支出入力表!$F$6:$F$1000,"10")</f>
        <v>0</v>
      </c>
      <c r="F158" s="101" t="s">
        <v>74</v>
      </c>
      <c r="G158" s="100">
        <f>SUMIFS(支出入力表!$M$6:$M$1000,支出入力表!$C$6:$C$1000,"10",支出入力表!$F$6:$F$1000,"10")</f>
        <v>0</v>
      </c>
      <c r="H158" s="101" t="s">
        <v>74</v>
      </c>
      <c r="I158" s="100">
        <f>SUMIFS(支出入力表!$N$6:$N$1000,支出入力表!$C$6:$C$1000,"10",支出入力表!$F$6:$F$1000,"10")</f>
        <v>0</v>
      </c>
      <c r="J158" s="141" t="s">
        <v>74</v>
      </c>
    </row>
    <row r="159" spans="2:10">
      <c r="B159" s="84">
        <f>団体基本情報入力!$B$24</f>
        <v>10</v>
      </c>
      <c r="C159" s="99" t="s">
        <v>59</v>
      </c>
      <c r="D159" s="72" t="s">
        <v>11</v>
      </c>
      <c r="E159" s="100">
        <f>SUMIFS(支出入力表!$L$6:$L$1000,支出入力表!$C$6:$C$1000,"10",支出入力表!$F$6:$F$1000,"11")</f>
        <v>0</v>
      </c>
      <c r="F159" s="101" t="s">
        <v>74</v>
      </c>
      <c r="G159" s="100">
        <f>SUMIFS(支出入力表!$M$6:$M$1000,支出入力表!$C$6:$C$1000,"10",支出入力表!$F$6:$F$1000,"11")</f>
        <v>0</v>
      </c>
      <c r="H159" s="101" t="s">
        <v>74</v>
      </c>
      <c r="I159" s="100">
        <f>SUMIFS(支出入力表!$N$6:$N$1000,支出入力表!$C$6:$C$1000,"10",支出入力表!$F$6:$F$1000,"11")</f>
        <v>0</v>
      </c>
      <c r="J159" s="141" t="s">
        <v>74</v>
      </c>
    </row>
    <row r="160" spans="2:10">
      <c r="B160" s="84">
        <f>団体基本情報入力!$B$24</f>
        <v>10</v>
      </c>
      <c r="C160" s="99" t="s">
        <v>60</v>
      </c>
      <c r="D160" s="72" t="s">
        <v>12</v>
      </c>
      <c r="E160" s="100">
        <f>SUMIFS(支出入力表!$L$6:$L$1000,支出入力表!$C$6:$C$1000,"10",支出入力表!$F$6:$F$1000,"12")</f>
        <v>0</v>
      </c>
      <c r="F160" s="101" t="s">
        <v>74</v>
      </c>
      <c r="G160" s="100">
        <f>SUMIFS(支出入力表!$M$6:$M$1000,支出入力表!$C$6:$C$1000,"10",支出入力表!$F$6:$F$1000,"12")</f>
        <v>0</v>
      </c>
      <c r="H160" s="101" t="s">
        <v>74</v>
      </c>
      <c r="I160" s="100">
        <f>SUMIFS(支出入力表!$N$6:$N$1000,支出入力表!$C$6:$C$1000,"10",支出入力表!$F$6:$F$1000,"12")</f>
        <v>0</v>
      </c>
      <c r="J160" s="141" t="s">
        <v>74</v>
      </c>
    </row>
    <row r="161" spans="2:10">
      <c r="B161" s="84">
        <f>団体基本情報入力!$B$24</f>
        <v>10</v>
      </c>
      <c r="C161" s="99" t="s">
        <v>61</v>
      </c>
      <c r="D161" s="72" t="s">
        <v>9</v>
      </c>
      <c r="E161" s="100">
        <f>SUMIFS(支出入力表!$L$6:$L$1000,支出入力表!$C$6:$C$1000,"10",支出入力表!$F$6:$F$1000,"13")</f>
        <v>0</v>
      </c>
      <c r="F161" s="101" t="s">
        <v>74</v>
      </c>
      <c r="G161" s="100">
        <f>SUMIFS(支出入力表!$M$6:$M$1000,支出入力表!$C$6:$C$1000,"10",支出入力表!$F$6:$F$1000,"13")</f>
        <v>0</v>
      </c>
      <c r="H161" s="101" t="s">
        <v>74</v>
      </c>
      <c r="I161" s="100">
        <f>SUMIFS(支出入力表!$N$6:$N$1000,支出入力表!$C$6:$C$1000,"10",支出入力表!$F$6:$F$1000,"13")</f>
        <v>0</v>
      </c>
      <c r="J161" s="141" t="s">
        <v>74</v>
      </c>
    </row>
    <row r="162" spans="2:10">
      <c r="B162" s="89">
        <f>団体基本情報入力!$B$24</f>
        <v>10</v>
      </c>
      <c r="C162" s="99" t="s">
        <v>47</v>
      </c>
      <c r="D162" s="72" t="s">
        <v>5</v>
      </c>
      <c r="E162" s="100">
        <f>SUMIFS(支出入力表!$L$6:$L$1000,支出入力表!$C$6:$C$1000,"10",支出入力表!$F$6:$F$1000,"14")</f>
        <v>0</v>
      </c>
      <c r="F162" s="101" t="s">
        <v>74</v>
      </c>
      <c r="G162" s="100">
        <f>SUMIFS(支出入力表!$M$6:$M$1000,支出入力表!$C$6:$C$1000,"10",支出入力表!$F$6:$F$1000,"14")</f>
        <v>0</v>
      </c>
      <c r="H162" s="101" t="s">
        <v>74</v>
      </c>
      <c r="I162" s="100">
        <f>SUMIFS(支出入力表!$N$6:$N$1000,支出入力表!$C$6:$C$1000,"10",支出入力表!$F$6:$F$1000,"14")</f>
        <v>0</v>
      </c>
      <c r="J162" s="141" t="s">
        <v>74</v>
      </c>
    </row>
    <row r="163" spans="2:10" ht="19.5" thickBot="1">
      <c r="B163" s="90">
        <f>団体基本情報入力!$B$24</f>
        <v>10</v>
      </c>
      <c r="C163" s="102" t="s">
        <v>106</v>
      </c>
      <c r="D163" s="73" t="s">
        <v>103</v>
      </c>
      <c r="E163" s="103">
        <f>SUMIFS(支出入力表!$L$6:$L$1000,支出入力表!$C$6:$C$1000,"10",支出入力表!$F$6:$F$1000,"15")</f>
        <v>0</v>
      </c>
      <c r="F163" s="104" t="s">
        <v>24</v>
      </c>
      <c r="G163" s="109" t="s">
        <v>107</v>
      </c>
      <c r="H163" s="104" t="s">
        <v>24</v>
      </c>
      <c r="I163" s="103">
        <f>SUMIFS(支出入力表!$N$6:$N$1000,支出入力表!$C$6:$C$1000,"10",支出入力表!$F$6:$F$1000,"15")</f>
        <v>0</v>
      </c>
      <c r="J163" s="142" t="s">
        <v>24</v>
      </c>
    </row>
    <row r="164" spans="2:10" ht="20.25" thickTop="1" thickBot="1">
      <c r="B164" s="113">
        <f>団体基本情報入力!$B$24</f>
        <v>10</v>
      </c>
      <c r="C164" s="513" t="s">
        <v>179</v>
      </c>
      <c r="D164" s="513"/>
      <c r="E164" s="114">
        <f>SUM(E149:E163)</f>
        <v>0</v>
      </c>
      <c r="F164" s="115" t="s">
        <v>74</v>
      </c>
      <c r="G164" s="114">
        <f>SUM(G149:G163)</f>
        <v>0</v>
      </c>
      <c r="H164" s="115" t="s">
        <v>74</v>
      </c>
      <c r="I164" s="114">
        <f>SUM(I149:I163)</f>
        <v>0</v>
      </c>
      <c r="J164" s="143" t="s">
        <v>74</v>
      </c>
    </row>
    <row r="165" spans="2:10" ht="20.25" thickTop="1" thickBot="1">
      <c r="B165" s="510" t="s">
        <v>44</v>
      </c>
      <c r="C165" s="511"/>
      <c r="D165" s="511"/>
      <c r="E165" s="106">
        <f>SUBTOTAL(9,E20,E36,E52,E68,E84,E100,E116,E132,E148,E164)</f>
        <v>0</v>
      </c>
      <c r="F165" s="105" t="s">
        <v>24</v>
      </c>
      <c r="G165" s="106">
        <f>SUBTOTAL(9,G20,G36,G52,G68,G84,G100,G116,G132,G148,G164)</f>
        <v>0</v>
      </c>
      <c r="H165" s="105" t="s">
        <v>24</v>
      </c>
      <c r="I165" s="106">
        <f>SUBTOTAL(9,I20,I36,I52,I68,I84,I100,I116,I132,I148,I164)</f>
        <v>0</v>
      </c>
      <c r="J165" s="144" t="s">
        <v>24</v>
      </c>
    </row>
  </sheetData>
  <sheetProtection autoFilter="0"/>
  <autoFilter ref="B4:J164" xr:uid="{00000000-0009-0000-0000-000009000000}">
    <filterColumn colId="1" showButton="0"/>
    <filterColumn colId="3" showButton="0"/>
    <filterColumn colId="5" showButton="0"/>
    <filterColumn colId="7" showButton="0"/>
  </autoFilter>
  <mergeCells count="17">
    <mergeCell ref="E2:H2"/>
    <mergeCell ref="D1:J1"/>
    <mergeCell ref="C116:D116"/>
    <mergeCell ref="E4:F4"/>
    <mergeCell ref="G4:H4"/>
    <mergeCell ref="I4:J4"/>
    <mergeCell ref="C4:D4"/>
    <mergeCell ref="B165:D165"/>
    <mergeCell ref="C132:D132"/>
    <mergeCell ref="C148:D148"/>
    <mergeCell ref="C164:D164"/>
    <mergeCell ref="C20:D20"/>
    <mergeCell ref="C36:D36"/>
    <mergeCell ref="C52:D52"/>
    <mergeCell ref="C68:D68"/>
    <mergeCell ref="C84:D84"/>
    <mergeCell ref="C100:D100"/>
  </mergeCells>
  <phoneticPr fontId="4"/>
  <dataValidations count="1">
    <dataValidation allowBlank="1" showErrorMessage="1" sqref="C4:D19 E4:J165 C21:D164 B4:B165" xr:uid="{00000000-0002-0000-0900-000000000000}"/>
  </dataValidations>
  <hyperlinks>
    <hyperlink ref="B1" location="メニュー画面!B6" display="メニュー画面へ" xr:uid="{00000000-0004-0000-0900-000000000000}"/>
    <hyperlink ref="B2" location="支出入力表!B5" display="支出入力表へ" xr:uid="{00000000-0004-0000-0900-000001000000}"/>
  </hyperlinks>
  <pageMargins left="0.7" right="0.7" top="0.75" bottom="0.75" header="0.3" footer="0.3"/>
  <pageSetup paperSize="9" scale="8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17"/>
  <sheetViews>
    <sheetView zoomScale="62" zoomScaleNormal="62" workbookViewId="0">
      <selection activeCell="K1" sqref="K1"/>
    </sheetView>
  </sheetViews>
  <sheetFormatPr defaultRowHeight="18.75"/>
  <cols>
    <col min="1" max="1" width="17.5" customWidth="1"/>
    <col min="11" max="11" width="16.75" customWidth="1"/>
    <col min="12" max="12" width="6.875" customWidth="1"/>
    <col min="13" max="13" width="17.625" customWidth="1"/>
    <col min="15" max="15" width="28.625" customWidth="1"/>
    <col min="17" max="17" width="41.625" bestFit="1" customWidth="1"/>
  </cols>
  <sheetData>
    <row r="1" spans="1:17">
      <c r="A1" s="8" t="s">
        <v>247</v>
      </c>
      <c r="B1" s="9"/>
      <c r="C1" s="10">
        <v>1</v>
      </c>
      <c r="D1" s="9"/>
      <c r="E1" s="10" t="s">
        <v>34</v>
      </c>
      <c r="F1" s="9"/>
      <c r="G1" s="10">
        <v>1</v>
      </c>
      <c r="H1" s="9"/>
      <c r="I1" s="10" t="s">
        <v>35</v>
      </c>
      <c r="J1" s="9"/>
      <c r="K1" s="10" t="s">
        <v>267</v>
      </c>
      <c r="L1" s="10">
        <v>1</v>
      </c>
      <c r="M1" s="10" t="s">
        <v>0</v>
      </c>
      <c r="N1" s="9"/>
      <c r="O1" s="10" t="s">
        <v>215</v>
      </c>
      <c r="Q1" s="11" t="s">
        <v>81</v>
      </c>
    </row>
    <row r="2" spans="1:17">
      <c r="A2" s="8" t="s">
        <v>248</v>
      </c>
      <c r="B2" s="9"/>
      <c r="C2" s="10">
        <v>2</v>
      </c>
      <c r="D2" s="9"/>
      <c r="E2" s="10" t="s">
        <v>30</v>
      </c>
      <c r="F2" s="9"/>
      <c r="G2" s="10">
        <v>2</v>
      </c>
      <c r="H2" s="9"/>
      <c r="I2" s="9"/>
      <c r="J2" s="9"/>
      <c r="K2" s="11" t="s">
        <v>268</v>
      </c>
      <c r="L2" s="10">
        <v>1</v>
      </c>
      <c r="M2" s="10" t="s">
        <v>0</v>
      </c>
      <c r="N2" s="9"/>
      <c r="O2" s="10" t="s">
        <v>211</v>
      </c>
      <c r="Q2" s="11" t="s">
        <v>82</v>
      </c>
    </row>
    <row r="3" spans="1:17">
      <c r="A3" s="8" t="s">
        <v>249</v>
      </c>
      <c r="B3" s="9"/>
      <c r="C3" s="10">
        <v>3</v>
      </c>
      <c r="D3" s="9"/>
      <c r="E3" s="10" t="s">
        <v>32</v>
      </c>
      <c r="F3" s="9"/>
      <c r="G3" s="10">
        <v>3</v>
      </c>
      <c r="H3" s="9"/>
      <c r="I3" s="9"/>
      <c r="J3" s="9"/>
      <c r="K3" s="10" t="s">
        <v>249</v>
      </c>
      <c r="L3" s="10">
        <v>2</v>
      </c>
      <c r="M3" s="10" t="s">
        <v>2</v>
      </c>
      <c r="N3" s="9"/>
      <c r="O3" s="10" t="s">
        <v>33</v>
      </c>
    </row>
    <row r="4" spans="1:17">
      <c r="A4" s="8" t="s">
        <v>250</v>
      </c>
      <c r="B4" s="9"/>
      <c r="C4" s="10">
        <v>4</v>
      </c>
      <c r="D4" s="9"/>
      <c r="E4" s="10" t="s">
        <v>36</v>
      </c>
      <c r="F4" s="9"/>
      <c r="G4" s="9"/>
      <c r="H4" s="9"/>
      <c r="I4" s="9"/>
      <c r="J4" s="9"/>
      <c r="K4" s="10" t="s">
        <v>250</v>
      </c>
      <c r="L4" s="10">
        <v>3</v>
      </c>
      <c r="M4" s="10" t="s">
        <v>206</v>
      </c>
      <c r="N4" s="9"/>
      <c r="O4" s="10" t="s">
        <v>98</v>
      </c>
      <c r="Q4" s="174" t="s">
        <v>188</v>
      </c>
    </row>
    <row r="5" spans="1:17">
      <c r="A5" s="8" t="s">
        <v>202</v>
      </c>
      <c r="B5" s="9"/>
      <c r="C5" s="10">
        <v>5</v>
      </c>
      <c r="D5" s="9"/>
      <c r="E5" s="9"/>
      <c r="F5" s="9"/>
      <c r="G5" s="9"/>
      <c r="H5" s="9"/>
      <c r="I5" s="9"/>
      <c r="J5" s="9"/>
      <c r="K5" s="10" t="s">
        <v>202</v>
      </c>
      <c r="L5" s="10">
        <v>4</v>
      </c>
      <c r="M5" s="10" t="s">
        <v>192</v>
      </c>
      <c r="N5" s="9"/>
      <c r="O5" s="9"/>
      <c r="Q5" s="174" t="s">
        <v>189</v>
      </c>
    </row>
    <row r="6" spans="1:17">
      <c r="A6" s="8" t="s">
        <v>251</v>
      </c>
      <c r="B6" s="9"/>
      <c r="C6" s="10">
        <v>6</v>
      </c>
      <c r="D6" s="9"/>
      <c r="E6" s="10" t="s">
        <v>0</v>
      </c>
      <c r="F6" s="9"/>
      <c r="G6" s="519" t="s">
        <v>133</v>
      </c>
      <c r="H6" s="519"/>
      <c r="I6" s="9"/>
      <c r="J6" s="9"/>
      <c r="K6" s="10" t="s">
        <v>251</v>
      </c>
      <c r="L6" s="10">
        <v>5</v>
      </c>
      <c r="M6" s="10" t="s">
        <v>10</v>
      </c>
      <c r="N6" s="9"/>
      <c r="O6" s="9"/>
      <c r="Q6" s="174" t="s">
        <v>190</v>
      </c>
    </row>
    <row r="7" spans="1:17">
      <c r="A7" s="8" t="s">
        <v>252</v>
      </c>
      <c r="B7" s="9"/>
      <c r="C7" s="10">
        <v>7</v>
      </c>
      <c r="D7" s="9"/>
      <c r="E7" s="10" t="s">
        <v>2</v>
      </c>
      <c r="F7" s="9"/>
      <c r="G7" s="107">
        <v>45352</v>
      </c>
      <c r="H7" s="107">
        <v>45382</v>
      </c>
      <c r="I7" s="107">
        <v>45383</v>
      </c>
      <c r="J7" s="9"/>
      <c r="K7" s="10" t="s">
        <v>252</v>
      </c>
      <c r="L7" s="10">
        <v>6</v>
      </c>
      <c r="M7" s="10" t="s">
        <v>3</v>
      </c>
      <c r="N7" s="9"/>
    </row>
    <row r="8" spans="1:17">
      <c r="A8" s="8" t="s">
        <v>253</v>
      </c>
      <c r="B8" s="9"/>
      <c r="C8" s="10">
        <v>8</v>
      </c>
      <c r="D8" s="9"/>
      <c r="E8" s="10" t="s">
        <v>37</v>
      </c>
      <c r="F8" s="9"/>
      <c r="G8" s="107">
        <v>45777</v>
      </c>
      <c r="H8" s="107">
        <v>45748</v>
      </c>
      <c r="I8" s="107">
        <v>45747</v>
      </c>
      <c r="J8" s="9"/>
      <c r="K8" s="10" t="s">
        <v>253</v>
      </c>
      <c r="L8" s="10">
        <v>7</v>
      </c>
      <c r="M8" s="10" t="s">
        <v>7</v>
      </c>
      <c r="N8" s="9"/>
      <c r="O8" s="9" t="s">
        <v>204</v>
      </c>
    </row>
    <row r="9" spans="1:17">
      <c r="A9" s="8" t="s">
        <v>254</v>
      </c>
      <c r="B9" s="9"/>
      <c r="C9" s="10">
        <v>9</v>
      </c>
      <c r="D9" s="9"/>
      <c r="E9" s="10" t="s">
        <v>6</v>
      </c>
      <c r="F9" s="9"/>
      <c r="G9" s="9"/>
      <c r="H9" s="9"/>
      <c r="I9" s="9"/>
      <c r="J9" s="9"/>
      <c r="K9" s="10" t="s">
        <v>254</v>
      </c>
      <c r="L9" s="10">
        <v>8</v>
      </c>
      <c r="M9" s="10" t="s">
        <v>1</v>
      </c>
      <c r="N9" s="9"/>
      <c r="O9" s="9" t="s">
        <v>222</v>
      </c>
    </row>
    <row r="10" spans="1:17">
      <c r="A10" s="8" t="s">
        <v>255</v>
      </c>
      <c r="B10" s="9"/>
      <c r="C10" s="10">
        <v>10</v>
      </c>
      <c r="D10" s="9"/>
      <c r="E10" s="9"/>
      <c r="F10" s="9"/>
      <c r="G10" s="9"/>
      <c r="H10" s="9"/>
      <c r="I10" s="9"/>
      <c r="J10" s="9"/>
      <c r="K10" s="10" t="s">
        <v>255</v>
      </c>
      <c r="L10" s="10">
        <v>9</v>
      </c>
      <c r="M10" s="10" t="s">
        <v>4</v>
      </c>
      <c r="N10" s="9"/>
      <c r="O10" s="9" t="s">
        <v>219</v>
      </c>
    </row>
    <row r="11" spans="1:17">
      <c r="A11" s="8" t="s">
        <v>256</v>
      </c>
      <c r="B11" s="9"/>
      <c r="C11" s="10">
        <v>11</v>
      </c>
      <c r="D11" s="9"/>
      <c r="E11" s="9"/>
      <c r="F11" s="9"/>
      <c r="G11" s="9"/>
      <c r="H11" s="9"/>
      <c r="I11" s="9"/>
      <c r="J11" s="9"/>
      <c r="K11" s="10" t="s">
        <v>256</v>
      </c>
      <c r="L11" s="10">
        <v>10</v>
      </c>
      <c r="M11" s="10" t="s">
        <v>8</v>
      </c>
      <c r="N11" s="9"/>
    </row>
    <row r="12" spans="1:17">
      <c r="A12" s="8" t="s">
        <v>257</v>
      </c>
      <c r="B12" s="9"/>
      <c r="C12" s="10">
        <v>12</v>
      </c>
      <c r="D12" s="9"/>
      <c r="F12" s="9"/>
      <c r="G12" s="9"/>
      <c r="H12" s="9"/>
      <c r="I12" s="9"/>
      <c r="J12" s="9"/>
      <c r="K12" s="10" t="s">
        <v>257</v>
      </c>
      <c r="L12" s="10">
        <v>11</v>
      </c>
      <c r="M12" s="10" t="s">
        <v>11</v>
      </c>
      <c r="N12" s="9"/>
      <c r="O12" s="9" t="s">
        <v>205</v>
      </c>
    </row>
    <row r="13" spans="1:17">
      <c r="A13" s="8" t="s">
        <v>258</v>
      </c>
      <c r="B13" s="9"/>
      <c r="C13" s="10">
        <v>13</v>
      </c>
      <c r="D13" s="9"/>
      <c r="F13" s="9"/>
      <c r="G13" s="9"/>
      <c r="H13" s="9"/>
      <c r="I13" s="9"/>
      <c r="J13" s="9"/>
      <c r="K13" s="10" t="s">
        <v>258</v>
      </c>
      <c r="L13" s="10">
        <v>12</v>
      </c>
      <c r="M13" s="10" t="s">
        <v>12</v>
      </c>
      <c r="N13" s="9"/>
      <c r="O13" s="9" t="s">
        <v>221</v>
      </c>
    </row>
    <row r="14" spans="1:17">
      <c r="A14" s="8" t="s">
        <v>259</v>
      </c>
      <c r="B14" s="9"/>
      <c r="C14" s="10">
        <v>14</v>
      </c>
      <c r="D14" s="9"/>
      <c r="F14" s="9"/>
      <c r="G14" s="9"/>
      <c r="H14" s="9"/>
      <c r="I14" s="9"/>
      <c r="J14" s="9"/>
      <c r="K14" s="10" t="s">
        <v>259</v>
      </c>
      <c r="L14" s="10">
        <v>13</v>
      </c>
      <c r="M14" s="10" t="s">
        <v>9</v>
      </c>
      <c r="N14" s="9"/>
      <c r="O14" s="9" t="s">
        <v>220</v>
      </c>
    </row>
    <row r="15" spans="1:17">
      <c r="A15" s="8" t="s">
        <v>260</v>
      </c>
      <c r="B15" s="9"/>
      <c r="C15" s="10">
        <v>15</v>
      </c>
      <c r="D15" s="9"/>
      <c r="E15" s="9"/>
      <c r="F15" s="9"/>
      <c r="G15" s="9"/>
      <c r="H15" s="226"/>
      <c r="I15" s="9"/>
      <c r="J15" s="9"/>
      <c r="K15" s="10" t="s">
        <v>260</v>
      </c>
      <c r="L15" s="10">
        <v>14</v>
      </c>
      <c r="M15" s="10" t="s">
        <v>5</v>
      </c>
      <c r="N15" s="9"/>
    </row>
    <row r="16" spans="1:17">
      <c r="A16" s="8" t="s">
        <v>263</v>
      </c>
      <c r="C16" s="226">
        <v>16</v>
      </c>
      <c r="K16" s="10" t="s">
        <v>269</v>
      </c>
      <c r="L16" s="10">
        <v>15</v>
      </c>
      <c r="M16" s="10" t="s">
        <v>262</v>
      </c>
    </row>
    <row r="17" spans="1:13">
      <c r="A17" s="8" t="s">
        <v>266</v>
      </c>
      <c r="K17" s="10" t="s">
        <v>270</v>
      </c>
      <c r="L17" s="10">
        <v>16</v>
      </c>
      <c r="M17" s="10" t="s">
        <v>103</v>
      </c>
    </row>
  </sheetData>
  <sheetProtection formatCells="0" formatColumns="0" formatRows="0" autoFilter="0"/>
  <mergeCells count="1">
    <mergeCell ref="G6:H6"/>
  </mergeCells>
  <phoneticPr fontId="4"/>
  <conditionalFormatting sqref="N32">
    <cfRule type="cellIs" priority="1" operator="notEqual">
      <formula>$I$1</formula>
    </cfRule>
  </conditionalFormatting>
  <pageMargins left="0.7" right="0.7" top="0.75" bottom="0.75" header="0.3" footer="0.3"/>
  <pageSetup paperSize="9" scale="3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B89"/>
  <sheetViews>
    <sheetView showGridLines="0" view="pageBreakPreview" zoomScaleNormal="100" zoomScaleSheetLayoutView="100" workbookViewId="0">
      <selection activeCell="M4" sqref="M4"/>
    </sheetView>
  </sheetViews>
  <sheetFormatPr defaultRowHeight="18.75"/>
  <cols>
    <col min="1" max="1" width="2.125" style="9" customWidth="1"/>
    <col min="2" max="2" width="3.125" style="9" customWidth="1"/>
    <col min="3" max="3" width="4.125" style="9" customWidth="1"/>
    <col min="4" max="4" width="6.625" style="9" customWidth="1"/>
    <col min="5" max="5" width="3.625" style="9" customWidth="1"/>
    <col min="6" max="6" width="10" style="9" customWidth="1"/>
    <col min="7" max="7" width="3.625" style="9" customWidth="1"/>
    <col min="8" max="8" width="9.125" style="9" customWidth="1"/>
    <col min="9" max="9" width="3.125" style="9" customWidth="1"/>
    <col min="10" max="10" width="7.625" style="9" customWidth="1"/>
    <col min="11" max="11" width="6.875" style="9" customWidth="1"/>
    <col min="12" max="12" width="7.125" style="9" customWidth="1"/>
    <col min="13" max="13" width="4.625" style="9" customWidth="1"/>
    <col min="14" max="14" width="3.5" style="9" customWidth="1"/>
    <col min="15" max="15" width="4.125" style="9" customWidth="1"/>
    <col min="16" max="16" width="5.125" style="9" customWidth="1"/>
    <col min="17" max="17" width="5.625" style="9" customWidth="1"/>
    <col min="18" max="18" width="4.125" style="9" customWidth="1"/>
    <col min="19" max="19" width="5.625" style="9" customWidth="1"/>
    <col min="20" max="20" width="3" style="9" customWidth="1"/>
    <col min="21" max="22" width="3" customWidth="1"/>
  </cols>
  <sheetData>
    <row r="1" spans="1:28" ht="22.35" customHeight="1">
      <c r="A1" s="13"/>
      <c r="B1" s="520" t="s">
        <v>236</v>
      </c>
      <c r="C1" s="520"/>
      <c r="D1" s="520"/>
      <c r="E1" s="13"/>
      <c r="F1" s="13"/>
      <c r="G1" s="13"/>
      <c r="H1" s="13"/>
      <c r="I1" s="13"/>
      <c r="J1" s="13"/>
      <c r="K1" s="13"/>
      <c r="L1" s="13"/>
      <c r="M1" s="13"/>
      <c r="N1" s="13"/>
      <c r="O1" s="13"/>
      <c r="P1" s="13"/>
      <c r="Q1" s="13"/>
      <c r="R1" s="13"/>
      <c r="S1" s="13"/>
      <c r="U1" s="2"/>
      <c r="V1" s="2"/>
      <c r="W1" s="2"/>
      <c r="X1" s="2"/>
      <c r="Y1" s="2"/>
      <c r="Z1" s="2"/>
      <c r="AA1" s="2"/>
      <c r="AB1" s="2"/>
    </row>
    <row r="2" spans="1:28" ht="15.6" customHeight="1">
      <c r="A2" s="13"/>
      <c r="F2" s="13"/>
      <c r="G2" s="13"/>
      <c r="H2" s="13"/>
      <c r="I2" s="13"/>
      <c r="J2" s="13"/>
      <c r="K2" s="13"/>
      <c r="L2" s="13"/>
      <c r="M2" s="550" t="s">
        <v>17</v>
      </c>
      <c r="N2" s="551"/>
      <c r="O2" s="530">
        <f>団体基本情報入力!D4</f>
        <v>0</v>
      </c>
      <c r="P2" s="537"/>
      <c r="Q2" s="537"/>
      <c r="R2" s="531"/>
      <c r="S2" s="13"/>
      <c r="U2" s="2"/>
      <c r="V2" s="2"/>
      <c r="W2" s="2"/>
      <c r="X2" s="2"/>
      <c r="Y2" s="2"/>
      <c r="Z2" s="2"/>
      <c r="AA2" s="2"/>
      <c r="AB2" s="2"/>
    </row>
    <row r="3" spans="1:28" ht="15.6" customHeight="1">
      <c r="A3" s="13"/>
      <c r="B3" s="14"/>
      <c r="C3" s="14"/>
      <c r="D3" s="13"/>
      <c r="E3" s="13"/>
      <c r="F3" s="13"/>
      <c r="G3" s="13"/>
      <c r="H3" s="13"/>
      <c r="I3" s="13"/>
      <c r="J3" s="13"/>
      <c r="K3" s="13"/>
      <c r="L3" s="13"/>
      <c r="M3" s="15"/>
      <c r="N3" s="15"/>
      <c r="O3" s="15"/>
      <c r="P3" s="15"/>
      <c r="Q3" s="15"/>
      <c r="R3" s="15"/>
      <c r="S3" s="13"/>
      <c r="U3" s="2"/>
      <c r="V3" s="2"/>
      <c r="W3" s="2"/>
      <c r="X3" s="2"/>
      <c r="Y3" s="2"/>
      <c r="Z3" s="2"/>
      <c r="AA3" s="2"/>
      <c r="AB3" s="2"/>
    </row>
    <row r="4" spans="1:28">
      <c r="A4" s="12"/>
      <c r="B4" s="12"/>
      <c r="C4" s="12"/>
      <c r="D4" s="12"/>
      <c r="E4" s="12"/>
      <c r="F4" s="12"/>
      <c r="G4" s="12"/>
      <c r="H4" s="12"/>
      <c r="I4" s="12"/>
      <c r="J4" s="12"/>
      <c r="K4" s="12"/>
      <c r="L4" s="16" t="s">
        <v>102</v>
      </c>
      <c r="M4" s="5">
        <v>7</v>
      </c>
      <c r="N4" s="12" t="s">
        <v>18</v>
      </c>
      <c r="O4" s="5"/>
      <c r="P4" s="17" t="s">
        <v>19</v>
      </c>
      <c r="Q4" s="5"/>
      <c r="R4" s="17" t="s">
        <v>20</v>
      </c>
      <c r="S4" s="12"/>
      <c r="U4" s="2"/>
      <c r="V4" s="2"/>
      <c r="W4" s="2"/>
      <c r="X4" s="2"/>
      <c r="Y4" s="2"/>
      <c r="Z4" s="2"/>
      <c r="AA4" s="2"/>
      <c r="AB4" s="2"/>
    </row>
    <row r="5" spans="1:28">
      <c r="A5" s="12"/>
      <c r="B5" s="12"/>
      <c r="C5" s="12"/>
      <c r="D5" s="12"/>
      <c r="E5" s="12"/>
      <c r="F5" s="12"/>
      <c r="G5" s="12"/>
      <c r="H5" s="12"/>
      <c r="I5" s="12"/>
      <c r="J5" s="12"/>
      <c r="K5" s="12"/>
      <c r="L5" s="12"/>
      <c r="M5" s="12"/>
      <c r="N5" s="12"/>
      <c r="O5" s="12"/>
      <c r="P5" s="12"/>
      <c r="Q5" s="12"/>
      <c r="R5" s="12"/>
      <c r="S5" s="12"/>
      <c r="U5" s="2"/>
      <c r="V5" s="2"/>
      <c r="W5" s="2"/>
      <c r="X5" s="2"/>
      <c r="Y5" s="2"/>
      <c r="Z5" s="2"/>
      <c r="AA5" s="2"/>
      <c r="AB5" s="2"/>
    </row>
    <row r="6" spans="1:28">
      <c r="A6" s="12"/>
      <c r="B6" s="12"/>
      <c r="C6" s="12"/>
      <c r="D6" s="12"/>
      <c r="E6" s="12"/>
      <c r="F6" s="12"/>
      <c r="G6" s="12"/>
      <c r="H6" s="12"/>
      <c r="I6" s="12"/>
      <c r="J6" s="12"/>
      <c r="K6" s="12"/>
      <c r="L6" s="12"/>
      <c r="M6" s="12"/>
      <c r="N6" s="12"/>
      <c r="O6" s="12"/>
      <c r="P6" s="12"/>
      <c r="Q6" s="12"/>
      <c r="R6" s="12"/>
      <c r="S6" s="12"/>
      <c r="U6" s="2"/>
      <c r="V6" s="2"/>
      <c r="W6" s="2"/>
      <c r="X6" s="2"/>
      <c r="Y6" s="2"/>
      <c r="Z6" s="2"/>
      <c r="AA6" s="2"/>
      <c r="AB6" s="2"/>
    </row>
    <row r="7" spans="1:28">
      <c r="A7" s="12"/>
      <c r="B7" s="539" t="s">
        <v>21</v>
      </c>
      <c r="C7" s="539"/>
      <c r="D7" s="539"/>
      <c r="E7" s="539"/>
      <c r="F7" s="539"/>
      <c r="G7" s="539"/>
      <c r="H7" s="539"/>
      <c r="I7" s="12"/>
      <c r="J7" s="12"/>
      <c r="K7" s="12"/>
      <c r="L7" s="12"/>
      <c r="M7" s="12"/>
      <c r="N7" s="12"/>
      <c r="O7" s="12"/>
      <c r="P7" s="12"/>
      <c r="Q7" s="12"/>
      <c r="R7" s="12"/>
      <c r="S7" s="12"/>
      <c r="U7" s="2"/>
      <c r="V7" s="2"/>
      <c r="W7" s="2"/>
      <c r="X7" s="2"/>
      <c r="Y7" s="2"/>
      <c r="Z7" s="2"/>
      <c r="AA7" s="2"/>
      <c r="AB7" s="2"/>
    </row>
    <row r="8" spans="1:28">
      <c r="A8" s="12"/>
      <c r="B8" s="12"/>
      <c r="C8" s="12"/>
      <c r="D8" s="12"/>
      <c r="E8" s="12"/>
      <c r="F8" s="12"/>
      <c r="G8" s="12"/>
      <c r="H8" s="12"/>
      <c r="I8" s="12"/>
      <c r="J8" s="12"/>
      <c r="K8" s="16" t="s">
        <v>42</v>
      </c>
      <c r="L8" s="552">
        <f>団体基本情報入力!D8</f>
        <v>0</v>
      </c>
      <c r="M8" s="552"/>
      <c r="N8" s="19"/>
      <c r="O8" s="19"/>
      <c r="P8" s="6"/>
      <c r="Q8" s="6"/>
      <c r="R8" s="6"/>
      <c r="S8" s="6"/>
      <c r="U8" s="2"/>
      <c r="V8" s="2"/>
      <c r="W8" s="2"/>
      <c r="X8" s="2"/>
      <c r="Y8" s="2"/>
      <c r="Z8" s="2"/>
      <c r="AA8" s="2"/>
      <c r="AB8" s="2"/>
    </row>
    <row r="9" spans="1:28" ht="40.35" customHeight="1">
      <c r="A9" s="18"/>
      <c r="B9" s="18"/>
      <c r="C9" s="18"/>
      <c r="D9" s="18"/>
      <c r="E9" s="18"/>
      <c r="F9" s="18"/>
      <c r="G9" s="18"/>
      <c r="H9" s="18"/>
      <c r="I9" s="18"/>
      <c r="J9" s="521" t="s">
        <v>77</v>
      </c>
      <c r="K9" s="521"/>
      <c r="L9" s="549">
        <f>団体基本情報入力!D9</f>
        <v>0</v>
      </c>
      <c r="M9" s="549"/>
      <c r="N9" s="549"/>
      <c r="O9" s="549"/>
      <c r="P9" s="549"/>
      <c r="Q9" s="549"/>
      <c r="R9" s="549"/>
      <c r="S9" s="549"/>
      <c r="U9" s="2"/>
      <c r="V9" s="2"/>
      <c r="W9" s="2"/>
      <c r="X9" s="2"/>
      <c r="Y9" s="2"/>
      <c r="Z9" s="2"/>
      <c r="AA9" s="2"/>
      <c r="AB9" s="2"/>
    </row>
    <row r="10" spans="1:28" ht="40.35" customHeight="1">
      <c r="A10" s="12"/>
      <c r="B10" s="12"/>
      <c r="C10" s="12"/>
      <c r="D10" s="12"/>
      <c r="E10" s="12"/>
      <c r="F10" s="12"/>
      <c r="G10" s="12"/>
      <c r="H10" s="12"/>
      <c r="I10" s="18"/>
      <c r="J10" s="521" t="s">
        <v>78</v>
      </c>
      <c r="K10" s="521"/>
      <c r="L10" s="549">
        <f>団体基本情報入力!D7</f>
        <v>0</v>
      </c>
      <c r="M10" s="549"/>
      <c r="N10" s="549"/>
      <c r="O10" s="549"/>
      <c r="P10" s="549"/>
      <c r="Q10" s="549"/>
      <c r="R10" s="549"/>
      <c r="S10" s="549"/>
      <c r="U10" s="2"/>
      <c r="V10" s="2"/>
      <c r="W10" s="2"/>
      <c r="X10" s="2"/>
      <c r="Y10" s="2"/>
      <c r="Z10" s="2"/>
      <c r="AA10" s="2"/>
      <c r="AB10" s="2"/>
    </row>
    <row r="11" spans="1:28">
      <c r="A11" s="12"/>
      <c r="B11" s="12"/>
      <c r="C11" s="12"/>
      <c r="D11" s="12"/>
      <c r="E11" s="12"/>
      <c r="F11" s="12"/>
      <c r="G11" s="12"/>
      <c r="H11" s="12"/>
      <c r="I11" s="18"/>
      <c r="J11" s="521" t="s">
        <v>15</v>
      </c>
      <c r="K11" s="521"/>
      <c r="L11" s="552">
        <f>団体基本情報入力!D10</f>
        <v>0</v>
      </c>
      <c r="M11" s="552"/>
      <c r="N11" s="552"/>
      <c r="O11" s="552"/>
      <c r="P11" s="552"/>
      <c r="Q11" s="552"/>
      <c r="R11" s="6"/>
      <c r="S11" s="6"/>
      <c r="U11" s="2"/>
      <c r="V11" s="2"/>
      <c r="W11" s="2"/>
      <c r="X11" s="2"/>
      <c r="Y11" s="2"/>
      <c r="Z11" s="2"/>
      <c r="AA11" s="2"/>
      <c r="AB11" s="2"/>
    </row>
    <row r="12" spans="1:28">
      <c r="A12" s="12"/>
      <c r="B12" s="12"/>
      <c r="C12" s="12"/>
      <c r="D12" s="12"/>
      <c r="E12" s="12"/>
      <c r="F12" s="12"/>
      <c r="G12" s="12"/>
      <c r="H12" s="12"/>
      <c r="I12" s="18"/>
      <c r="J12" s="521" t="s">
        <v>79</v>
      </c>
      <c r="K12" s="521"/>
      <c r="L12" s="552">
        <f>団体基本情報入力!D11</f>
        <v>0</v>
      </c>
      <c r="M12" s="552"/>
      <c r="N12" s="552"/>
      <c r="O12" s="552"/>
      <c r="P12" s="552"/>
      <c r="Q12" s="552"/>
      <c r="R12" s="7"/>
      <c r="S12" s="6"/>
      <c r="U12" s="2"/>
      <c r="V12" s="2"/>
      <c r="W12" s="2"/>
      <c r="X12" s="2"/>
      <c r="Y12" s="2"/>
      <c r="Z12" s="2"/>
      <c r="AA12" s="2"/>
      <c r="AB12" s="2"/>
    </row>
    <row r="13" spans="1:28">
      <c r="A13" s="12"/>
      <c r="B13" s="12"/>
      <c r="C13" s="12"/>
      <c r="D13" s="12"/>
      <c r="E13" s="12"/>
      <c r="F13" s="12"/>
      <c r="G13" s="12"/>
      <c r="H13" s="12"/>
      <c r="I13" s="12"/>
      <c r="J13" s="12"/>
      <c r="K13" s="12"/>
      <c r="L13" s="12"/>
      <c r="M13" s="12"/>
      <c r="N13" s="12"/>
      <c r="O13" s="12"/>
      <c r="P13" s="12"/>
      <c r="Q13" s="12"/>
      <c r="R13" s="12"/>
      <c r="S13" s="12"/>
      <c r="U13" s="2"/>
      <c r="V13" s="2"/>
      <c r="W13" s="2"/>
      <c r="X13" s="2"/>
      <c r="Y13" s="2"/>
      <c r="Z13" s="2"/>
      <c r="AA13" s="2"/>
      <c r="AB13" s="2"/>
    </row>
    <row r="14" spans="1:28">
      <c r="F14" s="538" t="s">
        <v>102</v>
      </c>
      <c r="G14" s="538"/>
      <c r="H14" s="62">
        <f>団体基本情報入力!D3</f>
        <v>5</v>
      </c>
      <c r="I14" s="61" t="s">
        <v>120</v>
      </c>
      <c r="K14" s="61"/>
      <c r="L14" s="61"/>
      <c r="M14" s="61"/>
      <c r="N14" s="61"/>
      <c r="O14" s="61"/>
      <c r="P14" s="61"/>
      <c r="Q14" s="61"/>
      <c r="R14" s="61"/>
      <c r="S14" s="61"/>
      <c r="U14" s="2"/>
      <c r="V14" s="2"/>
      <c r="W14" s="2"/>
      <c r="X14" s="2"/>
      <c r="Y14" s="2"/>
      <c r="Z14" s="2"/>
      <c r="AA14" s="2"/>
      <c r="AB14" s="2"/>
    </row>
    <row r="15" spans="1:28">
      <c r="A15" s="12"/>
      <c r="B15" s="12"/>
      <c r="C15" s="12"/>
      <c r="D15" s="12"/>
      <c r="E15" s="12"/>
      <c r="F15" s="12"/>
      <c r="G15" s="12"/>
      <c r="H15" s="12"/>
      <c r="I15" s="12"/>
      <c r="J15" s="12"/>
      <c r="K15" s="12"/>
      <c r="L15" s="12"/>
      <c r="M15" s="12"/>
      <c r="N15" s="12"/>
      <c r="O15" s="12"/>
      <c r="P15" s="12"/>
      <c r="Q15" s="12"/>
      <c r="R15" s="12"/>
      <c r="S15" s="12"/>
      <c r="U15" s="2"/>
      <c r="V15" s="2"/>
      <c r="W15" s="2"/>
      <c r="X15" s="2"/>
      <c r="Y15" s="2"/>
      <c r="Z15" s="2"/>
      <c r="AA15" s="2"/>
      <c r="AB15" s="2"/>
    </row>
    <row r="16" spans="1:28">
      <c r="A16" s="12"/>
      <c r="B16" s="12"/>
      <c r="C16" s="12"/>
      <c r="D16" s="539" t="s">
        <v>80</v>
      </c>
      <c r="E16" s="539"/>
      <c r="F16" s="539"/>
      <c r="G16" s="539"/>
      <c r="H16" s="539"/>
      <c r="I16" s="12"/>
      <c r="J16" s="12"/>
      <c r="K16" s="12"/>
      <c r="L16" s="12"/>
      <c r="M16" s="12"/>
      <c r="N16" s="12"/>
      <c r="O16" s="12"/>
      <c r="P16" s="12"/>
      <c r="Q16" s="12"/>
      <c r="R16" s="12"/>
      <c r="S16" s="12"/>
      <c r="U16" s="2"/>
      <c r="V16" s="2"/>
      <c r="W16" s="2"/>
      <c r="X16" s="2"/>
      <c r="Y16" s="2"/>
      <c r="Z16" s="2"/>
      <c r="AA16" s="2"/>
      <c r="AB16" s="2"/>
    </row>
    <row r="17" spans="1:28">
      <c r="A17" s="12"/>
      <c r="B17" s="12"/>
      <c r="C17" s="12"/>
      <c r="D17" s="12"/>
      <c r="E17" s="12"/>
      <c r="F17" s="12"/>
      <c r="G17" s="12"/>
      <c r="H17" s="12"/>
      <c r="I17" s="12"/>
      <c r="J17" s="12"/>
      <c r="K17" s="12"/>
      <c r="L17" s="12"/>
      <c r="M17" s="12"/>
      <c r="N17" s="12"/>
      <c r="O17" s="12"/>
      <c r="P17" s="12"/>
      <c r="Q17" s="12"/>
      <c r="R17" s="12"/>
      <c r="S17" s="12"/>
      <c r="U17" s="2"/>
      <c r="V17" s="2"/>
      <c r="W17" s="2"/>
      <c r="X17" s="2"/>
      <c r="Y17" s="2"/>
      <c r="Z17" s="2"/>
      <c r="AA17" s="2"/>
      <c r="AB17" s="2"/>
    </row>
    <row r="18" spans="1:28" ht="26.1" customHeight="1">
      <c r="A18" s="12"/>
      <c r="B18" s="12"/>
      <c r="C18" s="539" t="s">
        <v>119</v>
      </c>
      <c r="D18" s="539"/>
      <c r="E18" s="539"/>
      <c r="F18" s="549">
        <f>団体基本情報入力!D14</f>
        <v>0</v>
      </c>
      <c r="G18" s="549"/>
      <c r="H18" s="549"/>
      <c r="I18" s="549"/>
      <c r="J18" s="549"/>
      <c r="K18" s="549"/>
      <c r="L18" s="549"/>
      <c r="M18" s="56"/>
      <c r="N18" s="56"/>
      <c r="O18" s="56"/>
      <c r="P18" s="20" t="s">
        <v>23</v>
      </c>
      <c r="Q18" s="12"/>
      <c r="R18" s="12"/>
      <c r="S18" s="12"/>
      <c r="U18" s="2"/>
      <c r="V18" s="2"/>
      <c r="W18" s="2"/>
      <c r="X18" s="2"/>
      <c r="Y18" s="2"/>
      <c r="Z18" s="2"/>
      <c r="AA18" s="2"/>
      <c r="AB18" s="2"/>
    </row>
    <row r="19" spans="1:28">
      <c r="A19" s="12"/>
      <c r="B19" s="12"/>
      <c r="C19" s="12"/>
      <c r="D19" s="12"/>
      <c r="E19" s="12"/>
      <c r="F19" s="12"/>
      <c r="G19" s="12"/>
      <c r="H19" s="12"/>
      <c r="I19" s="12"/>
      <c r="J19" s="12"/>
      <c r="K19" s="12"/>
      <c r="L19" s="12"/>
      <c r="M19" s="12"/>
      <c r="N19" s="12"/>
      <c r="O19" s="12"/>
      <c r="P19" s="12"/>
      <c r="Q19" s="12"/>
      <c r="R19" s="12"/>
      <c r="S19" s="12"/>
      <c r="U19" s="2"/>
      <c r="V19" s="2"/>
      <c r="W19" s="2"/>
      <c r="X19" s="2"/>
      <c r="Y19" s="2"/>
      <c r="Z19" s="2"/>
      <c r="AA19" s="2"/>
      <c r="AB19" s="2"/>
    </row>
    <row r="20" spans="1:28">
      <c r="A20" s="12"/>
      <c r="B20" s="12"/>
      <c r="C20" s="539" t="s">
        <v>118</v>
      </c>
      <c r="D20" s="539"/>
      <c r="E20" s="539"/>
      <c r="F20" s="540">
        <f>N24</f>
        <v>0</v>
      </c>
      <c r="G20" s="540"/>
      <c r="H20" s="12" t="s">
        <v>38</v>
      </c>
      <c r="I20" s="12"/>
      <c r="J20" s="12"/>
      <c r="K20" s="12"/>
      <c r="L20" s="12"/>
      <c r="M20" s="12"/>
      <c r="N20" s="12"/>
      <c r="O20" s="12"/>
      <c r="P20" s="12"/>
      <c r="Q20" s="12"/>
      <c r="R20" s="12"/>
      <c r="S20" s="12"/>
      <c r="U20" s="2"/>
      <c r="V20" s="2"/>
      <c r="W20" s="2"/>
      <c r="X20" s="2"/>
      <c r="Y20" s="2"/>
      <c r="Z20" s="2"/>
      <c r="AA20" s="2"/>
      <c r="AB20" s="2"/>
    </row>
    <row r="21" spans="1:28">
      <c r="A21" s="12"/>
      <c r="B21" s="12"/>
      <c r="C21" s="12"/>
      <c r="D21" s="12"/>
      <c r="E21" s="12"/>
      <c r="F21" s="12"/>
      <c r="G21" s="12"/>
      <c r="H21" s="12"/>
      <c r="I21" s="12"/>
      <c r="J21" s="12"/>
      <c r="K21" s="12"/>
      <c r="L21" s="12"/>
      <c r="M21" s="12"/>
      <c r="N21" s="12"/>
      <c r="O21" s="12"/>
      <c r="P21" s="12"/>
      <c r="Q21" s="12"/>
      <c r="R21" s="12"/>
      <c r="S21" s="12"/>
      <c r="U21" s="2"/>
      <c r="V21" s="2"/>
      <c r="W21" s="2"/>
      <c r="X21" s="2"/>
      <c r="Y21" s="2"/>
      <c r="Z21" s="2"/>
      <c r="AA21" s="2"/>
      <c r="AB21" s="2"/>
    </row>
    <row r="22" spans="1:28">
      <c r="A22" s="12"/>
      <c r="B22" s="12"/>
      <c r="C22" s="541" t="s">
        <v>117</v>
      </c>
      <c r="D22" s="541"/>
      <c r="E22" s="541"/>
      <c r="F22" s="542"/>
      <c r="G22" s="12"/>
      <c r="H22" s="12"/>
      <c r="I22" s="12"/>
      <c r="J22" s="12"/>
      <c r="K22" s="12"/>
      <c r="L22" s="12"/>
      <c r="M22" s="12"/>
      <c r="N22" s="12"/>
      <c r="O22" s="12"/>
      <c r="P22" s="12"/>
      <c r="Q22" s="12"/>
      <c r="R22" s="12"/>
      <c r="S22" s="12"/>
      <c r="T22" s="28"/>
      <c r="U22" s="2"/>
      <c r="V22" s="2"/>
      <c r="W22" s="2"/>
      <c r="X22" s="2"/>
      <c r="Y22" s="2"/>
      <c r="Z22" s="2"/>
      <c r="AA22" s="2"/>
      <c r="AB22" s="2"/>
    </row>
    <row r="23" spans="1:28" ht="60" customHeight="1">
      <c r="A23" s="12"/>
      <c r="B23" s="12"/>
      <c r="C23" s="522" t="s">
        <v>121</v>
      </c>
      <c r="D23" s="523"/>
      <c r="E23" s="523"/>
      <c r="F23" s="522" t="s">
        <v>127</v>
      </c>
      <c r="G23" s="523"/>
      <c r="H23" s="522" t="s">
        <v>123</v>
      </c>
      <c r="I23" s="523"/>
      <c r="J23" s="536" t="s">
        <v>131</v>
      </c>
      <c r="K23" s="536"/>
      <c r="L23" s="522" t="s">
        <v>128</v>
      </c>
      <c r="M23" s="523"/>
      <c r="N23" s="522" t="s">
        <v>130</v>
      </c>
      <c r="O23" s="523"/>
      <c r="P23" s="523"/>
      <c r="Q23" s="522" t="s">
        <v>129</v>
      </c>
      <c r="R23" s="523"/>
      <c r="S23" s="523"/>
      <c r="U23" s="2"/>
      <c r="V23" s="2"/>
      <c r="W23" s="2"/>
      <c r="X23" s="2"/>
      <c r="Y23" s="2"/>
      <c r="Z23" s="2"/>
      <c r="AA23" s="2"/>
      <c r="AB23" s="2"/>
    </row>
    <row r="24" spans="1:28" ht="35.1" customHeight="1">
      <c r="A24" s="12"/>
      <c r="B24" s="12"/>
      <c r="C24" s="534">
        <f>精算額計算書!B42</f>
        <v>0</v>
      </c>
      <c r="D24" s="535"/>
      <c r="E24" s="21" t="s">
        <v>24</v>
      </c>
      <c r="F24" s="22">
        <f>精算額計算書!E42</f>
        <v>0</v>
      </c>
      <c r="G24" s="23" t="s">
        <v>24</v>
      </c>
      <c r="H24" s="22">
        <f>精算額計算書!H42</f>
        <v>0</v>
      </c>
      <c r="I24" s="24" t="s">
        <v>24</v>
      </c>
      <c r="J24" s="22">
        <f>ROUNDDOWN(H24/1000,0)</f>
        <v>0</v>
      </c>
      <c r="K24" s="23" t="s">
        <v>22</v>
      </c>
      <c r="L24" s="22">
        <f>精算額計算書!M42</f>
        <v>0</v>
      </c>
      <c r="M24" s="23" t="s">
        <v>22</v>
      </c>
      <c r="N24" s="534">
        <f>精算額計算書!Q42</f>
        <v>0</v>
      </c>
      <c r="O24" s="535"/>
      <c r="P24" s="23" t="s">
        <v>22</v>
      </c>
      <c r="Q24" s="534">
        <f>精算額計算書!T42</f>
        <v>0</v>
      </c>
      <c r="R24" s="535"/>
      <c r="S24" s="23" t="s">
        <v>22</v>
      </c>
      <c r="U24" s="2"/>
      <c r="V24" s="233" t="str">
        <f>IF(Q24&gt;0," ←「精算額計算書」シートの④を要入力！"," ")</f>
        <v xml:space="preserve"> </v>
      </c>
      <c r="W24" s="231"/>
      <c r="X24" s="234"/>
      <c r="Y24" s="234"/>
      <c r="Z24" s="234"/>
      <c r="AA24" s="234"/>
      <c r="AB24" s="234"/>
    </row>
    <row r="25" spans="1:28" ht="10.35" customHeight="1">
      <c r="A25" s="12"/>
      <c r="B25" s="12"/>
      <c r="C25" s="12"/>
      <c r="D25" s="12"/>
      <c r="E25" s="12"/>
      <c r="F25" s="12"/>
      <c r="G25" s="12"/>
      <c r="H25" s="12"/>
      <c r="I25" s="25"/>
      <c r="J25" s="12"/>
      <c r="K25" s="12"/>
      <c r="L25" s="12"/>
      <c r="M25" s="12"/>
      <c r="N25" s="12"/>
      <c r="O25" s="12"/>
      <c r="P25" s="12"/>
      <c r="Q25" s="12"/>
      <c r="R25" s="12"/>
      <c r="S25" s="12"/>
      <c r="U25" s="2"/>
      <c r="V25" s="2"/>
      <c r="W25" s="2"/>
      <c r="X25" s="2"/>
      <c r="Y25" s="2"/>
      <c r="Z25" s="2"/>
      <c r="AA25" s="2"/>
      <c r="AB25" s="2"/>
    </row>
    <row r="26" spans="1:28" ht="9.6" customHeight="1">
      <c r="A26" s="12"/>
      <c r="B26" s="12"/>
      <c r="C26" s="12"/>
      <c r="D26" s="12"/>
      <c r="E26" s="12"/>
      <c r="F26" s="12"/>
      <c r="G26" s="12"/>
      <c r="H26" s="12"/>
      <c r="I26" s="12"/>
      <c r="J26" s="12"/>
      <c r="K26" s="12"/>
      <c r="L26" s="12"/>
      <c r="M26" s="12"/>
      <c r="N26" s="12"/>
      <c r="O26" s="12"/>
      <c r="P26" s="12"/>
      <c r="Q26" s="12"/>
      <c r="R26" s="12"/>
      <c r="S26" s="12"/>
      <c r="U26" s="2"/>
      <c r="V26" s="2"/>
      <c r="W26" s="2"/>
      <c r="X26" s="2"/>
      <c r="Y26" s="2"/>
      <c r="Z26" s="2"/>
      <c r="AA26" s="2"/>
      <c r="AB26" s="2"/>
    </row>
    <row r="27" spans="1:28">
      <c r="A27" s="12"/>
      <c r="B27" s="12"/>
      <c r="C27" s="12"/>
      <c r="D27" s="12"/>
      <c r="E27" s="12"/>
      <c r="F27" s="12"/>
      <c r="G27" s="12"/>
      <c r="H27" s="12"/>
      <c r="I27" s="12"/>
      <c r="J27" s="12"/>
      <c r="K27" s="12"/>
      <c r="L27" s="12"/>
      <c r="M27" s="12"/>
      <c r="N27" s="12"/>
      <c r="O27" s="12"/>
      <c r="P27" s="12"/>
      <c r="Q27" s="12"/>
      <c r="R27" s="12"/>
      <c r="S27" s="12"/>
      <c r="U27" s="2"/>
      <c r="V27" s="2"/>
      <c r="W27" s="2"/>
      <c r="X27" s="2"/>
      <c r="Y27" s="2"/>
      <c r="Z27" s="2"/>
      <c r="AA27" s="2"/>
      <c r="AB27" s="2"/>
    </row>
    <row r="28" spans="1:28">
      <c r="A28" s="12"/>
      <c r="B28" s="12"/>
      <c r="C28" s="539" t="s">
        <v>124</v>
      </c>
      <c r="D28" s="539"/>
      <c r="E28" s="539"/>
      <c r="F28" s="12"/>
      <c r="G28" s="12"/>
      <c r="H28" s="12"/>
      <c r="I28" s="12"/>
      <c r="J28" s="12"/>
      <c r="K28" s="12"/>
      <c r="L28" s="12"/>
      <c r="M28" s="12"/>
      <c r="N28" s="12"/>
      <c r="O28" s="12"/>
      <c r="P28" s="12"/>
      <c r="Q28" s="12"/>
      <c r="R28" s="12"/>
      <c r="S28" s="12"/>
      <c r="U28" s="2"/>
      <c r="V28" s="2"/>
      <c r="W28" s="2"/>
      <c r="X28" s="2"/>
      <c r="Y28" s="2"/>
      <c r="Z28" s="2"/>
      <c r="AA28" s="2"/>
      <c r="AB28" s="2"/>
    </row>
    <row r="29" spans="1:28">
      <c r="A29" s="12"/>
      <c r="B29" s="12"/>
      <c r="C29" s="26">
        <v>-1</v>
      </c>
      <c r="D29" s="40" t="s">
        <v>114</v>
      </c>
      <c r="E29" s="40"/>
      <c r="F29" s="40"/>
      <c r="G29" s="40"/>
      <c r="H29" s="18"/>
      <c r="I29" s="12"/>
      <c r="J29" s="12"/>
      <c r="K29" s="12"/>
      <c r="L29" s="12"/>
      <c r="M29" s="12"/>
      <c r="N29" s="12"/>
      <c r="O29" s="12"/>
      <c r="P29" s="12"/>
      <c r="Q29" s="12"/>
      <c r="R29" s="12"/>
      <c r="S29" s="12"/>
      <c r="U29" s="2"/>
      <c r="V29" s="2"/>
      <c r="W29" s="2"/>
      <c r="X29" s="2"/>
      <c r="Y29" s="2"/>
      <c r="Z29" s="2"/>
      <c r="AA29" s="2"/>
      <c r="AB29" s="2"/>
    </row>
    <row r="30" spans="1:28">
      <c r="A30" s="12"/>
      <c r="B30" s="12"/>
      <c r="C30" s="26">
        <v>-2</v>
      </c>
      <c r="D30" s="40" t="s">
        <v>115</v>
      </c>
      <c r="E30" s="40"/>
      <c r="F30" s="40"/>
      <c r="G30" s="40"/>
      <c r="H30" s="18"/>
      <c r="I30" s="12"/>
      <c r="J30" s="12"/>
      <c r="K30" s="12"/>
      <c r="L30" s="12"/>
      <c r="M30" s="12"/>
      <c r="N30" s="12"/>
      <c r="O30" s="12"/>
      <c r="P30" s="12"/>
      <c r="Q30" s="12"/>
      <c r="R30" s="12"/>
      <c r="S30" s="12"/>
      <c r="U30" s="2"/>
      <c r="V30" s="2"/>
      <c r="W30" s="2"/>
      <c r="X30" s="2"/>
      <c r="Y30" s="2"/>
      <c r="Z30" s="2"/>
      <c r="AA30" s="2"/>
      <c r="AB30" s="2"/>
    </row>
    <row r="31" spans="1:28">
      <c r="A31" s="12"/>
      <c r="B31" s="12"/>
      <c r="C31" s="26">
        <v>-3</v>
      </c>
      <c r="D31" s="40" t="s">
        <v>116</v>
      </c>
      <c r="E31" s="40"/>
      <c r="F31" s="40"/>
      <c r="G31" s="40"/>
      <c r="H31" s="18"/>
      <c r="I31" s="12"/>
      <c r="J31" s="12"/>
      <c r="K31" s="12"/>
      <c r="L31" s="12"/>
      <c r="M31" s="12"/>
      <c r="N31" s="12"/>
      <c r="O31" s="12"/>
      <c r="P31" s="12"/>
      <c r="Q31" s="12"/>
      <c r="R31" s="12"/>
      <c r="S31" s="12"/>
      <c r="U31" s="2"/>
      <c r="V31" s="2"/>
      <c r="W31" s="2"/>
      <c r="X31" s="2"/>
      <c r="Y31" s="2"/>
      <c r="Z31" s="2"/>
      <c r="AA31" s="2"/>
      <c r="AB31" s="2"/>
    </row>
    <row r="32" spans="1:28" ht="10.35" customHeight="1">
      <c r="A32" s="12"/>
      <c r="B32" s="12"/>
      <c r="C32" s="12"/>
      <c r="D32" s="12"/>
      <c r="E32" s="27"/>
      <c r="F32" s="12"/>
      <c r="G32" s="12"/>
      <c r="H32" s="12"/>
      <c r="I32" s="12"/>
      <c r="J32" s="12"/>
      <c r="K32" s="12"/>
      <c r="L32" s="12"/>
      <c r="M32" s="12"/>
      <c r="N32" s="12"/>
      <c r="O32" s="12"/>
      <c r="P32" s="12"/>
      <c r="Q32" s="12"/>
      <c r="R32" s="12"/>
      <c r="S32" s="12"/>
      <c r="U32" s="2"/>
      <c r="V32" s="2"/>
      <c r="W32" s="2"/>
      <c r="X32" s="2"/>
      <c r="Y32" s="2"/>
      <c r="Z32" s="2"/>
      <c r="AA32" s="2"/>
      <c r="AB32" s="2"/>
    </row>
    <row r="33" spans="1:28">
      <c r="A33" s="12"/>
      <c r="B33" s="12"/>
      <c r="C33" s="524" t="s">
        <v>264</v>
      </c>
      <c r="D33" s="525"/>
      <c r="E33" s="530" t="s">
        <v>40</v>
      </c>
      <c r="F33" s="531"/>
      <c r="G33" s="533"/>
      <c r="H33" s="533"/>
      <c r="I33" s="533"/>
      <c r="J33" s="533"/>
      <c r="K33" s="533"/>
      <c r="L33" s="530" t="s">
        <v>39</v>
      </c>
      <c r="M33" s="537"/>
      <c r="N33" s="531"/>
      <c r="O33" s="532"/>
      <c r="P33" s="532"/>
      <c r="Q33" s="532"/>
      <c r="R33" s="532"/>
      <c r="S33" s="532"/>
      <c r="U33" s="2"/>
      <c r="V33" s="2"/>
      <c r="W33" s="2"/>
      <c r="X33" s="2"/>
      <c r="Y33" s="2"/>
      <c r="Z33" s="2"/>
      <c r="AA33" s="2"/>
      <c r="AB33" s="2"/>
    </row>
    <row r="34" spans="1:28" ht="14.1" customHeight="1">
      <c r="A34" s="12"/>
      <c r="B34" s="12"/>
      <c r="C34" s="526"/>
      <c r="D34" s="527"/>
      <c r="E34" s="524" t="s">
        <v>41</v>
      </c>
      <c r="F34" s="525"/>
      <c r="G34" s="532"/>
      <c r="H34" s="532"/>
      <c r="I34" s="532"/>
      <c r="J34" s="532"/>
      <c r="K34" s="532"/>
      <c r="L34" s="543" t="s">
        <v>25</v>
      </c>
      <c r="M34" s="544"/>
      <c r="N34" s="545"/>
      <c r="O34" s="533"/>
      <c r="P34" s="533"/>
      <c r="Q34" s="533"/>
      <c r="R34" s="533"/>
      <c r="S34" s="533"/>
      <c r="U34" s="2"/>
      <c r="V34" s="2"/>
      <c r="W34" s="2"/>
      <c r="X34" s="2"/>
      <c r="Y34" s="2"/>
      <c r="Z34" s="2"/>
      <c r="AA34" s="2"/>
      <c r="AB34" s="2"/>
    </row>
    <row r="35" spans="1:28" ht="6" customHeight="1">
      <c r="A35" s="12"/>
      <c r="B35" s="12"/>
      <c r="C35" s="528"/>
      <c r="D35" s="529"/>
      <c r="E35" s="528"/>
      <c r="F35" s="529"/>
      <c r="G35" s="532"/>
      <c r="H35" s="532"/>
      <c r="I35" s="532"/>
      <c r="J35" s="532"/>
      <c r="K35" s="532"/>
      <c r="L35" s="546"/>
      <c r="M35" s="547"/>
      <c r="N35" s="548"/>
      <c r="O35" s="533"/>
      <c r="P35" s="533"/>
      <c r="Q35" s="533"/>
      <c r="R35" s="533"/>
      <c r="S35" s="533"/>
      <c r="U35" s="2"/>
      <c r="V35" s="2"/>
      <c r="W35" s="2"/>
      <c r="X35" s="2"/>
      <c r="Y35" s="2"/>
      <c r="Z35" s="2"/>
      <c r="AA35" s="2"/>
      <c r="AB35" s="2"/>
    </row>
    <row r="36" spans="1:28" ht="19.5" customHeight="1">
      <c r="A36" s="12"/>
      <c r="B36" s="12"/>
      <c r="C36" s="524" t="s">
        <v>265</v>
      </c>
      <c r="D36" s="525"/>
      <c r="E36" s="530" t="s">
        <v>40</v>
      </c>
      <c r="F36" s="531"/>
      <c r="G36" s="533"/>
      <c r="H36" s="533"/>
      <c r="I36" s="533"/>
      <c r="J36" s="533"/>
      <c r="K36" s="533"/>
      <c r="L36" s="530" t="s">
        <v>39</v>
      </c>
      <c r="M36" s="537"/>
      <c r="N36" s="531"/>
      <c r="O36" s="532"/>
      <c r="P36" s="532"/>
      <c r="Q36" s="532"/>
      <c r="R36" s="532"/>
      <c r="S36" s="532"/>
      <c r="U36" s="2"/>
      <c r="V36" s="2"/>
      <c r="W36" s="2"/>
      <c r="X36" s="2"/>
      <c r="Y36" s="2"/>
      <c r="Z36" s="2"/>
      <c r="AA36" s="2"/>
      <c r="AB36" s="2"/>
    </row>
    <row r="37" spans="1:28" ht="13.5" customHeight="1">
      <c r="A37" s="12"/>
      <c r="B37" s="12"/>
      <c r="C37" s="526"/>
      <c r="D37" s="527"/>
      <c r="E37" s="524" t="s">
        <v>41</v>
      </c>
      <c r="F37" s="525"/>
      <c r="G37" s="532"/>
      <c r="H37" s="532"/>
      <c r="I37" s="532"/>
      <c r="J37" s="532"/>
      <c r="K37" s="532"/>
      <c r="L37" s="543" t="s">
        <v>25</v>
      </c>
      <c r="M37" s="544"/>
      <c r="N37" s="545"/>
      <c r="O37" s="533"/>
      <c r="P37" s="533"/>
      <c r="Q37" s="533"/>
      <c r="R37" s="533"/>
      <c r="S37" s="533"/>
      <c r="U37" s="2"/>
      <c r="V37" s="2"/>
      <c r="W37" s="2"/>
      <c r="X37" s="2"/>
      <c r="Y37" s="2"/>
      <c r="Z37" s="2"/>
      <c r="AA37" s="2"/>
      <c r="AB37" s="2"/>
    </row>
    <row r="38" spans="1:28" ht="6" customHeight="1">
      <c r="A38" s="12"/>
      <c r="B38" s="12"/>
      <c r="C38" s="528"/>
      <c r="D38" s="529"/>
      <c r="E38" s="528"/>
      <c r="F38" s="529"/>
      <c r="G38" s="532"/>
      <c r="H38" s="532"/>
      <c r="I38" s="532"/>
      <c r="J38" s="532"/>
      <c r="K38" s="532"/>
      <c r="L38" s="546"/>
      <c r="M38" s="547"/>
      <c r="N38" s="548"/>
      <c r="O38" s="533"/>
      <c r="P38" s="533"/>
      <c r="Q38" s="533"/>
      <c r="R38" s="533"/>
      <c r="S38" s="533"/>
      <c r="U38" s="2"/>
      <c r="V38" s="2"/>
      <c r="W38" s="2"/>
      <c r="X38" s="2"/>
      <c r="Y38" s="2"/>
      <c r="Z38" s="2"/>
      <c r="AA38" s="2"/>
      <c r="AB38" s="2"/>
    </row>
    <row r="39" spans="1:28">
      <c r="A39" s="12"/>
      <c r="B39" s="12"/>
      <c r="C39" s="12"/>
      <c r="D39" s="12"/>
      <c r="E39" s="12"/>
      <c r="F39" s="12"/>
      <c r="G39" s="12"/>
      <c r="H39" s="12"/>
      <c r="I39" s="12"/>
      <c r="J39" s="12"/>
      <c r="K39" s="12"/>
      <c r="L39" s="12"/>
      <c r="M39" s="12"/>
      <c r="N39" s="12"/>
      <c r="O39" s="12"/>
      <c r="P39" s="12"/>
      <c r="Q39" s="12"/>
      <c r="R39" s="12"/>
      <c r="S39" s="12"/>
      <c r="U39" s="2"/>
      <c r="V39" s="2"/>
      <c r="AA39" s="2"/>
      <c r="AB39" s="2"/>
    </row>
    <row r="41" spans="1:28">
      <c r="A41" s="28"/>
      <c r="B41" s="28"/>
      <c r="C41" s="28"/>
      <c r="D41" s="28"/>
      <c r="E41" s="28"/>
      <c r="F41" s="28"/>
      <c r="G41" s="28"/>
      <c r="H41" s="28"/>
      <c r="I41" s="28"/>
      <c r="J41" s="28"/>
      <c r="K41" s="28"/>
      <c r="L41" s="28"/>
      <c r="M41" s="28"/>
      <c r="N41" s="28"/>
      <c r="O41" s="28"/>
      <c r="P41" s="28"/>
      <c r="Q41" s="28"/>
      <c r="R41" s="28"/>
      <c r="S41" s="28"/>
    </row>
    <row r="42" spans="1:28">
      <c r="A42" s="28"/>
      <c r="B42" s="28"/>
      <c r="C42" s="28"/>
      <c r="D42" s="28"/>
      <c r="E42" s="28"/>
      <c r="F42" s="28"/>
      <c r="G42" s="28"/>
      <c r="H42" s="28"/>
      <c r="I42" s="28"/>
      <c r="J42" s="28"/>
      <c r="K42" s="28"/>
      <c r="L42" s="28"/>
      <c r="M42" s="28"/>
      <c r="N42" s="28"/>
      <c r="O42" s="28"/>
      <c r="P42" s="28"/>
      <c r="Q42" s="28"/>
      <c r="R42" s="28"/>
      <c r="S42" s="28"/>
    </row>
    <row r="43" spans="1:28">
      <c r="A43" s="28"/>
      <c r="B43" s="28"/>
      <c r="C43" s="28"/>
      <c r="D43" s="28"/>
      <c r="E43" s="28"/>
      <c r="F43" s="28"/>
      <c r="G43" s="28"/>
      <c r="H43" s="28"/>
      <c r="I43" s="28"/>
      <c r="J43" s="28"/>
      <c r="K43" s="28"/>
      <c r="L43" s="28"/>
      <c r="M43" s="28"/>
      <c r="N43" s="28"/>
      <c r="O43" s="28"/>
      <c r="P43" s="28"/>
      <c r="Q43" s="28"/>
      <c r="R43" s="28"/>
      <c r="S43" s="28"/>
    </row>
    <row r="44" spans="1:28">
      <c r="A44" s="28"/>
      <c r="B44" s="28"/>
      <c r="C44" s="28"/>
      <c r="D44" s="28"/>
      <c r="E44" s="28"/>
      <c r="F44" s="28"/>
      <c r="G44" s="28"/>
      <c r="H44" s="28"/>
      <c r="I44" s="28"/>
      <c r="J44" s="28"/>
      <c r="K44" s="28"/>
      <c r="L44" s="28"/>
      <c r="M44" s="28"/>
      <c r="N44" s="28"/>
      <c r="O44" s="28"/>
      <c r="P44" s="28"/>
      <c r="Q44" s="28"/>
      <c r="R44" s="28"/>
      <c r="S44" s="28"/>
    </row>
    <row r="45" spans="1:28">
      <c r="A45" s="28"/>
      <c r="B45" s="28"/>
      <c r="C45" s="28"/>
      <c r="D45" s="28"/>
      <c r="E45" s="28"/>
      <c r="F45" s="28"/>
      <c r="G45" s="28"/>
      <c r="H45" s="28"/>
      <c r="I45" s="28"/>
      <c r="J45" s="28"/>
      <c r="K45" s="28"/>
      <c r="L45" s="28"/>
      <c r="M45" s="28"/>
      <c r="N45" s="28"/>
      <c r="O45" s="28"/>
      <c r="P45" s="28"/>
      <c r="Q45" s="28"/>
      <c r="R45" s="28"/>
      <c r="S45" s="28"/>
    </row>
    <row r="46" spans="1:28">
      <c r="A46" s="28"/>
      <c r="B46" s="28"/>
      <c r="C46" s="28"/>
      <c r="D46" s="28"/>
      <c r="E46" s="28"/>
      <c r="F46" s="28"/>
      <c r="G46" s="28"/>
      <c r="H46" s="28"/>
      <c r="I46" s="28"/>
      <c r="J46" s="28"/>
      <c r="K46" s="28"/>
      <c r="L46" s="28"/>
      <c r="M46" s="28"/>
      <c r="N46" s="28"/>
      <c r="O46" s="28"/>
      <c r="P46" s="28"/>
      <c r="Q46" s="28"/>
      <c r="R46" s="28"/>
      <c r="S46" s="28"/>
    </row>
    <row r="47" spans="1:28">
      <c r="A47" s="28"/>
      <c r="B47" s="28"/>
      <c r="C47" s="28"/>
      <c r="D47" s="28"/>
      <c r="E47" s="28"/>
      <c r="F47" s="28"/>
      <c r="G47" s="28"/>
      <c r="H47" s="28"/>
      <c r="I47" s="28"/>
      <c r="J47" s="28"/>
      <c r="K47" s="28"/>
      <c r="L47" s="28"/>
      <c r="M47" s="28"/>
      <c r="N47" s="28"/>
      <c r="O47" s="28"/>
      <c r="P47" s="28"/>
      <c r="Q47" s="28"/>
      <c r="R47" s="28"/>
      <c r="S47" s="28"/>
    </row>
    <row r="48" spans="1:28">
      <c r="A48" s="28"/>
      <c r="B48" s="28"/>
      <c r="C48" s="28"/>
      <c r="D48" s="28"/>
      <c r="E48" s="28"/>
      <c r="F48" s="28"/>
      <c r="G48" s="28"/>
      <c r="H48" s="28"/>
      <c r="I48" s="28"/>
      <c r="J48" s="28"/>
      <c r="K48" s="28"/>
      <c r="L48" s="28"/>
      <c r="M48" s="28"/>
      <c r="N48" s="28"/>
      <c r="O48" s="28"/>
      <c r="P48" s="28"/>
      <c r="Q48" s="28"/>
      <c r="R48" s="28"/>
      <c r="S48" s="28"/>
    </row>
    <row r="49" spans="1:19">
      <c r="A49" s="28"/>
      <c r="B49" s="28"/>
      <c r="C49" s="28"/>
      <c r="D49" s="28"/>
      <c r="E49" s="28"/>
      <c r="F49" s="28"/>
      <c r="G49" s="28"/>
      <c r="H49" s="28"/>
      <c r="I49" s="28"/>
      <c r="J49" s="28"/>
      <c r="K49" s="28"/>
      <c r="L49" s="28"/>
      <c r="M49" s="28"/>
      <c r="N49" s="28"/>
      <c r="O49" s="28"/>
      <c r="P49" s="28"/>
      <c r="Q49" s="28"/>
      <c r="R49" s="28"/>
      <c r="S49" s="28"/>
    </row>
    <row r="50" spans="1:19">
      <c r="A50" s="28"/>
      <c r="B50" s="28"/>
      <c r="C50" s="28"/>
      <c r="D50" s="28"/>
      <c r="E50" s="28"/>
      <c r="F50" s="28"/>
      <c r="G50" s="28"/>
      <c r="H50" s="28"/>
      <c r="I50" s="28"/>
      <c r="J50" s="28"/>
      <c r="K50" s="28"/>
      <c r="L50" s="28"/>
      <c r="M50" s="28"/>
      <c r="N50" s="28"/>
      <c r="O50" s="28"/>
      <c r="P50" s="28"/>
      <c r="Q50" s="28"/>
      <c r="R50" s="28"/>
      <c r="S50" s="28"/>
    </row>
    <row r="51" spans="1:19">
      <c r="A51" s="28"/>
      <c r="B51" s="28"/>
      <c r="C51" s="28"/>
      <c r="D51" s="28"/>
      <c r="E51" s="28"/>
      <c r="F51" s="28"/>
      <c r="G51" s="28"/>
      <c r="H51" s="28"/>
      <c r="I51" s="28"/>
      <c r="J51" s="28"/>
      <c r="K51" s="28"/>
      <c r="L51" s="28"/>
      <c r="M51" s="28"/>
      <c r="N51" s="28"/>
      <c r="O51" s="28"/>
      <c r="P51" s="28"/>
      <c r="Q51" s="28"/>
      <c r="R51" s="28"/>
      <c r="S51" s="28"/>
    </row>
    <row r="52" spans="1:19">
      <c r="A52" s="28"/>
      <c r="B52" s="28"/>
      <c r="C52" s="28"/>
      <c r="D52" s="28"/>
      <c r="E52" s="28"/>
      <c r="F52" s="28"/>
      <c r="G52" s="28"/>
      <c r="H52" s="28"/>
      <c r="I52" s="28"/>
      <c r="J52" s="28"/>
      <c r="K52" s="28"/>
      <c r="L52" s="28"/>
      <c r="M52" s="28"/>
      <c r="N52" s="28"/>
      <c r="O52" s="28"/>
      <c r="P52" s="28"/>
      <c r="Q52" s="28"/>
      <c r="R52" s="28"/>
      <c r="S52" s="28"/>
    </row>
    <row r="53" spans="1:19">
      <c r="A53" s="28"/>
      <c r="B53" s="28"/>
      <c r="C53" s="28"/>
      <c r="D53" s="28"/>
      <c r="E53" s="28"/>
      <c r="F53" s="28"/>
      <c r="G53" s="28"/>
      <c r="H53" s="28"/>
      <c r="I53" s="28"/>
      <c r="J53" s="28"/>
      <c r="K53" s="28"/>
      <c r="L53" s="28"/>
      <c r="M53" s="28"/>
      <c r="N53" s="28"/>
      <c r="O53" s="28"/>
      <c r="P53" s="28"/>
      <c r="Q53" s="28"/>
      <c r="R53" s="28"/>
      <c r="S53" s="28"/>
    </row>
    <row r="54" spans="1:19">
      <c r="A54" s="28"/>
      <c r="B54" s="28"/>
      <c r="C54" s="28"/>
      <c r="D54" s="28"/>
      <c r="E54" s="28"/>
      <c r="F54" s="28"/>
      <c r="G54" s="28"/>
      <c r="H54" s="28"/>
      <c r="I54" s="28"/>
      <c r="J54" s="28"/>
      <c r="K54" s="28"/>
      <c r="L54" s="28"/>
      <c r="M54" s="28"/>
      <c r="N54" s="28"/>
      <c r="O54" s="28"/>
      <c r="P54" s="28"/>
      <c r="Q54" s="28"/>
      <c r="R54" s="28"/>
      <c r="S54" s="28"/>
    </row>
    <row r="55" spans="1:19">
      <c r="A55" s="28"/>
      <c r="B55" s="28"/>
      <c r="C55" s="28"/>
      <c r="D55" s="28"/>
      <c r="E55" s="28"/>
      <c r="F55" s="28"/>
      <c r="G55" s="28"/>
      <c r="H55" s="28"/>
      <c r="I55" s="28"/>
      <c r="J55" s="28"/>
      <c r="K55" s="28"/>
      <c r="L55" s="28"/>
      <c r="M55" s="28"/>
      <c r="N55" s="28"/>
      <c r="O55" s="28"/>
      <c r="P55" s="28"/>
      <c r="Q55" s="28"/>
      <c r="R55" s="28"/>
      <c r="S55" s="28"/>
    </row>
    <row r="56" spans="1:19">
      <c r="A56" s="28"/>
      <c r="B56" s="28"/>
      <c r="C56" s="28"/>
      <c r="D56" s="28"/>
      <c r="E56" s="28"/>
      <c r="F56" s="28"/>
      <c r="G56" s="28"/>
      <c r="H56" s="28"/>
      <c r="I56" s="28"/>
      <c r="J56" s="28"/>
      <c r="K56" s="28"/>
      <c r="L56" s="28"/>
      <c r="M56" s="28"/>
      <c r="N56" s="28"/>
      <c r="O56" s="28"/>
      <c r="P56" s="28"/>
      <c r="Q56" s="28"/>
      <c r="R56" s="28"/>
      <c r="S56" s="28"/>
    </row>
    <row r="57" spans="1:19">
      <c r="A57" s="28"/>
      <c r="B57" s="28"/>
      <c r="C57" s="28"/>
      <c r="D57" s="28"/>
      <c r="E57" s="28"/>
      <c r="F57" s="28"/>
      <c r="G57" s="28"/>
      <c r="H57" s="28"/>
      <c r="I57" s="28"/>
      <c r="J57" s="28"/>
      <c r="K57" s="28"/>
      <c r="L57" s="28"/>
      <c r="M57" s="28"/>
      <c r="N57" s="28"/>
      <c r="O57" s="28"/>
      <c r="P57" s="28"/>
      <c r="Q57" s="28"/>
      <c r="R57" s="28"/>
      <c r="S57" s="28"/>
    </row>
    <row r="58" spans="1:19">
      <c r="A58" s="28"/>
      <c r="B58" s="28"/>
      <c r="C58" s="28"/>
      <c r="D58" s="28"/>
      <c r="E58" s="28"/>
      <c r="F58" s="28"/>
      <c r="G58" s="28"/>
      <c r="H58" s="28"/>
      <c r="I58" s="28"/>
      <c r="J58" s="28"/>
      <c r="K58" s="28"/>
      <c r="L58" s="28"/>
      <c r="M58" s="28"/>
      <c r="N58" s="28"/>
      <c r="O58" s="28"/>
      <c r="P58" s="28"/>
      <c r="Q58" s="28"/>
      <c r="R58" s="28"/>
      <c r="S58" s="28"/>
    </row>
    <row r="59" spans="1:19">
      <c r="A59" s="28"/>
      <c r="B59" s="28"/>
      <c r="C59" s="28"/>
      <c r="D59" s="28"/>
      <c r="E59" s="28"/>
      <c r="F59" s="28"/>
      <c r="G59" s="28"/>
      <c r="H59" s="28"/>
      <c r="I59" s="28"/>
      <c r="J59" s="28"/>
      <c r="K59" s="28"/>
      <c r="L59" s="28"/>
      <c r="M59" s="28"/>
      <c r="N59" s="28"/>
      <c r="O59" s="28"/>
      <c r="P59" s="28"/>
      <c r="Q59" s="28"/>
      <c r="R59" s="28"/>
      <c r="S59" s="28"/>
    </row>
    <row r="60" spans="1:19">
      <c r="A60" s="28"/>
      <c r="B60" s="28"/>
      <c r="C60" s="28"/>
      <c r="D60" s="28"/>
      <c r="E60" s="28"/>
      <c r="F60" s="28"/>
      <c r="G60" s="28"/>
      <c r="H60" s="28"/>
      <c r="I60" s="28"/>
      <c r="J60" s="28"/>
      <c r="K60" s="28"/>
      <c r="L60" s="28"/>
      <c r="M60" s="28"/>
      <c r="N60" s="28"/>
      <c r="O60" s="28"/>
      <c r="P60" s="28"/>
      <c r="Q60" s="28"/>
      <c r="R60" s="28"/>
      <c r="S60" s="28"/>
    </row>
    <row r="61" spans="1:19">
      <c r="A61" s="28"/>
      <c r="B61" s="28"/>
      <c r="C61" s="28"/>
      <c r="D61" s="28"/>
      <c r="E61" s="28"/>
      <c r="F61" s="28"/>
      <c r="G61" s="28"/>
      <c r="H61" s="28"/>
      <c r="I61" s="28"/>
      <c r="J61" s="28"/>
      <c r="K61" s="28"/>
      <c r="L61" s="28"/>
      <c r="M61" s="28"/>
      <c r="N61" s="28"/>
      <c r="O61" s="28"/>
      <c r="P61" s="28"/>
      <c r="Q61" s="28"/>
      <c r="R61" s="28"/>
      <c r="S61" s="28"/>
    </row>
    <row r="62" spans="1:19">
      <c r="A62" s="28"/>
      <c r="B62" s="28"/>
      <c r="C62" s="28"/>
      <c r="D62" s="28"/>
      <c r="E62" s="28"/>
      <c r="F62" s="28"/>
      <c r="G62" s="28"/>
      <c r="H62" s="28"/>
      <c r="I62" s="28"/>
      <c r="J62" s="28"/>
      <c r="K62" s="28"/>
      <c r="L62" s="28"/>
      <c r="M62" s="28"/>
      <c r="N62" s="28"/>
      <c r="O62" s="28"/>
      <c r="P62" s="28"/>
      <c r="Q62" s="28"/>
      <c r="R62" s="28"/>
      <c r="S62" s="28"/>
    </row>
    <row r="63" spans="1:19">
      <c r="A63" s="28"/>
      <c r="B63" s="28"/>
      <c r="C63" s="28"/>
      <c r="D63" s="28"/>
      <c r="E63" s="28"/>
      <c r="F63" s="28"/>
      <c r="G63" s="28"/>
      <c r="H63" s="28"/>
      <c r="I63" s="28"/>
      <c r="J63" s="28"/>
      <c r="K63" s="28"/>
      <c r="L63" s="28"/>
      <c r="M63" s="28"/>
      <c r="N63" s="28"/>
      <c r="O63" s="28"/>
      <c r="P63" s="28"/>
      <c r="Q63" s="28"/>
      <c r="R63" s="28"/>
      <c r="S63" s="28"/>
    </row>
    <row r="64" spans="1:19">
      <c r="A64" s="28"/>
      <c r="B64" s="28"/>
      <c r="C64" s="28"/>
      <c r="D64" s="28"/>
      <c r="E64" s="28"/>
      <c r="F64" s="28"/>
      <c r="G64" s="28"/>
      <c r="H64" s="28"/>
      <c r="I64" s="28"/>
      <c r="J64" s="28"/>
      <c r="K64" s="28"/>
      <c r="L64" s="28"/>
      <c r="M64" s="28"/>
      <c r="N64" s="28"/>
      <c r="O64" s="28"/>
      <c r="P64" s="28"/>
      <c r="Q64" s="28"/>
      <c r="R64" s="28"/>
      <c r="S64" s="28"/>
    </row>
    <row r="65" spans="1:19">
      <c r="A65" s="28"/>
      <c r="B65" s="28"/>
      <c r="C65" s="28"/>
      <c r="D65" s="28"/>
      <c r="E65" s="28"/>
      <c r="F65" s="28"/>
      <c r="G65" s="28"/>
      <c r="H65" s="28"/>
      <c r="I65" s="28"/>
      <c r="J65" s="28"/>
      <c r="K65" s="28"/>
      <c r="L65" s="28"/>
      <c r="M65" s="28"/>
      <c r="N65" s="28"/>
      <c r="O65" s="28"/>
      <c r="P65" s="28"/>
      <c r="Q65" s="28"/>
      <c r="R65" s="28"/>
      <c r="S65" s="28"/>
    </row>
    <row r="66" spans="1:19">
      <c r="A66" s="28"/>
      <c r="B66" s="28"/>
      <c r="C66" s="28"/>
      <c r="D66" s="28"/>
      <c r="E66" s="28"/>
      <c r="F66" s="28"/>
      <c r="G66" s="28"/>
      <c r="H66" s="28"/>
      <c r="I66" s="28"/>
      <c r="J66" s="28"/>
      <c r="K66" s="28"/>
      <c r="L66" s="28"/>
      <c r="M66" s="28"/>
      <c r="N66" s="28"/>
      <c r="O66" s="28"/>
      <c r="P66" s="28"/>
      <c r="Q66" s="28"/>
      <c r="R66" s="28"/>
      <c r="S66" s="28"/>
    </row>
    <row r="67" spans="1:19">
      <c r="A67" s="28"/>
      <c r="B67" s="28"/>
      <c r="C67" s="28"/>
      <c r="D67" s="28"/>
      <c r="E67" s="28"/>
      <c r="F67" s="28"/>
      <c r="G67" s="28"/>
      <c r="H67" s="28"/>
      <c r="I67" s="28"/>
      <c r="J67" s="28"/>
      <c r="K67" s="28"/>
      <c r="L67" s="28"/>
      <c r="M67" s="28"/>
      <c r="N67" s="28"/>
      <c r="O67" s="28"/>
      <c r="P67" s="28"/>
      <c r="Q67" s="28"/>
      <c r="R67" s="28"/>
      <c r="S67" s="28"/>
    </row>
    <row r="68" spans="1:19">
      <c r="A68" s="28"/>
      <c r="B68" s="28"/>
      <c r="C68" s="28"/>
      <c r="D68" s="28"/>
      <c r="E68" s="28"/>
      <c r="F68" s="28"/>
      <c r="G68" s="28"/>
      <c r="H68" s="28"/>
      <c r="I68" s="28"/>
      <c r="J68" s="28"/>
      <c r="K68" s="28"/>
      <c r="L68" s="28"/>
      <c r="M68" s="28"/>
      <c r="N68" s="28"/>
      <c r="O68" s="28"/>
      <c r="P68" s="28"/>
      <c r="Q68" s="28"/>
      <c r="R68" s="28"/>
      <c r="S68" s="28"/>
    </row>
    <row r="69" spans="1:19">
      <c r="A69" s="28"/>
      <c r="B69" s="28"/>
      <c r="C69" s="28"/>
      <c r="D69" s="28"/>
      <c r="E69" s="28"/>
      <c r="F69" s="28"/>
      <c r="G69" s="28"/>
      <c r="H69" s="28"/>
      <c r="I69" s="28"/>
      <c r="J69" s="28"/>
      <c r="K69" s="28"/>
      <c r="L69" s="28"/>
      <c r="M69" s="28"/>
      <c r="N69" s="28"/>
      <c r="O69" s="28"/>
      <c r="P69" s="28"/>
      <c r="Q69" s="28"/>
      <c r="R69" s="28"/>
      <c r="S69" s="28"/>
    </row>
    <row r="70" spans="1:19">
      <c r="A70" s="28"/>
      <c r="B70" s="28"/>
      <c r="C70" s="28"/>
      <c r="D70" s="28"/>
      <c r="E70" s="28"/>
      <c r="F70" s="28"/>
      <c r="G70" s="28"/>
      <c r="H70" s="28"/>
      <c r="I70" s="28"/>
      <c r="J70" s="28"/>
      <c r="K70" s="28"/>
      <c r="L70" s="28"/>
      <c r="M70" s="28"/>
      <c r="N70" s="28"/>
      <c r="O70" s="28"/>
      <c r="P70" s="28"/>
      <c r="Q70" s="28"/>
      <c r="R70" s="28"/>
      <c r="S70" s="28"/>
    </row>
    <row r="71" spans="1:19">
      <c r="A71" s="28"/>
      <c r="B71" s="28"/>
      <c r="C71" s="28"/>
      <c r="D71" s="28"/>
      <c r="E71" s="28"/>
      <c r="F71" s="28"/>
      <c r="G71" s="28"/>
      <c r="H71" s="28"/>
      <c r="I71" s="28"/>
      <c r="J71" s="28"/>
      <c r="K71" s="28"/>
      <c r="L71" s="28"/>
      <c r="M71" s="28"/>
      <c r="N71" s="28"/>
      <c r="O71" s="28"/>
      <c r="P71" s="28"/>
      <c r="Q71" s="28"/>
      <c r="R71" s="28"/>
      <c r="S71" s="28"/>
    </row>
    <row r="72" spans="1:19">
      <c r="A72" s="28"/>
      <c r="B72" s="28"/>
      <c r="C72" s="28"/>
      <c r="D72" s="28"/>
      <c r="E72" s="28"/>
      <c r="F72" s="28"/>
      <c r="G72" s="28"/>
      <c r="H72" s="28"/>
      <c r="I72" s="28"/>
      <c r="J72" s="28"/>
      <c r="K72" s="28"/>
      <c r="L72" s="28"/>
      <c r="M72" s="28"/>
      <c r="N72" s="28"/>
      <c r="O72" s="28"/>
      <c r="P72" s="28"/>
      <c r="Q72" s="28"/>
      <c r="R72" s="28"/>
      <c r="S72" s="28"/>
    </row>
    <row r="73" spans="1:19">
      <c r="A73" s="28"/>
      <c r="B73" s="28"/>
      <c r="C73" s="28"/>
      <c r="D73" s="28"/>
      <c r="E73" s="28"/>
      <c r="F73" s="28"/>
      <c r="G73" s="28"/>
      <c r="H73" s="28"/>
      <c r="I73" s="28"/>
      <c r="J73" s="28"/>
      <c r="K73" s="28"/>
      <c r="L73" s="28"/>
      <c r="M73" s="28"/>
      <c r="N73" s="28"/>
      <c r="O73" s="28"/>
      <c r="P73" s="28"/>
      <c r="Q73" s="28"/>
      <c r="R73" s="28"/>
      <c r="S73" s="28"/>
    </row>
    <row r="74" spans="1:19">
      <c r="A74" s="28"/>
      <c r="B74" s="28"/>
      <c r="C74" s="28"/>
      <c r="D74" s="28"/>
      <c r="E74" s="28"/>
      <c r="F74" s="28"/>
      <c r="G74" s="28"/>
      <c r="H74" s="28"/>
      <c r="I74" s="28"/>
      <c r="J74" s="28"/>
      <c r="K74" s="28"/>
      <c r="L74" s="28"/>
      <c r="M74" s="28"/>
      <c r="N74" s="28"/>
      <c r="O74" s="28"/>
      <c r="P74" s="28"/>
      <c r="Q74" s="28"/>
      <c r="R74" s="28"/>
      <c r="S74" s="28"/>
    </row>
    <row r="75" spans="1:19">
      <c r="A75" s="28"/>
      <c r="B75" s="28"/>
      <c r="C75" s="28"/>
      <c r="D75" s="28"/>
      <c r="E75" s="28"/>
      <c r="F75" s="28"/>
      <c r="G75" s="28"/>
      <c r="H75" s="28"/>
      <c r="I75" s="28"/>
      <c r="J75" s="28"/>
      <c r="K75" s="28"/>
      <c r="L75" s="28"/>
      <c r="M75" s="28"/>
      <c r="N75" s="28"/>
      <c r="O75" s="28"/>
      <c r="P75" s="28"/>
      <c r="Q75" s="28"/>
      <c r="R75" s="28"/>
      <c r="S75" s="28"/>
    </row>
    <row r="76" spans="1:19">
      <c r="A76" s="28"/>
      <c r="B76" s="28"/>
      <c r="C76" s="28"/>
      <c r="D76" s="28"/>
      <c r="E76" s="28"/>
      <c r="F76" s="28"/>
      <c r="G76" s="28"/>
      <c r="H76" s="28"/>
      <c r="I76" s="28"/>
      <c r="J76" s="28"/>
      <c r="K76" s="28"/>
      <c r="L76" s="28"/>
      <c r="M76" s="28"/>
      <c r="N76" s="28"/>
      <c r="O76" s="28"/>
      <c r="P76" s="28"/>
      <c r="Q76" s="28"/>
      <c r="R76" s="28"/>
      <c r="S76" s="28"/>
    </row>
    <row r="77" spans="1:19">
      <c r="A77" s="28"/>
      <c r="B77" s="28"/>
      <c r="C77" s="28"/>
      <c r="D77" s="28"/>
      <c r="E77" s="28"/>
      <c r="F77" s="28"/>
      <c r="G77" s="28"/>
      <c r="H77" s="28"/>
      <c r="I77" s="28"/>
      <c r="J77" s="28"/>
      <c r="K77" s="28"/>
      <c r="L77" s="28"/>
      <c r="M77" s="28"/>
      <c r="N77" s="28"/>
      <c r="O77" s="28"/>
      <c r="P77" s="28"/>
      <c r="Q77" s="28"/>
      <c r="R77" s="28"/>
      <c r="S77" s="28"/>
    </row>
    <row r="78" spans="1:19">
      <c r="A78" s="28"/>
      <c r="B78" s="28"/>
      <c r="C78" s="28"/>
      <c r="D78" s="28"/>
      <c r="E78" s="28"/>
      <c r="F78" s="28"/>
      <c r="G78" s="28"/>
      <c r="H78" s="28"/>
      <c r="I78" s="28"/>
      <c r="J78" s="28"/>
      <c r="K78" s="28"/>
      <c r="L78" s="28"/>
      <c r="M78" s="28"/>
      <c r="N78" s="28"/>
      <c r="O78" s="28"/>
      <c r="P78" s="28"/>
      <c r="Q78" s="28"/>
      <c r="R78" s="28"/>
      <c r="S78" s="28"/>
    </row>
    <row r="79" spans="1:19">
      <c r="A79" s="28"/>
      <c r="B79" s="28"/>
      <c r="C79" s="28"/>
      <c r="D79" s="28"/>
      <c r="E79" s="28"/>
      <c r="F79" s="28"/>
      <c r="G79" s="28"/>
      <c r="H79" s="28"/>
      <c r="I79" s="28"/>
      <c r="J79" s="28"/>
      <c r="K79" s="28"/>
      <c r="L79" s="28"/>
      <c r="M79" s="28"/>
      <c r="N79" s="28"/>
      <c r="O79" s="28"/>
      <c r="P79" s="28"/>
      <c r="Q79" s="28"/>
      <c r="R79" s="28"/>
      <c r="S79" s="28"/>
    </row>
    <row r="80" spans="1:19">
      <c r="A80" s="28"/>
      <c r="B80" s="28"/>
      <c r="C80" s="28"/>
      <c r="D80" s="28"/>
      <c r="E80" s="28"/>
      <c r="F80" s="28"/>
      <c r="G80" s="28"/>
      <c r="H80" s="28"/>
      <c r="I80" s="28"/>
      <c r="J80" s="28"/>
      <c r="K80" s="28"/>
      <c r="L80" s="28"/>
      <c r="M80" s="28"/>
      <c r="N80" s="28"/>
      <c r="O80" s="28"/>
      <c r="P80" s="28"/>
      <c r="Q80" s="28"/>
      <c r="R80" s="28"/>
      <c r="S80" s="28"/>
    </row>
    <row r="81" spans="1:19">
      <c r="A81" s="28"/>
      <c r="B81" s="28"/>
      <c r="C81" s="28"/>
      <c r="D81" s="28"/>
      <c r="E81" s="28"/>
      <c r="F81" s="28"/>
      <c r="G81" s="28"/>
      <c r="H81" s="28"/>
      <c r="I81" s="28"/>
      <c r="J81" s="28"/>
      <c r="K81" s="28"/>
      <c r="L81" s="28"/>
      <c r="M81" s="28"/>
      <c r="N81" s="28"/>
      <c r="O81" s="28"/>
      <c r="P81" s="28"/>
      <c r="Q81" s="28"/>
      <c r="R81" s="28"/>
      <c r="S81" s="28"/>
    </row>
    <row r="82" spans="1:19">
      <c r="A82" s="28"/>
      <c r="B82" s="28"/>
      <c r="C82" s="28"/>
      <c r="D82" s="28"/>
      <c r="E82" s="28"/>
      <c r="F82" s="28"/>
      <c r="G82" s="28"/>
      <c r="H82" s="28"/>
      <c r="I82" s="28"/>
      <c r="J82" s="28"/>
      <c r="K82" s="28"/>
      <c r="L82" s="28"/>
      <c r="M82" s="28"/>
      <c r="N82" s="28"/>
      <c r="O82" s="28"/>
      <c r="P82" s="28"/>
      <c r="Q82" s="28"/>
      <c r="R82" s="28"/>
      <c r="S82" s="28"/>
    </row>
    <row r="83" spans="1:19">
      <c r="A83" s="28"/>
      <c r="B83" s="28"/>
      <c r="C83" s="28"/>
      <c r="D83" s="28"/>
      <c r="E83" s="28"/>
      <c r="F83" s="28"/>
      <c r="G83" s="28"/>
      <c r="H83" s="28"/>
      <c r="I83" s="28"/>
      <c r="J83" s="28"/>
      <c r="K83" s="28"/>
      <c r="L83" s="28"/>
      <c r="M83" s="28"/>
      <c r="N83" s="28"/>
      <c r="O83" s="28"/>
      <c r="P83" s="28"/>
      <c r="Q83" s="28"/>
      <c r="R83" s="28"/>
      <c r="S83" s="28"/>
    </row>
    <row r="84" spans="1:19">
      <c r="A84" s="28"/>
      <c r="B84" s="28"/>
      <c r="C84" s="28"/>
      <c r="D84" s="28"/>
      <c r="E84" s="28"/>
      <c r="F84" s="28"/>
      <c r="G84" s="28"/>
      <c r="H84" s="28"/>
      <c r="I84" s="28"/>
      <c r="J84" s="28"/>
      <c r="K84" s="28"/>
      <c r="L84" s="28"/>
      <c r="M84" s="28"/>
      <c r="N84" s="28"/>
      <c r="O84" s="28"/>
      <c r="P84" s="28"/>
      <c r="Q84" s="28"/>
      <c r="R84" s="28"/>
      <c r="S84" s="28"/>
    </row>
    <row r="85" spans="1:19">
      <c r="A85" s="28"/>
      <c r="B85" s="28"/>
      <c r="C85" s="28"/>
      <c r="D85" s="28"/>
      <c r="E85" s="28"/>
      <c r="F85" s="28"/>
      <c r="G85" s="28"/>
      <c r="H85" s="28"/>
      <c r="I85" s="28"/>
      <c r="J85" s="28"/>
      <c r="K85" s="28"/>
      <c r="L85" s="28"/>
      <c r="M85" s="28"/>
      <c r="N85" s="28"/>
      <c r="O85" s="28"/>
      <c r="P85" s="28"/>
      <c r="Q85" s="28"/>
      <c r="R85" s="28"/>
      <c r="S85" s="28"/>
    </row>
    <row r="86" spans="1:19">
      <c r="A86" s="28"/>
      <c r="B86" s="28"/>
      <c r="C86" s="28"/>
      <c r="D86" s="28"/>
      <c r="E86" s="28"/>
      <c r="F86" s="28"/>
      <c r="G86" s="28"/>
      <c r="H86" s="28"/>
      <c r="I86" s="28"/>
      <c r="J86" s="28"/>
      <c r="K86" s="28"/>
      <c r="L86" s="28"/>
      <c r="M86" s="28"/>
      <c r="N86" s="28"/>
      <c r="O86" s="28"/>
      <c r="P86" s="28"/>
      <c r="Q86" s="28"/>
      <c r="R86" s="28"/>
      <c r="S86" s="28"/>
    </row>
    <row r="87" spans="1:19">
      <c r="A87" s="28"/>
      <c r="B87" s="28"/>
      <c r="C87" s="28"/>
      <c r="D87" s="28"/>
      <c r="E87" s="28"/>
      <c r="F87" s="28"/>
      <c r="G87" s="28"/>
      <c r="H87" s="28"/>
      <c r="I87" s="28"/>
      <c r="J87" s="28"/>
      <c r="K87" s="28"/>
      <c r="L87" s="28"/>
      <c r="M87" s="28"/>
      <c r="N87" s="28"/>
      <c r="O87" s="28"/>
      <c r="P87" s="28"/>
      <c r="Q87" s="28"/>
      <c r="R87" s="28"/>
      <c r="S87" s="28"/>
    </row>
    <row r="88" spans="1:19">
      <c r="A88" s="28"/>
      <c r="B88" s="28"/>
      <c r="C88" s="28"/>
      <c r="D88" s="28"/>
      <c r="E88" s="28"/>
      <c r="F88" s="28"/>
      <c r="G88" s="28"/>
      <c r="H88" s="28"/>
      <c r="I88" s="28"/>
      <c r="J88" s="28"/>
      <c r="K88" s="28"/>
      <c r="L88" s="28"/>
      <c r="M88" s="28"/>
      <c r="N88" s="28"/>
      <c r="O88" s="28"/>
      <c r="P88" s="28"/>
      <c r="Q88" s="28"/>
      <c r="R88" s="28"/>
      <c r="S88" s="28"/>
    </row>
    <row r="89" spans="1:19">
      <c r="A89" s="28"/>
      <c r="B89" s="28"/>
      <c r="C89" s="28"/>
      <c r="D89" s="28"/>
      <c r="E89" s="28"/>
      <c r="F89" s="28"/>
      <c r="G89" s="28"/>
      <c r="H89" s="28"/>
      <c r="I89" s="28"/>
      <c r="J89" s="28"/>
      <c r="K89" s="28"/>
      <c r="L89" s="28"/>
      <c r="M89" s="28"/>
      <c r="N89" s="28"/>
      <c r="O89" s="28"/>
      <c r="P89" s="28"/>
      <c r="Q89" s="28"/>
      <c r="R89" s="28"/>
      <c r="S89" s="28"/>
    </row>
  </sheetData>
  <sheetProtection algorithmName="SHA-512" hashValue="DwXvPNEI9Tg1NwYTrubDZwFYcSC+xTfjTfCol37P8HbBiBj80AznRxLuXlikIa/9wjC+KbN7WN8iq9ASEFgzZw==" saltValue="gygsjnZseNqXeMxPvn5ygA==" spinCount="100000" sheet="1" objects="1" autoFilter="0"/>
  <dataConsolidate/>
  <mergeCells count="49">
    <mergeCell ref="C36:D38"/>
    <mergeCell ref="E36:F36"/>
    <mergeCell ref="G36:K36"/>
    <mergeCell ref="L36:N36"/>
    <mergeCell ref="O36:S36"/>
    <mergeCell ref="E37:F38"/>
    <mergeCell ref="G37:K38"/>
    <mergeCell ref="L37:N38"/>
    <mergeCell ref="O37:S38"/>
    <mergeCell ref="E34:F35"/>
    <mergeCell ref="L34:N35"/>
    <mergeCell ref="F18:L18"/>
    <mergeCell ref="M2:N2"/>
    <mergeCell ref="O2:R2"/>
    <mergeCell ref="C18:E18"/>
    <mergeCell ref="B7:H7"/>
    <mergeCell ref="D16:H16"/>
    <mergeCell ref="L8:M8"/>
    <mergeCell ref="L9:S9"/>
    <mergeCell ref="L10:S10"/>
    <mergeCell ref="L11:Q11"/>
    <mergeCell ref="L12:Q12"/>
    <mergeCell ref="J11:K11"/>
    <mergeCell ref="J9:K9"/>
    <mergeCell ref="C28:E28"/>
    <mergeCell ref="J10:K10"/>
    <mergeCell ref="F14:G14"/>
    <mergeCell ref="C20:E20"/>
    <mergeCell ref="C23:E23"/>
    <mergeCell ref="F23:G23"/>
    <mergeCell ref="H23:I23"/>
    <mergeCell ref="F20:G20"/>
    <mergeCell ref="C22:F22"/>
    <mergeCell ref="B1:D1"/>
    <mergeCell ref="J12:K12"/>
    <mergeCell ref="Q23:S23"/>
    <mergeCell ref="C33:D35"/>
    <mergeCell ref="E33:F33"/>
    <mergeCell ref="G34:K35"/>
    <mergeCell ref="O34:S35"/>
    <mergeCell ref="G33:K33"/>
    <mergeCell ref="C24:D24"/>
    <mergeCell ref="N24:O24"/>
    <mergeCell ref="Q24:R24"/>
    <mergeCell ref="J23:K23"/>
    <mergeCell ref="L23:M23"/>
    <mergeCell ref="N23:P23"/>
    <mergeCell ref="O33:S33"/>
    <mergeCell ref="L33:N33"/>
  </mergeCells>
  <phoneticPr fontId="4"/>
  <conditionalFormatting sqref="M4 O4 Q4">
    <cfRule type="cellIs" dxfId="6" priority="19" operator="equal">
      <formula>""</formula>
    </cfRule>
  </conditionalFormatting>
  <conditionalFormatting sqref="G33:K35 O33:S35">
    <cfRule type="cellIs" dxfId="5" priority="15" operator="equal">
      <formula>""</formula>
    </cfRule>
  </conditionalFormatting>
  <conditionalFormatting sqref="Q4">
    <cfRule type="cellIs" dxfId="4" priority="13" operator="equal">
      <formula>""</formula>
    </cfRule>
  </conditionalFormatting>
  <conditionalFormatting sqref="F20:G20">
    <cfRule type="cellIs" dxfId="3" priority="11" operator="equal">
      <formula>""</formula>
    </cfRule>
  </conditionalFormatting>
  <conditionalFormatting sqref="L24">
    <cfRule type="cellIs" dxfId="2" priority="9" operator="equal">
      <formula>""</formula>
    </cfRule>
  </conditionalFormatting>
  <conditionalFormatting sqref="O2:R2">
    <cfRule type="cellIs" dxfId="1" priority="8" operator="equal">
      <formula>""</formula>
    </cfRule>
  </conditionalFormatting>
  <conditionalFormatting sqref="G36:K38 O36:S38">
    <cfRule type="cellIs" dxfId="0" priority="1" operator="equal">
      <formula>""</formula>
    </cfRule>
  </conditionalFormatting>
  <dataValidations count="3">
    <dataValidation allowBlank="1" showErrorMessage="1" prompt="_x000a_" sqref="L24" xr:uid="{00000000-0002-0000-0A00-000000000000}"/>
    <dataValidation type="whole" allowBlank="1" showInputMessage="1" showErrorMessage="1" sqref="O4" xr:uid="{82F4C550-81A0-41A4-A664-E3662EE91EBD}">
      <formula1>1</formula1>
      <formula2>12</formula2>
    </dataValidation>
    <dataValidation type="whole" allowBlank="1" showInputMessage="1" showErrorMessage="1" sqref="Q4" xr:uid="{C0D14259-355A-41A1-A39C-BAF449E5AE4C}">
      <formula1>1</formula1>
      <formula2>31</formula2>
    </dataValidation>
  </dataValidation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メニュー画面</vt:lpstr>
      <vt:lpstr>団体基本情報入力</vt:lpstr>
      <vt:lpstr>支出入力表</vt:lpstr>
      <vt:lpstr>収入入力表</vt:lpstr>
      <vt:lpstr>精算額計算書</vt:lpstr>
      <vt:lpstr>総事業費の支出額内訳</vt:lpstr>
      <vt:lpstr>プルダウン用リスト</vt:lpstr>
      <vt:lpstr>事業完了報告書</vt:lpstr>
      <vt:lpstr>メニュー画面!Print_Area</vt:lpstr>
      <vt:lpstr>支出入力表!Print_Area</vt:lpstr>
      <vt:lpstr>事業完了報告書!Print_Area</vt:lpstr>
      <vt:lpstr>収入入力表!Print_Area</vt:lpstr>
      <vt:lpstr>精算額計算書!Print_Area</vt:lpstr>
      <vt:lpstr>総事業費の支出額内訳!Print_Area</vt:lpstr>
      <vt:lpstr>団体基本情報入力!Print_Area</vt:lpstr>
      <vt:lpstr>支出入力表!Print_Titles</vt:lpstr>
      <vt:lpstr>収入入力表!Print_Titles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2024-03-08T04:32:47Z</cp:lastPrinted>
  <dcterms:created xsi:type="dcterms:W3CDTF">2018-07-18T02:18:54Z</dcterms:created>
  <dcterms:modified xsi:type="dcterms:W3CDTF">2024-07-01T02:43:47Z</dcterms:modified>
</cp:coreProperties>
</file>